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Бюджет 2025\Проект бюджета\На сайт\"/>
    </mc:Choice>
  </mc:AlternateContent>
  <xr:revisionPtr revIDLastSave="0" documentId="13_ncr:1_{C0F77CE8-70F2-4034-81C4-7D5E450B5345}" xr6:coauthVersionLast="37" xr6:coauthVersionMax="37" xr10:uidLastSave="{00000000-0000-0000-0000-000000000000}"/>
  <bookViews>
    <workbookView xWindow="0" yWindow="0" windowWidth="28800" windowHeight="11925" xr2:uid="{58E25951-99EF-4D40-8B1D-30D2283EE456}"/>
  </bookViews>
  <sheets>
    <sheet name="Прил 5 Проект Новый" sheetId="1" r:id="rId1"/>
  </sheets>
  <externalReferences>
    <externalReference r:id="rId2"/>
  </externalReferences>
  <definedNames>
    <definedName name="_xlnm._FilterDatabase" localSheetId="0" hidden="1">'Прил 5 Проект Новый'!$A$3:$H$459</definedName>
    <definedName name="А">#REF!</definedName>
    <definedName name="_xlnm.Print_Area" localSheetId="0">'Прил 5 Проект Новый'!$A$1:$H$459</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7" i="1" l="1"/>
  <c r="G457" i="1"/>
  <c r="F457" i="1"/>
  <c r="F456" i="1" s="1"/>
  <c r="F455" i="1" s="1"/>
  <c r="H456" i="1"/>
  <c r="H455" i="1" s="1"/>
  <c r="G456" i="1"/>
  <c r="G455" i="1"/>
  <c r="F454" i="1"/>
  <c r="F453" i="1" s="1"/>
  <c r="F452" i="1" s="1"/>
  <c r="H453" i="1"/>
  <c r="H452" i="1" s="1"/>
  <c r="G453" i="1"/>
  <c r="G452" i="1"/>
  <c r="H451" i="1"/>
  <c r="H450" i="1" s="1"/>
  <c r="H449" i="1" s="1"/>
  <c r="G451" i="1"/>
  <c r="G450" i="1" s="1"/>
  <c r="G449" i="1" s="1"/>
  <c r="F451" i="1"/>
  <c r="F450" i="1"/>
  <c r="F449" i="1" s="1"/>
  <c r="F448" i="1"/>
  <c r="H447" i="1"/>
  <c r="H446" i="1" s="1"/>
  <c r="G447" i="1"/>
  <c r="G446" i="1" s="1"/>
  <c r="F447" i="1"/>
  <c r="F446" i="1"/>
  <c r="F445" i="1"/>
  <c r="F444" i="1" s="1"/>
  <c r="F443" i="1" s="1"/>
  <c r="F442" i="1" s="1"/>
  <c r="F441" i="1" s="1"/>
  <c r="H444" i="1"/>
  <c r="H443" i="1" s="1"/>
  <c r="G444" i="1"/>
  <c r="G443" i="1" s="1"/>
  <c r="F439" i="1"/>
  <c r="H438" i="1"/>
  <c r="H437" i="1" s="1"/>
  <c r="H436" i="1" s="1"/>
  <c r="G438" i="1"/>
  <c r="G437" i="1" s="1"/>
  <c r="G436" i="1" s="1"/>
  <c r="F438" i="1"/>
  <c r="F437" i="1"/>
  <c r="F436" i="1" s="1"/>
  <c r="F435" i="1"/>
  <c r="H434" i="1"/>
  <c r="G434" i="1"/>
  <c r="F434" i="1"/>
  <c r="F428" i="1" s="1"/>
  <c r="F423" i="1" s="1"/>
  <c r="H432" i="1"/>
  <c r="G432" i="1"/>
  <c r="F432" i="1"/>
  <c r="H430" i="1"/>
  <c r="H429" i="1" s="1"/>
  <c r="H428" i="1" s="1"/>
  <c r="G430" i="1"/>
  <c r="G429" i="1" s="1"/>
  <c r="F430" i="1"/>
  <c r="F429" i="1"/>
  <c r="H425" i="1"/>
  <c r="G425" i="1"/>
  <c r="F425" i="1"/>
  <c r="F424" i="1" s="1"/>
  <c r="H424" i="1"/>
  <c r="H423" i="1" s="1"/>
  <c r="G424" i="1"/>
  <c r="H420" i="1"/>
  <c r="G420" i="1"/>
  <c r="G417" i="1" s="1"/>
  <c r="G416" i="1" s="1"/>
  <c r="F420" i="1"/>
  <c r="F419" i="1"/>
  <c r="H418" i="1"/>
  <c r="G418" i="1"/>
  <c r="F418" i="1"/>
  <c r="F417" i="1" s="1"/>
  <c r="F416" i="1" s="1"/>
  <c r="H417" i="1"/>
  <c r="H416" i="1" s="1"/>
  <c r="H414" i="1"/>
  <c r="H413" i="1" s="1"/>
  <c r="G414" i="1"/>
  <c r="G413" i="1" s="1"/>
  <c r="F414" i="1"/>
  <c r="F413" i="1" s="1"/>
  <c r="H409" i="1"/>
  <c r="G409" i="1"/>
  <c r="F409" i="1"/>
  <c r="H407" i="1"/>
  <c r="G407" i="1"/>
  <c r="F407" i="1"/>
  <c r="H405" i="1"/>
  <c r="G405" i="1"/>
  <c r="F405" i="1"/>
  <c r="H402" i="1"/>
  <c r="H401" i="1" s="1"/>
  <c r="G402" i="1"/>
  <c r="F402" i="1"/>
  <c r="G401" i="1"/>
  <c r="G400" i="1" s="1"/>
  <c r="G396" i="1" s="1"/>
  <c r="F401" i="1"/>
  <c r="H398" i="1"/>
  <c r="G398" i="1"/>
  <c r="F398" i="1"/>
  <c r="F397" i="1" s="1"/>
  <c r="H397" i="1"/>
  <c r="G397" i="1"/>
  <c r="H392" i="1"/>
  <c r="H391" i="1" s="1"/>
  <c r="H390" i="1" s="1"/>
  <c r="G392" i="1"/>
  <c r="G391" i="1" s="1"/>
  <c r="G390" i="1" s="1"/>
  <c r="F392" i="1"/>
  <c r="F391" i="1" s="1"/>
  <c r="F390" i="1" s="1"/>
  <c r="H388" i="1"/>
  <c r="H387" i="1" s="1"/>
  <c r="G388" i="1"/>
  <c r="G387" i="1" s="1"/>
  <c r="F388" i="1"/>
  <c r="F387" i="1" s="1"/>
  <c r="H386" i="1"/>
  <c r="H385" i="1" s="1"/>
  <c r="G386" i="1"/>
  <c r="F386" i="1"/>
  <c r="G385" i="1"/>
  <c r="F385" i="1"/>
  <c r="H383" i="1"/>
  <c r="G383" i="1"/>
  <c r="F383" i="1"/>
  <c r="H381" i="1"/>
  <c r="G381" i="1"/>
  <c r="F381" i="1"/>
  <c r="H377" i="1"/>
  <c r="G377" i="1"/>
  <c r="F377" i="1"/>
  <c r="H375" i="1"/>
  <c r="G375" i="1"/>
  <c r="F375" i="1"/>
  <c r="F374" i="1" s="1"/>
  <c r="F373" i="1" s="1"/>
  <c r="H374" i="1"/>
  <c r="H373" i="1" s="1"/>
  <c r="H370" i="1"/>
  <c r="G370" i="1"/>
  <c r="F370" i="1"/>
  <c r="F367" i="1" s="1"/>
  <c r="H369" i="1"/>
  <c r="H368" i="1" s="1"/>
  <c r="H367" i="1" s="1"/>
  <c r="G368" i="1"/>
  <c r="F368" i="1"/>
  <c r="G367" i="1"/>
  <c r="H365" i="1"/>
  <c r="G365" i="1"/>
  <c r="F365" i="1"/>
  <c r="F364" i="1"/>
  <c r="F363" i="1" s="1"/>
  <c r="H363" i="1"/>
  <c r="G363" i="1"/>
  <c r="H361" i="1"/>
  <c r="H360" i="1" s="1"/>
  <c r="H359" i="1" s="1"/>
  <c r="H358" i="1" s="1"/>
  <c r="G361" i="1"/>
  <c r="F361" i="1"/>
  <c r="G360" i="1"/>
  <c r="G359" i="1" s="1"/>
  <c r="G358" i="1" s="1"/>
  <c r="F360" i="1"/>
  <c r="H356" i="1"/>
  <c r="G356" i="1"/>
  <c r="G355" i="1" s="1"/>
  <c r="F356" i="1"/>
  <c r="F355" i="1" s="1"/>
  <c r="H355" i="1"/>
  <c r="H353" i="1"/>
  <c r="H352" i="1" s="1"/>
  <c r="H341" i="1" s="1"/>
  <c r="H340" i="1" s="1"/>
  <c r="G353" i="1"/>
  <c r="F353" i="1"/>
  <c r="G352" i="1"/>
  <c r="F352" i="1"/>
  <c r="H350" i="1"/>
  <c r="G350" i="1"/>
  <c r="G349" i="1" s="1"/>
  <c r="F350" i="1"/>
  <c r="F349" i="1" s="1"/>
  <c r="H349" i="1"/>
  <c r="F348" i="1"/>
  <c r="F346" i="1" s="1"/>
  <c r="H346" i="1"/>
  <c r="G346" i="1"/>
  <c r="F345" i="1"/>
  <c r="F343" i="1" s="1"/>
  <c r="H343" i="1"/>
  <c r="G343" i="1"/>
  <c r="H342" i="1"/>
  <c r="G342" i="1"/>
  <c r="H338" i="1"/>
  <c r="G338" i="1"/>
  <c r="F338" i="1"/>
  <c r="H336" i="1"/>
  <c r="H335" i="1" s="1"/>
  <c r="G336" i="1"/>
  <c r="G335" i="1" s="1"/>
  <c r="F336" i="1"/>
  <c r="F335" i="1" s="1"/>
  <c r="H333" i="1"/>
  <c r="G333" i="1"/>
  <c r="G332" i="1" s="1"/>
  <c r="F333" i="1"/>
  <c r="F332" i="1" s="1"/>
  <c r="H332" i="1"/>
  <c r="H329" i="1"/>
  <c r="H328" i="1" s="1"/>
  <c r="H327" i="1" s="1"/>
  <c r="G329" i="1"/>
  <c r="G328" i="1" s="1"/>
  <c r="F329" i="1"/>
  <c r="F328" i="1" s="1"/>
  <c r="F326" i="1"/>
  <c r="F325" i="1" s="1"/>
  <c r="H325" i="1"/>
  <c r="G325" i="1"/>
  <c r="G324" i="1"/>
  <c r="G323" i="1" s="1"/>
  <c r="F324" i="1"/>
  <c r="F323" i="1" s="1"/>
  <c r="H323" i="1"/>
  <c r="G322" i="1"/>
  <c r="G321" i="1" s="1"/>
  <c r="F322" i="1"/>
  <c r="F321" i="1" s="1"/>
  <c r="H321" i="1"/>
  <c r="F319" i="1"/>
  <c r="F318" i="1" s="1"/>
  <c r="F317" i="1" s="1"/>
  <c r="H318" i="1"/>
  <c r="H317" i="1" s="1"/>
  <c r="G318" i="1"/>
  <c r="G317" i="1" s="1"/>
  <c r="H313" i="1"/>
  <c r="H312" i="1" s="1"/>
  <c r="H311" i="1" s="1"/>
  <c r="G313" i="1"/>
  <c r="G312" i="1" s="1"/>
  <c r="G311" i="1" s="1"/>
  <c r="F313" i="1"/>
  <c r="F312" i="1"/>
  <c r="F311" i="1" s="1"/>
  <c r="H309" i="1"/>
  <c r="H308" i="1" s="1"/>
  <c r="G309" i="1"/>
  <c r="G308" i="1" s="1"/>
  <c r="F309" i="1"/>
  <c r="F308" i="1" s="1"/>
  <c r="H306" i="1"/>
  <c r="G306" i="1"/>
  <c r="F306" i="1"/>
  <c r="H305" i="1"/>
  <c r="G305" i="1"/>
  <c r="F305" i="1"/>
  <c r="H302" i="1"/>
  <c r="G302" i="1"/>
  <c r="G301" i="1" s="1"/>
  <c r="G289" i="1" s="1"/>
  <c r="F302" i="1"/>
  <c r="F301" i="1" s="1"/>
  <c r="F289" i="1" s="1"/>
  <c r="H301" i="1"/>
  <c r="F300" i="1"/>
  <c r="H298" i="1"/>
  <c r="G298" i="1"/>
  <c r="F298" i="1"/>
  <c r="H296" i="1"/>
  <c r="G296" i="1"/>
  <c r="F296" i="1"/>
  <c r="H294" i="1"/>
  <c r="G294" i="1"/>
  <c r="F294" i="1"/>
  <c r="H292" i="1"/>
  <c r="G292" i="1"/>
  <c r="F292" i="1"/>
  <c r="H290" i="1"/>
  <c r="G290" i="1"/>
  <c r="F290" i="1"/>
  <c r="H288" i="1"/>
  <c r="H286" i="1" s="1"/>
  <c r="H285" i="1" s="1"/>
  <c r="G288" i="1"/>
  <c r="G286" i="1" s="1"/>
  <c r="G285" i="1" s="1"/>
  <c r="F288" i="1"/>
  <c r="F286" i="1" s="1"/>
  <c r="F285" i="1" s="1"/>
  <c r="H282" i="1"/>
  <c r="H281" i="1" s="1"/>
  <c r="G282" i="1"/>
  <c r="G281" i="1" s="1"/>
  <c r="F282" i="1"/>
  <c r="F281" i="1" s="1"/>
  <c r="H279" i="1"/>
  <c r="H276" i="1" s="1"/>
  <c r="G279" i="1"/>
  <c r="F279" i="1"/>
  <c r="G278" i="1"/>
  <c r="F278" i="1"/>
  <c r="F277" i="1" s="1"/>
  <c r="F276" i="1" s="1"/>
  <c r="H277" i="1"/>
  <c r="G277" i="1"/>
  <c r="F275" i="1"/>
  <c r="H274" i="1"/>
  <c r="G274" i="1"/>
  <c r="F274" i="1"/>
  <c r="H273" i="1"/>
  <c r="H272" i="1" s="1"/>
  <c r="H271" i="1" s="1"/>
  <c r="G273" i="1"/>
  <c r="G272" i="1" s="1"/>
  <c r="G271" i="1" s="1"/>
  <c r="F273" i="1"/>
  <c r="F272" i="1"/>
  <c r="F268" i="1"/>
  <c r="F267" i="1" s="1"/>
  <c r="H267" i="1"/>
  <c r="G267" i="1"/>
  <c r="G263" i="1" s="1"/>
  <c r="H265" i="1"/>
  <c r="G265" i="1"/>
  <c r="F265" i="1"/>
  <c r="F264" i="1" s="1"/>
  <c r="H264" i="1"/>
  <c r="H263" i="1" s="1"/>
  <c r="G264" i="1"/>
  <c r="H261" i="1"/>
  <c r="H260" i="1" s="1"/>
  <c r="G261" i="1"/>
  <c r="G260" i="1" s="1"/>
  <c r="F261" i="1"/>
  <c r="F260" i="1" s="1"/>
  <c r="H258" i="1"/>
  <c r="G258" i="1"/>
  <c r="F258" i="1"/>
  <c r="H253" i="1"/>
  <c r="G253" i="1"/>
  <c r="F253" i="1"/>
  <c r="F252" i="1" s="1"/>
  <c r="H252" i="1"/>
  <c r="G252" i="1"/>
  <c r="H249" i="1"/>
  <c r="G249" i="1"/>
  <c r="G248" i="1" s="1"/>
  <c r="F249" i="1"/>
  <c r="F248" i="1" s="1"/>
  <c r="H248" i="1"/>
  <c r="H246" i="1"/>
  <c r="G246" i="1"/>
  <c r="F246" i="1"/>
  <c r="H244" i="1"/>
  <c r="G244" i="1"/>
  <c r="F244" i="1"/>
  <c r="H243" i="1"/>
  <c r="H242" i="1" s="1"/>
  <c r="G243" i="1"/>
  <c r="F243" i="1"/>
  <c r="F242" i="1" s="1"/>
  <c r="G242" i="1"/>
  <c r="H241" i="1"/>
  <c r="G241" i="1"/>
  <c r="F241" i="1"/>
  <c r="F240" i="1" s="1"/>
  <c r="H240" i="1"/>
  <c r="G240" i="1"/>
  <c r="H239" i="1"/>
  <c r="G239" i="1"/>
  <c r="G238" i="1" s="1"/>
  <c r="F239" i="1"/>
  <c r="F238" i="1" s="1"/>
  <c r="H238" i="1"/>
  <c r="H234" i="1" s="1"/>
  <c r="H235" i="1"/>
  <c r="G235" i="1"/>
  <c r="G234" i="1" s="1"/>
  <c r="G233" i="1" s="1"/>
  <c r="F235" i="1"/>
  <c r="H232" i="1"/>
  <c r="H231" i="1" s="1"/>
  <c r="H230" i="1" s="1"/>
  <c r="G232" i="1"/>
  <c r="F232" i="1"/>
  <c r="G231" i="1"/>
  <c r="G230" i="1" s="1"/>
  <c r="F231" i="1"/>
  <c r="F230" i="1" s="1"/>
  <c r="H229" i="1"/>
  <c r="G229" i="1"/>
  <c r="G228" i="1" s="1"/>
  <c r="F229" i="1"/>
  <c r="F228" i="1" s="1"/>
  <c r="H228" i="1"/>
  <c r="F227" i="1"/>
  <c r="H226" i="1"/>
  <c r="G226" i="1"/>
  <c r="F226" i="1"/>
  <c r="H225" i="1"/>
  <c r="H224" i="1" s="1"/>
  <c r="G225" i="1"/>
  <c r="G224" i="1" s="1"/>
  <c r="F225" i="1"/>
  <c r="F224" i="1" s="1"/>
  <c r="H223" i="1"/>
  <c r="G223" i="1"/>
  <c r="G222" i="1" s="1"/>
  <c r="F223" i="1"/>
  <c r="H222" i="1"/>
  <c r="F222" i="1"/>
  <c r="F221" i="1"/>
  <c r="F220" i="1" s="1"/>
  <c r="H220" i="1"/>
  <c r="G220" i="1"/>
  <c r="H219" i="1"/>
  <c r="H218" i="1" s="1"/>
  <c r="H215" i="1" s="1"/>
  <c r="H214" i="1" s="1"/>
  <c r="G219" i="1"/>
  <c r="G218" i="1" s="1"/>
  <c r="F219" i="1"/>
  <c r="F218" i="1"/>
  <c r="F217" i="1"/>
  <c r="F216" i="1" s="1"/>
  <c r="H216" i="1"/>
  <c r="G216" i="1"/>
  <c r="H212" i="1"/>
  <c r="G212" i="1"/>
  <c r="F212" i="1"/>
  <c r="F211" i="1" s="1"/>
  <c r="H211" i="1"/>
  <c r="G211" i="1"/>
  <c r="F210" i="1"/>
  <c r="F209" i="1" s="1"/>
  <c r="H209" i="1"/>
  <c r="G209" i="1"/>
  <c r="G208" i="1"/>
  <c r="G207" i="1" s="1"/>
  <c r="F208" i="1"/>
  <c r="H207" i="1"/>
  <c r="F207" i="1"/>
  <c r="G206" i="1"/>
  <c r="G205" i="1" s="1"/>
  <c r="F206" i="1"/>
  <c r="F205" i="1" s="1"/>
  <c r="H205" i="1"/>
  <c r="H204" i="1"/>
  <c r="H203" i="1" s="1"/>
  <c r="H197" i="1"/>
  <c r="G197" i="1"/>
  <c r="F197" i="1"/>
  <c r="H196" i="1"/>
  <c r="H195" i="1" s="1"/>
  <c r="G196" i="1"/>
  <c r="G195" i="1" s="1"/>
  <c r="F196" i="1"/>
  <c r="F195" i="1"/>
  <c r="H193" i="1"/>
  <c r="G193" i="1"/>
  <c r="G192" i="1" s="1"/>
  <c r="F193" i="1"/>
  <c r="F192" i="1" s="1"/>
  <c r="H189" i="1"/>
  <c r="H188" i="1" s="1"/>
  <c r="G189" i="1"/>
  <c r="G188" i="1" s="1"/>
  <c r="F189" i="1"/>
  <c r="F188" i="1" s="1"/>
  <c r="F187" i="1"/>
  <c r="F186" i="1"/>
  <c r="F185" i="1" s="1"/>
  <c r="F184" i="1" s="1"/>
  <c r="H185" i="1"/>
  <c r="H184" i="1" s="1"/>
  <c r="G185" i="1"/>
  <c r="G184" i="1"/>
  <c r="H182" i="1"/>
  <c r="G182" i="1"/>
  <c r="G179" i="1" s="1"/>
  <c r="F182" i="1"/>
  <c r="F181" i="1"/>
  <c r="F179" i="1" s="1"/>
  <c r="H179" i="1"/>
  <c r="H177" i="1"/>
  <c r="G177" i="1"/>
  <c r="F177" i="1"/>
  <c r="H176" i="1"/>
  <c r="G176" i="1"/>
  <c r="F176" i="1"/>
  <c r="H175" i="1"/>
  <c r="G175" i="1"/>
  <c r="F175" i="1"/>
  <c r="F172" i="1" s="1"/>
  <c r="F171" i="1" s="1"/>
  <c r="G172" i="1"/>
  <c r="H167" i="1"/>
  <c r="H166" i="1" s="1"/>
  <c r="G167" i="1"/>
  <c r="G166" i="1" s="1"/>
  <c r="F167" i="1"/>
  <c r="F166" i="1" s="1"/>
  <c r="F165" i="1" s="1"/>
  <c r="F164" i="1"/>
  <c r="H163" i="1"/>
  <c r="G163" i="1"/>
  <c r="G162" i="1" s="1"/>
  <c r="F163" i="1"/>
  <c r="F162" i="1" s="1"/>
  <c r="H162" i="1"/>
  <c r="H161" i="1"/>
  <c r="G161" i="1"/>
  <c r="G160" i="1" s="1"/>
  <c r="F161" i="1"/>
  <c r="F160" i="1" s="1"/>
  <c r="H160" i="1"/>
  <c r="H157" i="1" s="1"/>
  <c r="H159" i="1"/>
  <c r="G159" i="1"/>
  <c r="G158" i="1" s="1"/>
  <c r="G157" i="1" s="1"/>
  <c r="F159" i="1"/>
  <c r="F158" i="1" s="1"/>
  <c r="F157" i="1" s="1"/>
  <c r="H158" i="1"/>
  <c r="H156" i="1"/>
  <c r="H153" i="1" s="1"/>
  <c r="H152" i="1" s="1"/>
  <c r="G156" i="1"/>
  <c r="F156" i="1"/>
  <c r="F153" i="1" s="1"/>
  <c r="F152" i="1" s="1"/>
  <c r="G153" i="1"/>
  <c r="G152" i="1" s="1"/>
  <c r="H150" i="1"/>
  <c r="G150" i="1"/>
  <c r="G149" i="1" s="1"/>
  <c r="F150" i="1"/>
  <c r="F149" i="1" s="1"/>
  <c r="H149" i="1"/>
  <c r="H145" i="1"/>
  <c r="H144" i="1" s="1"/>
  <c r="G145" i="1"/>
  <c r="G144" i="1" s="1"/>
  <c r="F145" i="1"/>
  <c r="F144" i="1" s="1"/>
  <c r="H140" i="1"/>
  <c r="G140" i="1"/>
  <c r="F140" i="1"/>
  <c r="F139" i="1"/>
  <c r="F136" i="1" s="1"/>
  <c r="F135" i="1" s="1"/>
  <c r="G138" i="1"/>
  <c r="G136" i="1" s="1"/>
  <c r="G135" i="1" s="1"/>
  <c r="F138" i="1"/>
  <c r="F137" i="1"/>
  <c r="H136" i="1"/>
  <c r="H135" i="1" s="1"/>
  <c r="F132" i="1"/>
  <c r="F131" i="1" s="1"/>
  <c r="F130" i="1" s="1"/>
  <c r="F129" i="1" s="1"/>
  <c r="H131" i="1"/>
  <c r="H130" i="1" s="1"/>
  <c r="H129" i="1" s="1"/>
  <c r="G131" i="1"/>
  <c r="G130" i="1"/>
  <c r="G129" i="1" s="1"/>
  <c r="H127" i="1"/>
  <c r="H126" i="1" s="1"/>
  <c r="G127" i="1"/>
  <c r="G126" i="1" s="1"/>
  <c r="F127" i="1"/>
  <c r="F126" i="1" s="1"/>
  <c r="H124" i="1"/>
  <c r="G124" i="1"/>
  <c r="G123" i="1" s="1"/>
  <c r="F124" i="1"/>
  <c r="F123" i="1" s="1"/>
  <c r="H123" i="1"/>
  <c r="H121" i="1"/>
  <c r="G121" i="1"/>
  <c r="F121" i="1"/>
  <c r="H119" i="1"/>
  <c r="G119" i="1"/>
  <c r="F119" i="1"/>
  <c r="H117" i="1"/>
  <c r="G117" i="1"/>
  <c r="F117" i="1"/>
  <c r="H115" i="1"/>
  <c r="G115" i="1"/>
  <c r="F115" i="1"/>
  <c r="H114" i="1"/>
  <c r="H113" i="1" s="1"/>
  <c r="G114" i="1"/>
  <c r="F114" i="1"/>
  <c r="G113" i="1"/>
  <c r="F113" i="1"/>
  <c r="H112" i="1"/>
  <c r="G112" i="1"/>
  <c r="F112" i="1"/>
  <c r="H111" i="1"/>
  <c r="G111" i="1"/>
  <c r="F111" i="1"/>
  <c r="H110" i="1"/>
  <c r="G110" i="1"/>
  <c r="F110" i="1"/>
  <c r="H108" i="1"/>
  <c r="H107" i="1" s="1"/>
  <c r="G108" i="1"/>
  <c r="G107" i="1" s="1"/>
  <c r="F108" i="1"/>
  <c r="F107" i="1" s="1"/>
  <c r="H103" i="1"/>
  <c r="G103" i="1"/>
  <c r="G102" i="1" s="1"/>
  <c r="F103" i="1"/>
  <c r="F102" i="1" s="1"/>
  <c r="H102" i="1"/>
  <c r="H100" i="1"/>
  <c r="G100" i="1"/>
  <c r="G99" i="1" s="1"/>
  <c r="F100" i="1"/>
  <c r="F99" i="1" s="1"/>
  <c r="H99" i="1"/>
  <c r="H97" i="1"/>
  <c r="G97" i="1"/>
  <c r="G96" i="1" s="1"/>
  <c r="F97" i="1"/>
  <c r="F96" i="1" s="1"/>
  <c r="H96" i="1"/>
  <c r="H94" i="1"/>
  <c r="G94" i="1"/>
  <c r="G93" i="1" s="1"/>
  <c r="F94" i="1"/>
  <c r="F93" i="1" s="1"/>
  <c r="H93" i="1"/>
  <c r="H89" i="1"/>
  <c r="H88" i="1" s="1"/>
  <c r="G89" i="1"/>
  <c r="G88" i="1" s="1"/>
  <c r="F89" i="1"/>
  <c r="F88" i="1" s="1"/>
  <c r="F87" i="1"/>
  <c r="H86" i="1"/>
  <c r="H85" i="1" s="1"/>
  <c r="G86" i="1"/>
  <c r="G85" i="1" s="1"/>
  <c r="F86" i="1"/>
  <c r="F85" i="1" s="1"/>
  <c r="H83" i="1"/>
  <c r="G83" i="1"/>
  <c r="F83" i="1"/>
  <c r="H81" i="1"/>
  <c r="H80" i="1" s="1"/>
  <c r="H79" i="1" s="1"/>
  <c r="G81" i="1"/>
  <c r="F81" i="1"/>
  <c r="G80" i="1"/>
  <c r="G79" i="1" s="1"/>
  <c r="F80" i="1"/>
  <c r="F79" i="1" s="1"/>
  <c r="H77" i="1"/>
  <c r="G77" i="1"/>
  <c r="G76" i="1" s="1"/>
  <c r="G73" i="1" s="1"/>
  <c r="F77" i="1"/>
  <c r="F76" i="1" s="1"/>
  <c r="F73" i="1" s="1"/>
  <c r="H76" i="1"/>
  <c r="H74" i="1"/>
  <c r="H73" i="1" s="1"/>
  <c r="G74" i="1"/>
  <c r="F74" i="1"/>
  <c r="F72" i="1"/>
  <c r="H71" i="1"/>
  <c r="G71" i="1"/>
  <c r="G70" i="1" s="1"/>
  <c r="F71" i="1"/>
  <c r="F70" i="1" s="1"/>
  <c r="H70" i="1"/>
  <c r="F69" i="1"/>
  <c r="H68" i="1"/>
  <c r="G68" i="1"/>
  <c r="G67" i="1" s="1"/>
  <c r="F68" i="1"/>
  <c r="F67" i="1" s="1"/>
  <c r="H67" i="1"/>
  <c r="H63" i="1"/>
  <c r="G63" i="1"/>
  <c r="F63" i="1"/>
  <c r="H61" i="1"/>
  <c r="G61" i="1"/>
  <c r="F61" i="1"/>
  <c r="F60" i="1" s="1"/>
  <c r="H60" i="1"/>
  <c r="H59" i="1"/>
  <c r="H58" i="1" s="1"/>
  <c r="H57" i="1" s="1"/>
  <c r="G59" i="1"/>
  <c r="G58" i="1" s="1"/>
  <c r="G57" i="1" s="1"/>
  <c r="F59" i="1"/>
  <c r="F58" i="1"/>
  <c r="F57" i="1" s="1"/>
  <c r="H56" i="1"/>
  <c r="G56" i="1"/>
  <c r="G55" i="1" s="1"/>
  <c r="G54" i="1" s="1"/>
  <c r="F56" i="1"/>
  <c r="F55" i="1" s="1"/>
  <c r="F54" i="1" s="1"/>
  <c r="H55" i="1"/>
  <c r="H54" i="1" s="1"/>
  <c r="F53" i="1"/>
  <c r="F52" i="1" s="1"/>
  <c r="F51" i="1" s="1"/>
  <c r="F50" i="1" s="1"/>
  <c r="H52" i="1"/>
  <c r="G52" i="1"/>
  <c r="H51" i="1"/>
  <c r="G51" i="1"/>
  <c r="H48" i="1"/>
  <c r="G48" i="1"/>
  <c r="F48" i="1"/>
  <c r="H47" i="1"/>
  <c r="H46" i="1" s="1"/>
  <c r="H45" i="1" s="1"/>
  <c r="H44" i="1" s="1"/>
  <c r="G47" i="1"/>
  <c r="G46" i="1" s="1"/>
  <c r="G45" i="1" s="1"/>
  <c r="G44" i="1" s="1"/>
  <c r="F47" i="1"/>
  <c r="F46" i="1" s="1"/>
  <c r="F45" i="1" s="1"/>
  <c r="F44" i="1" s="1"/>
  <c r="H40" i="1"/>
  <c r="H39" i="1" s="1"/>
  <c r="G40" i="1"/>
  <c r="G39" i="1" s="1"/>
  <c r="F40" i="1"/>
  <c r="F39" i="1" s="1"/>
  <c r="H37" i="1"/>
  <c r="G37" i="1"/>
  <c r="F37" i="1"/>
  <c r="H34" i="1"/>
  <c r="G34" i="1"/>
  <c r="F34" i="1"/>
  <c r="H29" i="1"/>
  <c r="G29" i="1"/>
  <c r="F29" i="1"/>
  <c r="H23" i="1"/>
  <c r="H22" i="1" s="1"/>
  <c r="G23" i="1"/>
  <c r="F23" i="1"/>
  <c r="H19" i="1"/>
  <c r="H18" i="1" s="1"/>
  <c r="G19" i="1"/>
  <c r="G18" i="1" s="1"/>
  <c r="F19" i="1"/>
  <c r="F18" i="1" s="1"/>
  <c r="H15" i="1"/>
  <c r="G15" i="1"/>
  <c r="F15" i="1"/>
  <c r="F14" i="1" s="1"/>
  <c r="H12" i="1"/>
  <c r="H11" i="1" s="1"/>
  <c r="G12" i="1"/>
  <c r="G11" i="1" s="1"/>
  <c r="F12" i="1"/>
  <c r="F11" i="1" s="1"/>
  <c r="F10" i="1" s="1"/>
  <c r="H289" i="1" l="1"/>
  <c r="H400" i="1"/>
  <c r="G341" i="1"/>
  <c r="G340" i="1" s="1"/>
  <c r="F204" i="1"/>
  <c r="H320" i="1"/>
  <c r="F78" i="1"/>
  <c r="G204" i="1"/>
  <c r="G203" i="1" s="1"/>
  <c r="F359" i="1"/>
  <c r="F358" i="1" s="1"/>
  <c r="F340" i="1" s="1"/>
  <c r="F396" i="1"/>
  <c r="F389" i="1" s="1"/>
  <c r="F415" i="1"/>
  <c r="G60" i="1"/>
  <c r="G50" i="1" s="1"/>
  <c r="G43" i="1" s="1"/>
  <c r="G78" i="1"/>
  <c r="H192" i="1"/>
  <c r="G320" i="1"/>
  <c r="G316" i="1" s="1"/>
  <c r="F342" i="1"/>
  <c r="F341" i="1" s="1"/>
  <c r="G374" i="1"/>
  <c r="G373" i="1" s="1"/>
  <c r="H380" i="1"/>
  <c r="H379" i="1" s="1"/>
  <c r="H109" i="1"/>
  <c r="G284" i="1"/>
  <c r="F109" i="1"/>
  <c r="H172" i="1"/>
  <c r="H171" i="1" s="1"/>
  <c r="H165" i="1" s="1"/>
  <c r="G276" i="1"/>
  <c r="G270" i="1" s="1"/>
  <c r="G269" i="1" s="1"/>
  <c r="F380" i="1"/>
  <c r="F379" i="1" s="1"/>
  <c r="F372" i="1" s="1"/>
  <c r="F66" i="1"/>
  <c r="F271" i="1"/>
  <c r="F400" i="1"/>
  <c r="G428" i="1"/>
  <c r="H50" i="1"/>
  <c r="G66" i="1"/>
  <c r="G65" i="1" s="1"/>
  <c r="H316" i="1"/>
  <c r="H315" i="1" s="1"/>
  <c r="F22" i="1"/>
  <c r="H66" i="1"/>
  <c r="H65" i="1" s="1"/>
  <c r="G171" i="1"/>
  <c r="G165" i="1" s="1"/>
  <c r="G22" i="1"/>
  <c r="G21" i="1" s="1"/>
  <c r="G109" i="1"/>
  <c r="F320" i="1"/>
  <c r="F65" i="1"/>
  <c r="F284" i="1"/>
  <c r="G10" i="1"/>
  <c r="F21" i="1"/>
  <c r="F9" i="1" s="1"/>
  <c r="F43" i="1"/>
  <c r="G134" i="1"/>
  <c r="H233" i="1"/>
  <c r="H202" i="1" s="1"/>
  <c r="H284" i="1"/>
  <c r="H134" i="1"/>
  <c r="F234" i="1"/>
  <c r="F270" i="1"/>
  <c r="F269" i="1" s="1"/>
  <c r="H43" i="1"/>
  <c r="F106" i="1"/>
  <c r="F92" i="1" s="1"/>
  <c r="F91" i="1" s="1"/>
  <c r="F215" i="1"/>
  <c r="F214" i="1" s="1"/>
  <c r="G14" i="1"/>
  <c r="H270" i="1"/>
  <c r="F316" i="1"/>
  <c r="H14" i="1"/>
  <c r="H10" i="1" s="1"/>
  <c r="G106" i="1"/>
  <c r="G92" i="1" s="1"/>
  <c r="G91" i="1" s="1"/>
  <c r="F327" i="1"/>
  <c r="G380" i="1"/>
  <c r="G379" i="1" s="1"/>
  <c r="G372" i="1" s="1"/>
  <c r="G442" i="1"/>
  <c r="G441" i="1" s="1"/>
  <c r="H106" i="1"/>
  <c r="F134" i="1"/>
  <c r="F133" i="1" s="1"/>
  <c r="G215" i="1"/>
  <c r="G214" i="1" s="1"/>
  <c r="G202" i="1" s="1"/>
  <c r="G327" i="1"/>
  <c r="H372" i="1"/>
  <c r="G389" i="1"/>
  <c r="G423" i="1"/>
  <c r="G415" i="1" s="1"/>
  <c r="H442" i="1"/>
  <c r="H441" i="1" s="1"/>
  <c r="F263" i="1"/>
  <c r="H21" i="1"/>
  <c r="H78" i="1"/>
  <c r="F203" i="1"/>
  <c r="H396" i="1"/>
  <c r="H389" i="1" s="1"/>
  <c r="H415" i="1"/>
  <c r="G9" i="1" l="1"/>
  <c r="F233" i="1"/>
  <c r="F315" i="1"/>
  <c r="H133" i="1"/>
  <c r="H269" i="1"/>
  <c r="F202" i="1"/>
  <c r="H9" i="1"/>
  <c r="G315" i="1"/>
  <c r="F459" i="1"/>
  <c r="G133" i="1"/>
  <c r="G459" i="1" s="1"/>
  <c r="H92" i="1"/>
  <c r="H91" i="1" s="1"/>
  <c r="H459" i="1" l="1"/>
</calcChain>
</file>

<file path=xl/sharedStrings.xml><?xml version="1.0" encoding="utf-8"?>
<sst xmlns="http://schemas.openxmlformats.org/spreadsheetml/2006/main" count="1816" uniqueCount="532">
  <si>
    <t xml:space="preserve">Приложение 5 
к решению Представительного Собрания Нюксенского муниципального округа Вологодской области  от ХХ.12.2024 года № ХХ "О бюджете Нюксенского муниципального округа Вологодской области на 2025 год и плановый период 2026 и 2027 годов"      </t>
  </si>
  <si>
    <t xml:space="preserve">Распределение </t>
  </si>
  <si>
    <t>бюджетных ассигнований на реализацию муниципальных программ 
Нюксенского муниципального округа на 2025 год и плановый период 2026 и 2027 годов</t>
  </si>
  <si>
    <t>(тыс.руб.)</t>
  </si>
  <si>
    <t>Наименование муниципальной программы</t>
  </si>
  <si>
    <t>КЦСР</t>
  </si>
  <si>
    <t>РЗ</t>
  </si>
  <si>
    <t>ПР</t>
  </si>
  <si>
    <t>КВР</t>
  </si>
  <si>
    <t>2025</t>
  </si>
  <si>
    <t>2026</t>
  </si>
  <si>
    <t>2027</t>
  </si>
  <si>
    <t>6</t>
  </si>
  <si>
    <t>7</t>
  </si>
  <si>
    <t>8</t>
  </si>
  <si>
    <t xml:space="preserve">Социальная поддержка населения и социально ориентированных некоммерческих организаций Нюксенского муниципального округа </t>
  </si>
  <si>
    <t>01 0 00 00000</t>
  </si>
  <si>
    <t>Муниципальный проект, не связанный с национальным проектом</t>
  </si>
  <si>
    <t>01 2 00 00000</t>
  </si>
  <si>
    <t>Муниципальный проект "Предоставление финансовой и имущественной поддержки социально ориентированным некоммерческим организациям"</t>
  </si>
  <si>
    <t>01 2 01 00000</t>
  </si>
  <si>
    <t xml:space="preserve">Предоставление субсидий социально ориентированным некоммерческим организациям </t>
  </si>
  <si>
    <t>01 2 01 25150</t>
  </si>
  <si>
    <t>01</t>
  </si>
  <si>
    <t>13</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</si>
  <si>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</si>
  <si>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</si>
  <si>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Муниципальный проект "Здоровье нюксян"</t>
  </si>
  <si>
    <t>01 2 02 00000</t>
  </si>
  <si>
    <t>Мероприятия, направленные на формирование здорового образа жизни населения</t>
  </si>
  <si>
    <t>01 2 02 29070</t>
  </si>
  <si>
    <t>Иные закупки товаров, работ и услуг для обеспечения государственных (муниципальных) нужд</t>
  </si>
  <si>
    <t>240</t>
  </si>
  <si>
    <t xml:space="preserve">Субсидии бюджетным учреждениям </t>
  </si>
  <si>
    <t>610</t>
  </si>
  <si>
    <t>Мероприятия, направленных на развитие кадрового потенциала в области здравоохранения</t>
  </si>
  <si>
    <t>01 2 02 29030</t>
  </si>
  <si>
    <t>Создание условия для развития кадрового потенциала</t>
  </si>
  <si>
    <t>Комплекс процессных мероприятий</t>
  </si>
  <si>
    <t>01 4 00 00000</t>
  </si>
  <si>
    <t>Комплекс процессных мероприятий "Предоставление мер социальной поддержки отдельным категориям граждан и иных социальных выплат"</t>
  </si>
  <si>
    <t>01 4 01 00000</t>
  </si>
  <si>
    <t>Мероприятия в области социальной политики</t>
  </si>
  <si>
    <t>01 4 01 25140</t>
  </si>
  <si>
    <t>Расходы на выплаты персоналу казенных учреждений</t>
  </si>
  <si>
    <t>10</t>
  </si>
  <si>
    <t>03</t>
  </si>
  <si>
    <t>110</t>
  </si>
  <si>
    <t>Социальные выплаты гражданам, кроме публичных нормативных социальных выплат</t>
  </si>
  <si>
    <t>320</t>
  </si>
  <si>
    <t xml:space="preserve">Субсидии автономным учреждениям
</t>
  </si>
  <si>
    <t>620</t>
  </si>
  <si>
    <t>Реализация мер социальной поддержки граждан, призванных на военную службу по мобилизации, по контракту и членов их семей</t>
  </si>
  <si>
    <t>01 4 01 25160</t>
  </si>
  <si>
    <t>Публичные нормативные социальные выплаты гражданам</t>
  </si>
  <si>
    <t>310</t>
  </si>
  <si>
    <t>06</t>
  </si>
  <si>
    <t xml:space="preserve">Доплаты к пенсиям </t>
  </si>
  <si>
    <t>01 4 01 80010</t>
  </si>
  <si>
    <t xml:space="preserve">Публичные нормативные социальные выплаты гражданам
</t>
  </si>
  <si>
    <t>Ежемесячное денежное вознаграждение лицам, удостоенным звания "Почетный гражданин Нюксенского муниципального округа"</t>
  </si>
  <si>
    <t>01 4 01 80020</t>
  </si>
  <si>
    <t xml:space="preserve">Публичные нормативные выплаты гражданам несоциального характера
</t>
  </si>
  <si>
    <t>330</t>
  </si>
  <si>
    <t>Комплекс процессных мероприятий "Обеспечение организации и осуществления органами местного самоуправления деятельности по опеке и попечительству"</t>
  </si>
  <si>
    <t>01 4 02 00000</t>
  </si>
  <si>
    <t>04</t>
  </si>
  <si>
    <t>Выполнение отдельных государственных полномочий по закону области от 17 декабря 2007 года №1720-ОЗ "О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детей-сирот и детей, оставшихся без попечения родителей (за исключением детей обучающихся в федеральных образовательных учреждениях), лиц из числа детей указанных категорий"</t>
  </si>
  <si>
    <t>01 4 02 72310</t>
  </si>
  <si>
    <t>Расходы на выплаты персоналу государственных (муниципальных) органов</t>
  </si>
  <si>
    <t>120</t>
  </si>
  <si>
    <t>Дорожная сеть и транспортное обслуживание Нюксенского муниципального округа</t>
  </si>
  <si>
    <t>02 0 00 00000</t>
  </si>
  <si>
    <t>Муниципальные проекты, не связанные с национальными проектами</t>
  </si>
  <si>
    <t>02 2 00 00000</t>
  </si>
  <si>
    <t>Муниципальный проект "Ремонт и капитальный ремонт автомобильных дорог и искусственных сооружений"</t>
  </si>
  <si>
    <t>02 2 01 00000</t>
  </si>
  <si>
    <t>09</t>
  </si>
  <si>
    <t>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 предоставляемым отдельным категориям граждан</t>
  </si>
  <si>
    <t>02 2 01 9Д150</t>
  </si>
  <si>
    <t>Иные закупки товаров, работ и услуг для государственных (муниципальных) нужд</t>
  </si>
  <si>
    <t>Выполнение работ по ремонту и капитальному ремонту автомобильных дорог и искусственных сооружений</t>
  </si>
  <si>
    <t>02 2 01 41300</t>
  </si>
  <si>
    <t>02 4 00 00000</t>
  </si>
  <si>
    <t>Комплекс процессных мероприятий "Содержание автомобильных дорог общего пользования местного значения"</t>
  </si>
  <si>
    <t>02 4 01 00000</t>
  </si>
  <si>
    <t>Выполнение работ по содержанию автомобильных дорог и  искусственных сооружений</t>
  </si>
  <si>
    <t>02 4 01 41200</t>
  </si>
  <si>
    <t>Комплекс процессных мероприятий "Транспортное обслуживание населения"</t>
  </si>
  <si>
    <t>02 4 02 00000</t>
  </si>
  <si>
    <t>08</t>
  </si>
  <si>
    <t>Организация транспортного обслуживания населения на муниципальных маршрутах регулярных перевозок по регулируемым тарифам</t>
  </si>
  <si>
    <t>02 4 02 S1370</t>
  </si>
  <si>
    <t>Субсидии бюджетным учреждениям</t>
  </si>
  <si>
    <t>Комплекс процессных мероприятий "Обеспечение деятельности муниципального бюджетного учреждения "Нюксеницаавтотранс"</t>
  </si>
  <si>
    <t>02 4 03 00000</t>
  </si>
  <si>
    <t>Расходы на обеспечение деятельности (оказание услуг) муниципальных учреждений</t>
  </si>
  <si>
    <t>02 4 03 41400</t>
  </si>
  <si>
    <t>Комплекс процессных мероприятий  "Безопасность дорожного движения"</t>
  </si>
  <si>
    <t>02 4 04 00000</t>
  </si>
  <si>
    <t>Мероприятия по профилактике дорожно-транспортных происшествий</t>
  </si>
  <si>
    <t>02 4 04 23070</t>
  </si>
  <si>
    <t>Мероприятия, направленные на профилактику и предупреждение дорожно-транспортных происшествий с участием детей</t>
  </si>
  <si>
    <t>02 4 04 23080</t>
  </si>
  <si>
    <t>14</t>
  </si>
  <si>
    <t>Формирование современного облика территории Нюксенского муниципального округа</t>
  </si>
  <si>
    <t>03 0 00 00000</t>
  </si>
  <si>
    <t>03 2 00 00000</t>
  </si>
  <si>
    <t>Муниципальный проект "Формирование современной городской среды на территории Нюксенского муниципального округа"</t>
  </si>
  <si>
    <t>03 2 01 00000</t>
  </si>
  <si>
    <t>Обустройство детских и спортивных площадок</t>
  </si>
  <si>
    <t>03 2 01 S1553</t>
  </si>
  <si>
    <t>05</t>
  </si>
  <si>
    <t>Муниципальный проект "Предотвращение распространения сорного растения борщевик Сосновского"</t>
  </si>
  <si>
    <t>03 2 02 00000</t>
  </si>
  <si>
    <t>Мероприятия по предотвращению распространения сорного растения борщевик Сосновского</t>
  </si>
  <si>
    <t>03 2 02 S1400</t>
  </si>
  <si>
    <t>Муниципальный проект "Инвестиции в создание благоустройства общественных территорий округа"</t>
  </si>
  <si>
    <t>03 2 03 00000</t>
  </si>
  <si>
    <t>Обустройство общественных территорий</t>
  </si>
  <si>
    <t>03 2 03 23210</t>
  </si>
  <si>
    <t>Мероприятия, направленные на обустройство систем уличного освещения</t>
  </si>
  <si>
    <t>03 2 03 S3350</t>
  </si>
  <si>
    <t>03 4 00 00000</t>
  </si>
  <si>
    <t>Комплекс процессных мероприятий "Организация уличного освещения"</t>
  </si>
  <si>
    <t>03 4 01 00000</t>
  </si>
  <si>
    <t>Мероприятия, направленные на организацию уличного освещения</t>
  </si>
  <si>
    <t>03 4 01 S1090</t>
  </si>
  <si>
    <t xml:space="preserve">Уплата налогов, сборов и иных платежей
</t>
  </si>
  <si>
    <t>850</t>
  </si>
  <si>
    <t xml:space="preserve">Уличное освещение </t>
  </si>
  <si>
    <t>03 4 01 23400</t>
  </si>
  <si>
    <t>Комплекс процессных мероприятий "Проведение мероприятий в сфере благоустройства"</t>
  </si>
  <si>
    <t>03 4 02 00000</t>
  </si>
  <si>
    <t>Проведение мероприятий в сфере благоустройства</t>
  </si>
  <si>
    <t>03 4 02 23200</t>
  </si>
  <si>
    <t>Комплекс процессных мероприятий "Организация ритуальных услуг и содержание мест захоронения"</t>
  </si>
  <si>
    <t>03 4 03 00000</t>
  </si>
  <si>
    <t>Организация ритуальных услуг и содержание мест захоронения</t>
  </si>
  <si>
    <t>03 4 03 23300</t>
  </si>
  <si>
    <t>Совершенствование муниципального управления в Нюксенском муниципальном округе</t>
  </si>
  <si>
    <t>04 0 00 00000</t>
  </si>
  <si>
    <t>04 4 00 00000</t>
  </si>
  <si>
    <t>Комплекс процессных мероприятий "Привлечение квалифицированных специалистов на территорию муниципального округа"</t>
  </si>
  <si>
    <t>04 4 01 00000</t>
  </si>
  <si>
    <t>Ежемесячная денежная выплата студентам, заключившим договора с администрацией округа</t>
  </si>
  <si>
    <t>04 4 01 80800</t>
  </si>
  <si>
    <t>Комплекс процессных мероприятий "Совершенствование и повышение профессионального уровня кадров"</t>
  </si>
  <si>
    <t>04 4 02 00000</t>
  </si>
  <si>
    <t xml:space="preserve">Мероприятия, направленные на повышение квалификационного уровня </t>
  </si>
  <si>
    <t>04 4 02 20800</t>
  </si>
  <si>
    <t>Комплекс процессных мероприятий "Реализация и развитие механизмов противодействия коррупции в сфере муниципальной службы"</t>
  </si>
  <si>
    <t>04 4 03 00000</t>
  </si>
  <si>
    <t>Организация правового просвещения и правового информирования граждан по вопросам противодействия коррупции</t>
  </si>
  <si>
    <t>04 4 03 20240</t>
  </si>
  <si>
    <t>Комплекс процессных мероприятий "Организация деятельности по оказанию государственных и муниципальных услуг (выполнению работ) муниципальным учреждением  "МФЦ Нюксенского муниципального округа"</t>
  </si>
  <si>
    <t>04 4 04 00000</t>
  </si>
  <si>
    <t>Осуществление отдельных государственных полномочий в соответствии с законом области от 10 декабря 2014 года №3526-ОЗ "О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t>
  </si>
  <si>
    <t>04 4 04 72250</t>
  </si>
  <si>
    <t>Комплекс процессных мероприятий "Обеспечение деятельности администрации округа"</t>
  </si>
  <si>
    <t>04 4 05 00000</t>
  </si>
  <si>
    <t>Глава муниципального округа</t>
  </si>
  <si>
    <t>04 4 05 00191</t>
  </si>
  <si>
    <t>02</t>
  </si>
  <si>
    <t>Расходы на обеспечение функций муниципальных органов</t>
  </si>
  <si>
    <t>04 4 05 00190</t>
  </si>
  <si>
    <t>Уплата налогов, сборов и иных платежей</t>
  </si>
  <si>
    <t>Реализация расходных обязательств в части обеспечения выплаты заработной платы работникам муниципальных учреждений</t>
  </si>
  <si>
    <t>04 4 05 70030</t>
  </si>
  <si>
    <t>Субвенция на осуществление отдельных государственных полномочий в соответствии с законом области от 28 апреля 2006 года № 1443-ОЗ "О наделении органов местного самоуправления муниципальных районов, муниципальных округов и городских округов Вологодской области отдельными полномочиями в сфере архивного дела"</t>
  </si>
  <si>
    <t>04 4 05 72190</t>
  </si>
  <si>
    <t>Осуществление первичного воинского учета на территориях, где отсутствуют военные комиссариаты</t>
  </si>
  <si>
    <t>04 4 05 51180</t>
  </si>
  <si>
    <t>Членский взнос в ассоциацию муниципальных образований</t>
  </si>
  <si>
    <t>04 4 05 21010</t>
  </si>
  <si>
    <t>Членский взнос в ассоциацию "Здоровые города, районы и поселки"</t>
  </si>
  <si>
    <t>04 4 05 21020</t>
  </si>
  <si>
    <t>Комплекс процессных мероприятий "Повышение открытости и доступности информации о деятельности органов местного самоуправления, предоставляемых государственные и муниципальные услуги"</t>
  </si>
  <si>
    <t>04 4 06 00000</t>
  </si>
  <si>
    <t>Реализация мероприятий по развитию информационного общества</t>
  </si>
  <si>
    <t>04 4 06 20320</t>
  </si>
  <si>
    <t>Комплекс процессных мероприятий «Содействие развитию связи и информационно – телекоммуникационной сферы»</t>
  </si>
  <si>
    <t>04 4 07 00000</t>
  </si>
  <si>
    <t>Создание условий для обеспечения населения услугами сети  «Интернет»</t>
  </si>
  <si>
    <t>04 4 07 20340</t>
  </si>
  <si>
    <t>04 2 00 00000</t>
  </si>
  <si>
    <t>Муниципальный проект "Развитие сетевой и серверной инфраструктуры, систем и средств конфиденциального характера в администрации округа"</t>
  </si>
  <si>
    <t>04 2 01 00000</t>
  </si>
  <si>
    <t>Реализация мероприятий, направленных на развитие сетевой и серверной инфраструктуры органов исполнительной муниципальной власти округа</t>
  </si>
  <si>
    <t>04 2 01 20330</t>
  </si>
  <si>
    <t>Развитие культуры, туризма, молодежной политики, физической культуры и спорта  Нюксенского муниципального округа</t>
  </si>
  <si>
    <t>05 0 00 00000</t>
  </si>
  <si>
    <t>05 2 00 00000</t>
  </si>
  <si>
    <t>Муниципальный проект "Инвестиции в инфраструктуру учреждений культуры муниципального округа"</t>
  </si>
  <si>
    <t>05 2 01 00000</t>
  </si>
  <si>
    <t>Мероприятия, направленные на обеспечение развития и укрепление материально-технической базы муниципальных учреждений отрасли культуры</t>
  </si>
  <si>
    <t>05 2 01 S1960</t>
  </si>
  <si>
    <t>Обеспечение реализации мероприятий по укреплению материально-технической базы государственных учреждений отрасли культуры</t>
  </si>
  <si>
    <t>05 2 01 01590</t>
  </si>
  <si>
    <t>Муниципальный проект "Инвестиции в инфраструктуру туризма округа"</t>
  </si>
  <si>
    <t>05 2 02 00000</t>
  </si>
  <si>
    <t>Развитие туристического потенциала в Нюксенском муниципальном округе</t>
  </si>
  <si>
    <t>05 2 02 01590</t>
  </si>
  <si>
    <t>Муниципальный проект "Инвестиции в инфраструктуру молодежи"</t>
  </si>
  <si>
    <t>05 2 03 00000</t>
  </si>
  <si>
    <t xml:space="preserve">Мероприятия, направленные на обеспечение развития и укрепление материально-технической базы </t>
  </si>
  <si>
    <t>05 2 03 20590</t>
  </si>
  <si>
    <t>07</t>
  </si>
  <si>
    <t>Муниципальный проект "Инвестиции в инфраструктуру физической культуры и спорта"</t>
  </si>
  <si>
    <t>05 2 04 00000</t>
  </si>
  <si>
    <t>Мероприятия, направленные на укрепление материально-технической базы муниципальных физкультурно-спортивных организаций</t>
  </si>
  <si>
    <t>05 2 04 S1040</t>
  </si>
  <si>
    <t>11</t>
  </si>
  <si>
    <t>Муниципальный проект "Развитие спорта на территории Нюксенского муниципального округа"</t>
  </si>
  <si>
    <t>05 2 05 00000</t>
  </si>
  <si>
    <t>Мероприятия, направленные на создание условий для занятий инвалидов, лиц с ограниченными возможностями здоровья физической культурой и спортом</t>
  </si>
  <si>
    <t>05 2 05 S1610</t>
  </si>
  <si>
    <t>Мероприятия, направленные на организацию и проведение на территории муниципального образования по месту жительства и (или) по месту отдыха организованных занятий граждан физической культурой</t>
  </si>
  <si>
    <t>05 2 05 S1760</t>
  </si>
  <si>
    <t>Муниципальный проект "Безопасный труд"</t>
  </si>
  <si>
    <t>05 2 06 00000</t>
  </si>
  <si>
    <t>Иные межбюджетные трансферты по стимулированию создания рабочих мест для инвалидов</t>
  </si>
  <si>
    <t>05 2 06 74070</t>
  </si>
  <si>
    <t>05 4 00 00000</t>
  </si>
  <si>
    <t>Комплекс процессных мероприятий "Организация и проведение культурных проектов, мероприятий, посвященных праздничным и памятным датам"</t>
  </si>
  <si>
    <t>05 4 01 00000</t>
  </si>
  <si>
    <t>Мероприятия в сфере культуры</t>
  </si>
  <si>
    <t>05 4 01 28010</t>
  </si>
  <si>
    <t>Комплекс процессных мероприятий "Обеспечение деятельности учреждений в сфере культуры"</t>
  </si>
  <si>
    <t>05 4 02 00000</t>
  </si>
  <si>
    <t>05 4 02 01590</t>
  </si>
  <si>
    <t xml:space="preserve">Обеспечение деятельности по внешкольной работе с детьми </t>
  </si>
  <si>
    <t>05 4 02 15590</t>
  </si>
  <si>
    <t>05 4 02 70030</t>
  </si>
  <si>
    <t>Комплекс процессных мероприятий "Обеспечение деятельности в сфере туризма"</t>
  </si>
  <si>
    <t>05 4 03 00000</t>
  </si>
  <si>
    <t>05 4 03 01590</t>
  </si>
  <si>
    <t>Комплекс процессных мероприятий "Обеспечение деятельности в сфере молодежной политики"</t>
  </si>
  <si>
    <t>05 4 04 00000</t>
  </si>
  <si>
    <t>Проведение мероприятий для детей и молодежи</t>
  </si>
  <si>
    <t>05 4 04 20590</t>
  </si>
  <si>
    <t>Комплекс процессных мероприятий "Обеспечение деятельности в сфере физической культуры и спорта"</t>
  </si>
  <si>
    <t>05 4 05 00000</t>
  </si>
  <si>
    <t>Расходы на обеспечение деятельности (оказание услуг) государственных учреждений</t>
  </si>
  <si>
    <t>05 4 05 01590</t>
  </si>
  <si>
    <t>Субсидии автономным учреждениям</t>
  </si>
  <si>
    <t>05 4 05 70030</t>
  </si>
  <si>
    <t>Мероприятия в области физической культуры и спорта</t>
  </si>
  <si>
    <t>05 4 05 20600</t>
  </si>
  <si>
    <t>Развитие образования Нюксенского муниципального округа</t>
  </si>
  <si>
    <t>06 0 00 00000</t>
  </si>
  <si>
    <t>Муниципальный проект, связанный с национальным проектом</t>
  </si>
  <si>
    <t>06 1 00 00000</t>
  </si>
  <si>
    <t>Муниципальный проект "Модернизация школьных систем образования", связанный с региональным проектом "Все лучшее детям"</t>
  </si>
  <si>
    <t>06 1 Ю4 00000</t>
  </si>
  <si>
    <t>Мероприятия по модернизации школьных систем образования</t>
  </si>
  <si>
    <t>06 1 Ю4 57500</t>
  </si>
  <si>
    <t>Мероприятия по модернизации школьных систем образования (оснащение отремонтированных зданий и (или) помещений муниципальных общеобразовательных организаций современными средствами обучения и воспитания)</t>
  </si>
  <si>
    <t>06 1 Ю4 57501</t>
  </si>
  <si>
    <t>Мероприятия по модернизации школьных систем образования (оснащение отремонтированных зданий и (или) помещений муниципальных общеобразовательных организаций современными средствами обучения и воспитания), за исключением расходов, предусмотренных на софинансирование субсидий из федерального бюджета</t>
  </si>
  <si>
    <t>06 1 Ю4 А7501</t>
  </si>
  <si>
    <t>Муниципальный проект "Педагоги и наставники"</t>
  </si>
  <si>
    <t>06 1 Ю6 00000</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</si>
  <si>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</si>
  <si>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06 1 Ю6 51790</t>
  </si>
  <si>
    <t>06 2 00 00000</t>
  </si>
  <si>
    <t>Муниципальный проект "Развитие дошкольного, общего и дополнительного образования детей"</t>
  </si>
  <si>
    <t>06 2 01 00000</t>
  </si>
  <si>
    <t>Мероприятия, направленные на организацию школьных музеев</t>
  </si>
  <si>
    <t>06 2 01 S1010</t>
  </si>
  <si>
    <t>Создание агроклассов и (или) лесных классов в общеобразовательных организациях области</t>
  </si>
  <si>
    <t>06 2 01 S1070</t>
  </si>
  <si>
    <t>Мероприятия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(детей-инвалидов)</t>
  </si>
  <si>
    <t>06 2 01 S1180</t>
  </si>
  <si>
    <t>Обеспечение питанием обучающихся с ограниченными возможностями здоровья, не проживающих в организациях, осуществляющих образовательную деятельность по адаптированным основным общеобразовательным программам</t>
  </si>
  <si>
    <t xml:space="preserve"> 06 2 01 S1490</t>
  </si>
  <si>
    <t>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t>
  </si>
  <si>
    <t>06 2 01 S1540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</si>
  <si>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</si>
  <si>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06 2 01 L3040</t>
  </si>
  <si>
    <t>Муниципальный проект ""Развитие спорта высших достижений, системы подготовки спортивного резерва и массового спорта"</t>
  </si>
  <si>
    <t>06 2 02 00000</t>
  </si>
  <si>
    <t>Мероприятия по подготовке спортивного резерва для спортивных сборных команд Вологодской области</t>
  </si>
  <si>
    <t>06 2 02 S1730</t>
  </si>
  <si>
    <t>Комплексы процессных мероприятий</t>
  </si>
  <si>
    <t>06 4 00 00000</t>
  </si>
  <si>
    <t>Комплекс процессных мероприятий "Развитие дошкольного, общего и дополнительного образования детей"</t>
  </si>
  <si>
    <t>06 4 01 00000</t>
  </si>
  <si>
    <t>Обеспечение дошкольного образования и общеобразовательного процесса в муниципальных образовательных организациях</t>
  </si>
  <si>
    <t>06 4 01 72010</t>
  </si>
  <si>
    <t>Дошкольные учреждения</t>
  </si>
  <si>
    <t>06 4 01 14590</t>
  </si>
  <si>
    <t xml:space="preserve">Школы - детские сады, школы начальные, неполные средние и средние </t>
  </si>
  <si>
    <t>06 4 01 13590</t>
  </si>
  <si>
    <t xml:space="preserve">Учреждения по внешкольной работе с детьми </t>
  </si>
  <si>
    <t>06 4 01 15590</t>
  </si>
  <si>
    <t>Обеспечение персонифицированного финансирования дополнительного образования детей</t>
  </si>
  <si>
    <t>06 4 01 16590</t>
  </si>
  <si>
    <t>06 4 01 70030</t>
  </si>
  <si>
    <t>Комплекс процессных мероприятий "Обеспечение предоставления мер социальной поддержки"</t>
  </si>
  <si>
    <t>06 4 02 00000</t>
  </si>
  <si>
    <t>Обеспечение предоставления мер социальной поддержки отдельным категориям обучающихся в муниципальных образовательных организациях</t>
  </si>
  <si>
    <t>06 4 02 72020</t>
  </si>
  <si>
    <t>Комплекс процессных мероприятий "Обеспечение создания условий для проявления и развития способностей обучающихся и самореализации"</t>
  </si>
  <si>
    <t>06 4 03 00000</t>
  </si>
  <si>
    <t>Развитие системы поддержки талантливых детей в образовательных учреждениях</t>
  </si>
  <si>
    <t>06 4 03 16600</t>
  </si>
  <si>
    <t>Организация содержательного досуга детей в каникулярное время</t>
  </si>
  <si>
    <t>06 4 03 16700</t>
  </si>
  <si>
    <t>Комплекс процессных мероприятий "Создание условий временного трудоустройства несовершеннолетних граждан"</t>
  </si>
  <si>
    <t>06 4 04 00000</t>
  </si>
  <si>
    <t xml:space="preserve">Мероприятия по содействию занятости населения </t>
  </si>
  <si>
    <t>06 4 04 24010</t>
  </si>
  <si>
    <t>Комплекс процессных мероприятий "Обеспечение создания условий для реализации программы"</t>
  </si>
  <si>
    <t>06 4 05 00000</t>
  </si>
  <si>
    <t xml:space="preserve">Расходы на обеспечение функций муниципальных органов </t>
  </si>
  <si>
    <t>06 4 05 00190</t>
  </si>
  <si>
    <t>Организация методического сопровождения повышения профессиональной компетентности педагогических и руководящих кадров</t>
  </si>
  <si>
    <t>06 4 05 16800</t>
  </si>
  <si>
    <t>Обеспечение профилактики правонарушений, безопасности населения и территории Нюксенского муниципального округа</t>
  </si>
  <si>
    <t>07 0 00 00000</t>
  </si>
  <si>
    <t>07 2 00 00000</t>
  </si>
  <si>
    <t>Муниципальный проект "Обеспечение общественной безопасности на территории Нюксенского муниципального округа"</t>
  </si>
  <si>
    <t>07 2 01 00000</t>
  </si>
  <si>
    <t>Внедрение и (или) эксплуатация аппаратно-программного комплекса "Безопасный город"</t>
  </si>
  <si>
    <t>07 2 01 S1060</t>
  </si>
  <si>
    <t>Мероприятия, направленные на антитеррористическую защищенность мест массового пребывания людей</t>
  </si>
  <si>
    <t>07 2 01 S1130</t>
  </si>
  <si>
    <t>Муниципальный проект "Обеспечение пожарной безопасности на территории Нюксенского муниципального округа"</t>
  </si>
  <si>
    <t>07 2 02 00000</t>
  </si>
  <si>
    <t>Мероприятия, направленные на создание и (или) ремонт источников наружного водоснабжения для забора воды в целях пожаротушения</t>
  </si>
  <si>
    <t>07 2 02 S1810</t>
  </si>
  <si>
    <t xml:space="preserve">03 </t>
  </si>
  <si>
    <t>Мероприятия по обеспечению пожарной безопасности населения (дополнительное финансирование)</t>
  </si>
  <si>
    <t>07 2 02 23110</t>
  </si>
  <si>
    <t>Муниципальный проект "Обеспечение сохранности материальных ценностей на территории Нюксенского муниципального округа"</t>
  </si>
  <si>
    <t>07 2 03 00000</t>
  </si>
  <si>
    <t>Мероприятия по разработке проектно-сметной документации</t>
  </si>
  <si>
    <t>07 2 03 23140</t>
  </si>
  <si>
    <t>07 4 00 00000</t>
  </si>
  <si>
    <t>Комплекс процессных мероприятий "Осуществление отдельных государственных полномочий в сфере административных отношений"</t>
  </si>
  <si>
    <t>07 4 01 00000</t>
  </si>
  <si>
    <t>Осуществление отдельных государственных полномочий в сфере административных отношений в соответствии с законом области от 28 ноября 2005 года №1369-ОЗ "О наделении органов местного самоуправления отдельными государственными полномочиями в сфере административных отношений"</t>
  </si>
  <si>
    <t>07 4 01 72310</t>
  </si>
  <si>
    <t>Комплекс процессных мероприятий "Обеспечение общественной безопасности на территории Нюксенского муниципального округа"</t>
  </si>
  <si>
    <t>07 4 02 00000</t>
  </si>
  <si>
    <t>Обеспечение прогнозных данных для принятия предупредительных мер</t>
  </si>
  <si>
    <t>07 4 02 23040</t>
  </si>
  <si>
    <t>Обеспечение безопасности граждан труднодоступных населенных пунктов</t>
  </si>
  <si>
    <t>07 4 02 23041</t>
  </si>
  <si>
    <t>Предупреждение возникновения и развития чрезвычайных ситуаций (происшествий) на территории Нюксенского муниципального округа, снижение размеров ущерба и потерь от чрезвычайных ситуаций</t>
  </si>
  <si>
    <t>07 4 02 23050</t>
  </si>
  <si>
    <t>Мероприятия, направленные на повышение эффективности системы профилактики безнадзорности, правонарушений и преступлений, совершенных несовершеннолетними, а также защиты их прав и снижение количества преступлений, совершенных несовершеннолетними</t>
  </si>
  <si>
    <t>07 4 02 23060</t>
  </si>
  <si>
    <t>Снижение числа дорожно-транспортных происшествий с пострадавшими, в том числе несовершеннолетними</t>
  </si>
  <si>
    <t>07 4 02 23080</t>
  </si>
  <si>
    <t>Мероприятия, направленные на повышение качества и результативности противодействия преступности, охраны общественного порядка, обеспечения общественной безопасности, снижение количества зарегистрированных преступлений</t>
  </si>
  <si>
    <t>07 4 02 23090</t>
  </si>
  <si>
    <t>Иные выплаты населению</t>
  </si>
  <si>
    <t>360</t>
  </si>
  <si>
    <t>Мероприятия по поддержанию в готовности и совершенствованию системы оповещения населения</t>
  </si>
  <si>
    <t>07 4 02 23120</t>
  </si>
  <si>
    <t>Комплекс процессных мероприятий "Обеспечение пожарной безопасности на территории Нюксенского муниципального округа"</t>
  </si>
  <si>
    <t>07 4 03 00000</t>
  </si>
  <si>
    <t>Мероприятия по обеспечению пожарной безопасности населения</t>
  </si>
  <si>
    <t>07 4 03 23110</t>
  </si>
  <si>
    <t>Комплекс процессных мероприятий "Обеспечение деятельности ЕДДС"</t>
  </si>
  <si>
    <t>07 4 04 00000</t>
  </si>
  <si>
    <t>Мероприятия по снижению  рисков и смягчению последствий чрезвычайных ситуаций природного и техногенного характера</t>
  </si>
  <si>
    <t>07 4 04 23040</t>
  </si>
  <si>
    <t xml:space="preserve">Охрана окружающей среды и обеспечение экологической безопасности Нюксенского муниципального округа </t>
  </si>
  <si>
    <t>08 0 00 00000</t>
  </si>
  <si>
    <t>08 2 00 00000</t>
  </si>
  <si>
    <t>Муниципальный проект "Обеспечение населения округа качественной питьевой водой"</t>
  </si>
  <si>
    <t>08 2 01 00000</t>
  </si>
  <si>
    <t>Охрана и рациональное использование водных ресурсов</t>
  </si>
  <si>
    <t>08 2 01 20110</t>
  </si>
  <si>
    <t>Муниципальный проект "Снижение негативного воздействия на окружающую среду отходов производства и потребления"</t>
  </si>
  <si>
    <t>08 2 02 00000</t>
  </si>
  <si>
    <t>Мероприятия, направленные на обустройство контейнерных площадок</t>
  </si>
  <si>
    <t>08 2 02 S1100</t>
  </si>
  <si>
    <t>Предотвращение загрязнения окружающей среды отходами производства и потребления</t>
  </si>
  <si>
    <t>08 2 02 20120</t>
  </si>
  <si>
    <t>Мероприятия, направленные на обустройство контейнерных площадок (дополнительные средства)</t>
  </si>
  <si>
    <t>08 2 02 20121</t>
  </si>
  <si>
    <t xml:space="preserve">Комплексы процессных мероприятий </t>
  </si>
  <si>
    <t>08 4 00 00000</t>
  </si>
  <si>
    <t>Комплекс процессных мероприятий "Осуществление отдельных государственных полномочий в сфере охраны окружающей среды"</t>
  </si>
  <si>
    <t>08 4 01 00000</t>
  </si>
  <si>
    <t>Осуществление отдельных государственных полномочий в соответствии с законом области от 28 июня 2006 года № 1465-ОЗ "О наделении органов местного самоуправления отдельными государственными полномочиями в сфере охраны окружающей среды"</t>
  </si>
  <si>
    <t>08 4 01 72310</t>
  </si>
  <si>
    <t>Комплекс процессных мероприятий "Снижение негативного воздействия на окружающую среду отходов производства и потребления"</t>
  </si>
  <si>
    <t>08 4 02 00000</t>
  </si>
  <si>
    <t>Содержание мест для накопления (сбора) твердых коммунальных отходов</t>
  </si>
  <si>
    <t>08 4 02 20111</t>
  </si>
  <si>
    <t>Комплекс процессных мероприятий "Экологическое образование, просвещение и информирование населения"</t>
  </si>
  <si>
    <t>08 4 03 00000</t>
  </si>
  <si>
    <t>Природоохранные мероприятия</t>
  </si>
  <si>
    <t>08 4 03 20112</t>
  </si>
  <si>
    <t>Развитие топливно-энергетического комплекса и коммунальной инфраструктуры на территории Нюксенского муниципального округа</t>
  </si>
  <si>
    <t>09 0 00 00000</t>
  </si>
  <si>
    <t>Муниципальный проект, не связанный с реализацией национального проекта</t>
  </si>
  <si>
    <t>09 2 00 00000</t>
  </si>
  <si>
    <t>Муниципальный проект "Строительство, реконструкция и модернизация объектов жилищно-коммунальной инфраструктуры муниципального округа"</t>
  </si>
  <si>
    <t>09 2 01 00000</t>
  </si>
  <si>
    <t>Мероприятия на подготовку объектов теплоэнергетики к работе в осенне-зимний период</t>
  </si>
  <si>
    <t>09 2 01 9Т100</t>
  </si>
  <si>
    <t>Бюджетные инвестиции</t>
  </si>
  <si>
    <t>410</t>
  </si>
  <si>
    <t>Мероприятия, направленные на строительство, реконструкцию и капитальный ремонт централизованных систем водоснабжения и водоотведения</t>
  </si>
  <si>
    <t>09 2 01 S3040</t>
  </si>
  <si>
    <t>Муниципальные проект "Подготовка объектов теплоэнергетики к работе в осенне-зимний период"</t>
  </si>
  <si>
    <t>09 2 02 00000</t>
  </si>
  <si>
    <t>Мероприятия в области энергосбережения</t>
  </si>
  <si>
    <t>09 2 02 20560</t>
  </si>
  <si>
    <t>Муниципальный проект "Капитальный ремонт и ремонт централизованных систем водоснабжения и водоотведения"</t>
  </si>
  <si>
    <t>09 2 03 00000</t>
  </si>
  <si>
    <t>09 2 03 20560</t>
  </si>
  <si>
    <t>Муниципальный проект "Поддержка коммунального хозяйства"</t>
  </si>
  <si>
    <t>09 2 04 00000</t>
  </si>
  <si>
    <t>Мероприятия, связанные с поддержкой муниципальных предприятий в области ЖКХ</t>
  </si>
  <si>
    <t>09 2 04 21190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</si>
  <si>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</si>
  <si>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</si>
  <si>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09 4 00 00000</t>
  </si>
  <si>
    <t>Комплекс процессных мероприятий "Энергосбережение и комплексная модернизация систем коммунальной инфраструктуры Нюксенского муниципального округа"</t>
  </si>
  <si>
    <t>09 4 01 00000</t>
  </si>
  <si>
    <t>Мероприятия в области энергосбережения, исполнение судебных решений</t>
  </si>
  <si>
    <t>09 4 01 20560</t>
  </si>
  <si>
    <t xml:space="preserve">Исполнение судебных актов Российской Федерации и мировых соглашений по возмещению причиненного вреда
</t>
  </si>
  <si>
    <t>830</t>
  </si>
  <si>
    <t>Производственный контроль качества питьевой воды из источников водоснабжения</t>
  </si>
  <si>
    <t>09 4 01 20610</t>
  </si>
  <si>
    <t>Мероприятия, направленные на производственный контроль качества сточных вод</t>
  </si>
  <si>
    <t>09 4 01 20620</t>
  </si>
  <si>
    <t>Комплекс процессных мероприятий "Обеспечение деятельности службы коммунального хозяйства и благоустройства"</t>
  </si>
  <si>
    <t>09 4 02 00000</t>
  </si>
  <si>
    <t>09 4 02 41500</t>
  </si>
  <si>
    <t>09 4 02 70030</t>
  </si>
  <si>
    <t>Экономическое развитие Нюксенского муниципального округа</t>
  </si>
  <si>
    <t>10 0 00 00000</t>
  </si>
  <si>
    <t>Муниципальный проект</t>
  </si>
  <si>
    <t>10 3 00 00000</t>
  </si>
  <si>
    <t>Муниципальный проект "Инвестиции в развитие округа"</t>
  </si>
  <si>
    <t>10 3 01 00000</t>
  </si>
  <si>
    <t>Создание условий для развития торговли</t>
  </si>
  <si>
    <t>10 3 01 20440</t>
  </si>
  <si>
    <t>12</t>
  </si>
  <si>
    <t>Расходы на повышение инвестиционной привлекательности муниципального округа</t>
  </si>
  <si>
    <t>10 3 01 20460</t>
  </si>
  <si>
    <t>10 4 00 00000</t>
  </si>
  <si>
    <t>Комплекс процессных мероприятий "Развитие малого и среднего предпринимательства в Нюксенском муниципальном округе"</t>
  </si>
  <si>
    <t>10 4 01 00000</t>
  </si>
  <si>
    <t>Расходы по популяризации роли предпринимательства</t>
  </si>
  <si>
    <t>10 4 01 20450</t>
  </si>
  <si>
    <t>10 4 01 20460</t>
  </si>
  <si>
    <t>Развитие мобильной торговли в малонаселенных и труднодоступных населенных пунктах</t>
  </si>
  <si>
    <t>10 4 01 S1250</t>
  </si>
  <si>
    <t>Доставка товаров в "социально значимые" магазины в малонаселенных и (или) труднодоступных населенных пунктах</t>
  </si>
  <si>
    <t>10 4 01 S1251</t>
  </si>
  <si>
    <t xml:space="preserve">Управление муниципальными финансами Нюксенского муниципального округа </t>
  </si>
  <si>
    <t>11 0 00 00000</t>
  </si>
  <si>
    <t>11 2 00 00000</t>
  </si>
  <si>
    <t>Муниципальный проект "Реализация мероприятий по поддержке местных инициатив населения округа"</t>
  </si>
  <si>
    <t>11 2 01 00000</t>
  </si>
  <si>
    <t>Мероприятия, направленные  на реализацию проекта "Народный бюджет"</t>
  </si>
  <si>
    <t>11 2 01 S2270</t>
  </si>
  <si>
    <t xml:space="preserve">Комплекс процессных мероприятий </t>
  </si>
  <si>
    <t>11 4 00 00000</t>
  </si>
  <si>
    <t>Комплекс процессных мероприятий  "Управление муниципальным долгом и муниципальными финансовыми активами Нюксенского муниципального округа"</t>
  </si>
  <si>
    <t>11 4 01 00000</t>
  </si>
  <si>
    <t>Процентные платежи по долговым обязательствам муниципального округа</t>
  </si>
  <si>
    <t>11 4 01 20900</t>
  </si>
  <si>
    <t>Обслуживание муниципального долга</t>
  </si>
  <si>
    <t>730</t>
  </si>
  <si>
    <t>Комплекс процессных мероприятий  "Обеспечение организационных условий для реализации муниципальной программы"</t>
  </si>
  <si>
    <t>11 4 02 00000</t>
  </si>
  <si>
    <t>11 4 02 00190</t>
  </si>
  <si>
    <t>11 4 03 00190</t>
  </si>
  <si>
    <t>Расходы на повышение квалификационного уровня муниципальных служащих</t>
  </si>
  <si>
    <t>11 4 02 20800</t>
  </si>
  <si>
    <t>Членский взнос в НП "Сообщество финансистов России"</t>
  </si>
  <si>
    <t>11 4 02 20820</t>
  </si>
  <si>
    <t>11 4 02 00590</t>
  </si>
  <si>
    <t>11 4 02 70030</t>
  </si>
  <si>
    <t>Совершенствование системы управления и распоряжения земельно-имущественным комплексом Нюксенского муниципального округа</t>
  </si>
  <si>
    <t>12 0 00 00000</t>
  </si>
  <si>
    <t>12 2 00 00000</t>
  </si>
  <si>
    <t>Муниципальный проект "Организация проведения комплексных кадастровых работ"</t>
  </si>
  <si>
    <t>12 2 01 00000</t>
  </si>
  <si>
    <t>Мероприятия, направленные на проведение комплексных кадастровых работ, за исключением расходов, предусмотренных на софинансирование субсидий из федерального бюджета</t>
  </si>
  <si>
    <t>12 2 01 S5110</t>
  </si>
  <si>
    <t>Мероприятия, направленные на проведение комплексных кадастровых работ, за счет средств бюджета муниципального округа</t>
  </si>
  <si>
    <t>12 2 01 20510</t>
  </si>
  <si>
    <t>12 4 00 00000</t>
  </si>
  <si>
    <t>Комплекс процессных мероприятий "Финансовая поддержка семей при рождении детей в части организации и предоставления денежной выплаты взамен предоставления земельного участка гражданам, имеющим трех и более детей"</t>
  </si>
  <si>
    <t>12 4 01 00000</t>
  </si>
  <si>
    <t>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 имеющим трех и более детей, состоящим на учете в качестве лиц, имеющих право на предоставление земельных участков в собственность бесплатно</t>
  </si>
  <si>
    <t>12 4 01 72300</t>
  </si>
  <si>
    <t>Комплекс процессных мероприятий "Управление муниципальным имуществом и земельными ресурсами Нюксенского муниципального округа"</t>
  </si>
  <si>
    <t>12 4 02 00000</t>
  </si>
  <si>
    <t>Мероприятия в сфере управления и распоряжения имуществом, земельными ресурсами</t>
  </si>
  <si>
    <t>12 4 02 20500</t>
  </si>
  <si>
    <t>Комплекс процессных мероприятий "Обеспечение деятельности комитета земельно-имущественных отношений администрации Нюксенского муниципального округа"</t>
  </si>
  <si>
    <t>12 4 03 00000</t>
  </si>
  <si>
    <t>12 4 03 00190</t>
  </si>
  <si>
    <t xml:space="preserve">Обеспечение населения Нюксенского муниципального округа доступным жильем и создание благоприятных условий проживания </t>
  </si>
  <si>
    <t>13 0 00 00000</t>
  </si>
  <si>
    <t>13 2 00 00000</t>
  </si>
  <si>
    <t>Муниципальный проект "Капитальный и текущий ремонт объектов жилищного фонда"</t>
  </si>
  <si>
    <t>13 2 01 00000</t>
  </si>
  <si>
    <t>Мероприятия, связанные с капитальным и текущим ремонтом объектов жилищного фонда</t>
  </si>
  <si>
    <t>13 2 01 20570</t>
  </si>
  <si>
    <t>Муниципальный проект "Демонтаж и снос аварийного и ветхого жилья на территории муниципального округа"</t>
  </si>
  <si>
    <t>13 2 02 00000</t>
  </si>
  <si>
    <t>Мероприятия по сносу пришедших в негодность расселенных ветхих и аварийных многоквартирных домов</t>
  </si>
  <si>
    <t>13 2 02 20571</t>
  </si>
  <si>
    <t>Муниципальный проект, связанный с реализацией регионального проекта "Оказание поддержки отдельным категориям граждан в приобретении жилья"</t>
  </si>
  <si>
    <t>13 2 03 00000</t>
  </si>
  <si>
    <t>Предоставление социальных выплат молодым семьям – участникам основного мероприятия "Оказание государственной поддержки отдельным категориям граждан на приобретение жилья" подпрограммы "Создание условий для обеспечения доступным жильем граждан области" государственной программы Вологодской области "Обеспечение населения Вологодской области доступным жильем и создание благоприятных условий проживания"</t>
  </si>
  <si>
    <t>13 2 03 L4970</t>
  </si>
  <si>
    <t>Муниципальный проект "Оказание содействия в обеспечении сельского населения доступным и комфортным жильем"</t>
  </si>
  <si>
    <t>13 2 04 00000</t>
  </si>
  <si>
    <t>Улучшение жилищных условий граждан, проживающих на сельских территориях</t>
  </si>
  <si>
    <t>13 2 04 L5764</t>
  </si>
  <si>
    <t>13 4 00 00000</t>
  </si>
  <si>
    <t>Комплекс процессных мероприятий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</si>
  <si>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13 4 01 00000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</si>
  <si>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</si>
  <si>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13 4 01 51760</t>
  </si>
  <si>
    <t>ИТОГО</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</si>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</sst>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0"/>
      <name val="Arial Cyr"/>
      <charset val="204"/>
    </font>
    <font>
      <sz val="10"/>
      <name val="Times New Roman"/>
      <family val="1"/>
      <charset val="204"/>
    </font>
    <font>
      <sz val="9"/>
      <name val="Times New Roman"/>
      <family val="1"/>
      <charset val="204"/>
    </font>
    <font>
      <b/>
      <sz val="12"/>
      <name val="Times New Roman"/>
      <family val="1"/>
      <charset val="204"/>
    </font>
    <font>
      <b/>
      <sz val="10"/>
      <name val="Times New Roman"/>
      <family val="1"/>
      <charset val="204"/>
    </font>
    <font>
      <b/>
      <sz val="10"/>
      <name val="Arial Cyr"/>
      <charset val="204"/>
    </font>
    <font>
      <i/>
      <sz val="10"/>
      <name val="Times New Roman"/>
      <family val="1"/>
      <charset val="204"/>
    </font>
    <font>
      <i/>
      <sz val="10"/>
      <name val="Arial Cyr"/>
      <charset val="204"/>
    </font>
    <font>
      <b/>
      <sz val="10"/>
      <color theme="1"/>
      <name val="Times New Roman"/>
      <family val="1"/>
      <charset val="204"/>
    </font>
    <font>
      <sz val="10"/>
      <color theme="1"/>
      <name val="Times New Roman"/>
      <family val="1"/>
      <charset val="204"/>
    </font>
    <font>
      <sz val="10"/>
      <name val="Arial"/>
      <family val="2"/>
      <charset val="204"/>
    </font>
    <font>
      <sz val="10"/>
      <color rgb="FFFF0000"/>
      <name val="Times New Roman"/>
      <family val="1"/>
      <charset val="204"/>
    </font>
    <font>
      <sz val="10"/>
      <color indexed="8"/>
      <name val="Times New Roman"/>
      <family val="1"/>
      <charset val="204"/>
    </font>
    <font>
      <sz val="10"/>
      <color rgb="FFFF0000"/>
      <name val="Arial Cyr"/>
      <charset val="204"/>
    </font>
    <font>
      <b/>
      <sz val="10"/>
      <color rgb="FFFF0000"/>
      <name val="Arial Cyr"/>
      <charset val="204"/>
    </font>
    <font>
      <strike/>
      <sz val="10"/>
      <name val="Arial Cyr"/>
      <charset val="204"/>
    </font>
    <font>
      <sz val="10"/>
      <color theme="1"/>
      <name val="Arial Cyr"/>
      <charset val="204"/>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0" fillId="0" borderId="0"/>
  </cellStyleXfs>
  <cellXfs count="172">
    <xf numFmtId="0" fontId="0" fillId="0" borderId="0" xfId="0"/>
    <xf numFmtId="0" fontId="1" fillId="0" borderId="0" xfId="0" applyFont="1" applyFill="1" applyAlignment="1">
      <alignment horizontal="right" vertical="center" wrapText="1"/>
    </xf>
    <xf numFmtId="0" fontId="0" fillId="2" borderId="0" xfId="0" applyFill="1" applyBorder="1" applyAlignment="1"/>
    <xf numFmtId="0" fontId="0" fillId="2" borderId="0" xfId="0" applyFill="1" applyBorder="1"/>
    <xf numFmtId="0" fontId="0" fillId="2" borderId="0" xfId="0" applyFill="1"/>
    <xf numFmtId="164" fontId="0" fillId="0" borderId="0" xfId="0" applyNumberFormat="1" applyFont="1" applyFill="1" applyAlignment="1"/>
    <xf numFmtId="0" fontId="0" fillId="0" borderId="0" xfId="0" applyFont="1" applyFill="1" applyAlignment="1"/>
    <xf numFmtId="0" fontId="2" fillId="0" borderId="0" xfId="0" applyFont="1" applyFill="1" applyAlignment="1">
      <alignment horizontal="right"/>
    </xf>
    <xf numFmtId="0" fontId="3" fillId="0" borderId="0" xfId="0" applyFont="1" applyFill="1" applyAlignment="1">
      <alignment horizontal="center"/>
    </xf>
    <xf numFmtId="0" fontId="3" fillId="0" borderId="0" xfId="0" applyFont="1" applyFill="1" applyAlignment="1">
      <alignment horizontal="center" wrapText="1"/>
    </xf>
    <xf numFmtId="0" fontId="4" fillId="0" borderId="0" xfId="0" applyFont="1" applyFill="1"/>
    <xf numFmtId="0" fontId="4" fillId="0" borderId="0" xfId="0" applyFont="1" applyFill="1" applyAlignment="1"/>
    <xf numFmtId="164" fontId="4" fillId="0" borderId="0" xfId="0" applyNumberFormat="1" applyFont="1" applyFill="1" applyAlignment="1"/>
    <xf numFmtId="0" fontId="5" fillId="0" borderId="0" xfId="0" applyFont="1" applyFill="1" applyAlignment="1">
      <alignment horizontal="right"/>
    </xf>
    <xf numFmtId="0" fontId="1" fillId="0" borderId="0" xfId="0" applyFont="1" applyFill="1" applyAlignment="1">
      <alignment horizontal="right"/>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0" fillId="0" borderId="0" xfId="0" applyFill="1" applyBorder="1" applyAlignment="1"/>
    <xf numFmtId="0" fontId="0" fillId="0" borderId="0" xfId="0" applyFill="1" applyBorder="1"/>
    <xf numFmtId="0" fontId="0" fillId="0" borderId="0" xfId="0" applyBorder="1"/>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9" fontId="0" fillId="0" borderId="0" xfId="0" applyNumberFormat="1" applyBorder="1"/>
    <xf numFmtId="0" fontId="6" fillId="0" borderId="2" xfId="0" applyFont="1" applyFill="1" applyBorder="1" applyAlignment="1">
      <alignment horizontal="center"/>
    </xf>
    <xf numFmtId="0" fontId="6" fillId="0" borderId="2" xfId="0" applyFont="1" applyFill="1" applyBorder="1" applyAlignment="1">
      <alignment horizontal="center" wrapText="1"/>
    </xf>
    <xf numFmtId="49" fontId="6" fillId="0" borderId="2" xfId="0" applyNumberFormat="1" applyFont="1" applyFill="1" applyBorder="1" applyAlignment="1">
      <alignment horizontal="center"/>
    </xf>
    <xf numFmtId="49" fontId="6" fillId="0" borderId="3" xfId="0" applyNumberFormat="1" applyFont="1" applyFill="1" applyBorder="1" applyAlignment="1">
      <alignment horizontal="center"/>
    </xf>
    <xf numFmtId="0" fontId="7" fillId="0" borderId="0" xfId="0" applyFont="1" applyFill="1" applyBorder="1" applyAlignment="1"/>
    <xf numFmtId="0" fontId="7" fillId="0" borderId="0" xfId="0" applyFont="1" applyFill="1" applyBorder="1"/>
    <xf numFmtId="0" fontId="7" fillId="0" borderId="0" xfId="0" applyFont="1" applyBorder="1"/>
    <xf numFmtId="0" fontId="7" fillId="0" borderId="0" xfId="0" applyFont="1"/>
    <xf numFmtId="0" fontId="9" fillId="0" borderId="5" xfId="0" applyFont="1" applyFill="1" applyBorder="1" applyAlignment="1">
      <alignment horizontal="left" wrapText="1"/>
    </xf>
    <xf numFmtId="0" fontId="9" fillId="0" borderId="2" xfId="0" applyFont="1" applyFill="1" applyBorder="1" applyAlignment="1">
      <alignment horizontal="center" wrapText="1"/>
    </xf>
    <xf numFmtId="49" fontId="9" fillId="0" borderId="2" xfId="0" applyNumberFormat="1" applyFont="1" applyFill="1" applyBorder="1" applyAlignment="1">
      <alignment horizontal="center" wrapText="1"/>
    </xf>
    <xf numFmtId="165" fontId="1" fillId="0" borderId="2" xfId="0" applyNumberFormat="1" applyFont="1" applyFill="1" applyBorder="1" applyAlignment="1"/>
    <xf numFmtId="165" fontId="1" fillId="0" borderId="3" xfId="0" applyNumberFormat="1" applyFont="1" applyFill="1" applyBorder="1" applyAlignment="1"/>
    <xf numFmtId="0" fontId="9" fillId="0" borderId="2" xfId="0" applyFont="1" applyFill="1" applyBorder="1" applyAlignment="1">
      <alignment vertical="justify" wrapText="1"/>
    </xf>
    <xf numFmtId="0" fontId="1" fillId="0" borderId="2" xfId="0" applyFont="1" applyFill="1" applyBorder="1" applyAlignment="1">
      <alignment vertical="justify" wrapText="1"/>
    </xf>
    <xf numFmtId="0" fontId="1" fillId="0" borderId="2" xfId="0" applyFont="1" applyFill="1" applyBorder="1" applyAlignment="1">
      <alignment horizontal="center" wrapText="1"/>
    </xf>
    <xf numFmtId="49" fontId="1" fillId="0" borderId="2" xfId="0" applyNumberFormat="1" applyFont="1" applyFill="1" applyBorder="1" applyAlignment="1">
      <alignment horizontal="center" wrapText="1"/>
    </xf>
    <xf numFmtId="0" fontId="1" fillId="0" borderId="2" xfId="0" applyFont="1" applyFill="1" applyBorder="1" applyAlignment="1">
      <alignment vertical="distributed" shrinkToFit="1"/>
    </xf>
    <xf numFmtId="0" fontId="1" fillId="0" borderId="1" xfId="0" applyFont="1" applyFill="1" applyBorder="1" applyAlignment="1">
      <alignment horizontal="left" vertical="justify" wrapText="1"/>
    </xf>
    <xf numFmtId="0" fontId="1" fillId="0" borderId="3" xfId="1" applyNumberFormat="1" applyFont="1" applyFill="1" applyBorder="1" applyAlignment="1" applyProtection="1">
      <alignment horizontal="left" wrapText="1"/>
      <protection hidden="1"/>
    </xf>
    <xf numFmtId="0" fontId="9" fillId="0" borderId="2" xfId="0" applyFont="1" applyFill="1" applyBorder="1" applyAlignment="1">
      <alignment vertical="center" wrapText="1"/>
    </xf>
    <xf numFmtId="49" fontId="1" fillId="0" borderId="2" xfId="0" applyNumberFormat="1" applyFont="1" applyFill="1" applyBorder="1" applyAlignment="1" applyProtection="1">
      <alignment vertical="center" wrapText="1"/>
    </xf>
    <xf numFmtId="0" fontId="1"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shrinkToFit="1"/>
    </xf>
    <xf numFmtId="0" fontId="1" fillId="0" borderId="2" xfId="0" applyFont="1" applyFill="1" applyBorder="1" applyAlignment="1">
      <alignment vertical="center" wrapText="1" shrinkToFit="1"/>
    </xf>
    <xf numFmtId="0" fontId="1" fillId="0" borderId="2" xfId="0" applyFont="1" applyFill="1" applyBorder="1" applyAlignment="1">
      <alignment vertical="top" wrapText="1" shrinkToFit="1"/>
    </xf>
    <xf numFmtId="0" fontId="1" fillId="0" borderId="6" xfId="0" applyFont="1" applyFill="1" applyBorder="1" applyAlignment="1">
      <alignment vertical="center" wrapText="1"/>
    </xf>
    <xf numFmtId="49" fontId="1" fillId="0" borderId="2" xfId="0" applyNumberFormat="1" applyFont="1" applyFill="1" applyBorder="1" applyAlignment="1">
      <alignment horizontal="center"/>
    </xf>
    <xf numFmtId="0" fontId="1" fillId="0" borderId="2" xfId="0" applyFont="1" applyFill="1" applyBorder="1" applyAlignment="1">
      <alignment vertical="top" wrapText="1"/>
    </xf>
    <xf numFmtId="0" fontId="1" fillId="0" borderId="5" xfId="1" applyNumberFormat="1" applyFont="1" applyFill="1" applyBorder="1" applyAlignment="1" applyProtection="1">
      <alignment horizontal="left" vertical="center" wrapText="1"/>
      <protection hidden="1"/>
    </xf>
    <xf numFmtId="0" fontId="1" fillId="0" borderId="2" xfId="0" applyNumberFormat="1" applyFont="1" applyFill="1" applyBorder="1" applyAlignment="1" applyProtection="1">
      <alignment horizontal="left" vertical="center" wrapText="1"/>
    </xf>
    <xf numFmtId="0" fontId="0" fillId="0" borderId="0" xfId="0" applyFill="1"/>
    <xf numFmtId="165" fontId="0" fillId="0" borderId="0" xfId="0" applyNumberFormat="1" applyFill="1" applyBorder="1" applyAlignment="1"/>
    <xf numFmtId="165" fontId="0" fillId="0" borderId="0" xfId="0" applyNumberFormat="1" applyFill="1" applyBorder="1"/>
    <xf numFmtId="49" fontId="1" fillId="0" borderId="2" xfId="0" applyNumberFormat="1" applyFont="1" applyFill="1" applyBorder="1" applyAlignment="1" applyProtection="1">
      <alignment horizontal="center"/>
    </xf>
    <xf numFmtId="165" fontId="1" fillId="0" borderId="2" xfId="0" applyNumberFormat="1" applyFont="1" applyFill="1" applyBorder="1" applyAlignment="1" applyProtection="1">
      <alignment horizontal="right"/>
    </xf>
    <xf numFmtId="165" fontId="1" fillId="0" borderId="3" xfId="0" applyNumberFormat="1" applyFont="1" applyFill="1" applyBorder="1" applyAlignment="1" applyProtection="1">
      <alignment horizontal="right"/>
    </xf>
    <xf numFmtId="0" fontId="1" fillId="0" borderId="3" xfId="1" applyNumberFormat="1" applyFont="1" applyFill="1" applyBorder="1" applyAlignment="1" applyProtection="1">
      <alignment horizontal="left" vertical="center" wrapText="1"/>
      <protection hidden="1"/>
    </xf>
    <xf numFmtId="49" fontId="11" fillId="0" borderId="2" xfId="0" applyNumberFormat="1" applyFont="1" applyFill="1" applyBorder="1" applyAlignment="1" applyProtection="1">
      <alignment horizontal="center"/>
    </xf>
    <xf numFmtId="0" fontId="1" fillId="0" borderId="1" xfId="0" applyFont="1" applyFill="1" applyBorder="1" applyAlignment="1">
      <alignment vertical="center" wrapText="1" shrinkToFit="1"/>
    </xf>
    <xf numFmtId="0" fontId="0" fillId="0" borderId="0" xfId="0" applyFont="1" applyFill="1" applyBorder="1" applyAlignment="1"/>
    <xf numFmtId="0" fontId="0" fillId="0" borderId="0" xfId="0" applyFont="1" applyFill="1" applyBorder="1"/>
    <xf numFmtId="0" fontId="0" fillId="0" borderId="0" xfId="0" applyFont="1" applyFill="1"/>
    <xf numFmtId="49" fontId="4" fillId="0" borderId="2" xfId="0" applyNumberFormat="1" applyFont="1" applyFill="1" applyBorder="1" applyAlignment="1">
      <alignment horizontal="center" wrapText="1"/>
    </xf>
    <xf numFmtId="0" fontId="1" fillId="0" borderId="1" xfId="0" applyFont="1" applyFill="1" applyBorder="1" applyAlignment="1">
      <alignment vertical="center" wrapText="1"/>
    </xf>
    <xf numFmtId="0" fontId="1" fillId="0" borderId="1" xfId="0" applyFont="1" applyFill="1" applyBorder="1" applyAlignment="1">
      <alignment horizontal="left" wrapText="1"/>
    </xf>
    <xf numFmtId="0" fontId="1" fillId="0" borderId="1" xfId="0" applyFont="1" applyFill="1" applyBorder="1" applyAlignment="1">
      <alignment vertical="justify" wrapText="1"/>
    </xf>
    <xf numFmtId="0" fontId="1" fillId="0" borderId="2" xfId="0" applyFont="1" applyFill="1" applyBorder="1" applyAlignment="1">
      <alignment vertical="top"/>
    </xf>
    <xf numFmtId="0" fontId="1" fillId="0" borderId="5" xfId="1" applyNumberFormat="1" applyFont="1" applyFill="1" applyBorder="1" applyAlignment="1" applyProtection="1">
      <alignment horizontal="left" wrapText="1"/>
      <protection hidden="1"/>
    </xf>
    <xf numFmtId="0" fontId="1" fillId="0" borderId="2" xfId="0" applyFont="1" applyFill="1" applyBorder="1" applyAlignment="1">
      <alignment wrapText="1"/>
    </xf>
    <xf numFmtId="0" fontId="1" fillId="0" borderId="2" xfId="1" applyNumberFormat="1" applyFont="1" applyFill="1" applyBorder="1" applyAlignment="1" applyProtection="1">
      <alignment horizontal="left" wrapText="1"/>
      <protection hidden="1"/>
    </xf>
    <xf numFmtId="0" fontId="1" fillId="0" borderId="6" xfId="0" applyFont="1" applyFill="1" applyBorder="1" applyAlignment="1">
      <alignment horizontal="left" vertical="justify" wrapText="1"/>
    </xf>
    <xf numFmtId="165" fontId="0" fillId="0" borderId="0" xfId="0" applyNumberFormat="1" applyBorder="1"/>
    <xf numFmtId="49" fontId="1" fillId="0" borderId="2" xfId="0" applyNumberFormat="1" applyFont="1" applyFill="1" applyBorder="1" applyAlignment="1" applyProtection="1">
      <alignment vertical="justify" wrapText="1"/>
    </xf>
    <xf numFmtId="165" fontId="1" fillId="3" borderId="0" xfId="0" applyNumberFormat="1" applyFont="1" applyFill="1" applyBorder="1" applyAlignment="1"/>
    <xf numFmtId="0" fontId="1" fillId="0" borderId="2" xfId="0" applyFont="1" applyFill="1" applyBorder="1" applyAlignment="1">
      <alignment vertical="distributed" wrapText="1"/>
    </xf>
    <xf numFmtId="0" fontId="1" fillId="0" borderId="2" xfId="0" applyNumberFormat="1" applyFont="1" applyFill="1" applyBorder="1" applyAlignment="1" applyProtection="1">
      <alignment horizontal="left" vertical="distributed" shrinkToFit="1"/>
    </xf>
    <xf numFmtId="49" fontId="1" fillId="0" borderId="2" xfId="0" applyNumberFormat="1" applyFont="1" applyFill="1" applyBorder="1" applyAlignment="1" applyProtection="1">
      <alignment wrapText="1"/>
    </xf>
    <xf numFmtId="0" fontId="1" fillId="0" borderId="1" xfId="0" applyFont="1" applyFill="1" applyBorder="1" applyAlignment="1">
      <alignment horizontal="left" vertical="center"/>
    </xf>
    <xf numFmtId="0" fontId="0" fillId="0" borderId="0" xfId="0" applyFont="1" applyBorder="1"/>
    <xf numFmtId="0" fontId="11" fillId="0" borderId="1" xfId="0" applyFont="1" applyFill="1" applyBorder="1" applyAlignment="1">
      <alignment vertical="center" wrapText="1"/>
    </xf>
    <xf numFmtId="0" fontId="11" fillId="0" borderId="2" xfId="0" applyFont="1" applyFill="1" applyBorder="1" applyAlignment="1">
      <alignment horizontal="center" wrapText="1"/>
    </xf>
    <xf numFmtId="49" fontId="11" fillId="0" borderId="2" xfId="0" applyNumberFormat="1" applyFont="1" applyFill="1" applyBorder="1" applyAlignment="1">
      <alignment horizontal="center" wrapText="1"/>
    </xf>
    <xf numFmtId="0" fontId="11" fillId="0" borderId="2" xfId="0" applyFont="1" applyFill="1" applyBorder="1" applyAlignment="1">
      <alignment vertical="justify" wrapText="1"/>
    </xf>
    <xf numFmtId="0" fontId="12" fillId="0" borderId="2" xfId="0" applyNumberFormat="1" applyFont="1" applyFill="1" applyBorder="1" applyAlignment="1" applyProtection="1">
      <alignment horizontal="left" vertical="center"/>
    </xf>
    <xf numFmtId="165" fontId="0" fillId="0" borderId="0" xfId="0" applyNumberFormat="1" applyFont="1" applyFill="1" applyBorder="1"/>
    <xf numFmtId="0" fontId="13" fillId="0" borderId="0" xfId="0" applyFont="1" applyFill="1" applyBorder="1" applyAlignment="1"/>
    <xf numFmtId="0" fontId="12" fillId="0" borderId="7" xfId="0" applyNumberFormat="1" applyFont="1" applyFill="1" applyBorder="1" applyAlignment="1" applyProtection="1">
      <alignment horizontal="left" wrapText="1"/>
    </xf>
    <xf numFmtId="0" fontId="1" fillId="0" borderId="2" xfId="1" applyNumberFormat="1" applyFont="1" applyFill="1" applyBorder="1" applyAlignment="1" applyProtection="1">
      <alignment horizontal="left" vertical="center" wrapText="1"/>
      <protection hidden="1"/>
    </xf>
    <xf numFmtId="0" fontId="9" fillId="0" borderId="1" xfId="0" applyFont="1" applyFill="1" applyBorder="1" applyAlignment="1">
      <alignment wrapText="1"/>
    </xf>
    <xf numFmtId="0" fontId="9" fillId="0" borderId="1" xfId="0" applyFont="1" applyFill="1" applyBorder="1" applyAlignment="1">
      <alignment horizontal="left" vertical="justify" wrapText="1"/>
    </xf>
    <xf numFmtId="0" fontId="1" fillId="0" borderId="2" xfId="0" applyFont="1" applyFill="1" applyBorder="1" applyAlignment="1">
      <alignment horizontal="left" vertical="top" wrapText="1" shrinkToFit="1"/>
    </xf>
    <xf numFmtId="0" fontId="1" fillId="0" borderId="1" xfId="0" applyFont="1" applyFill="1" applyBorder="1" applyAlignment="1">
      <alignment horizontal="left" vertical="distributed" shrinkToFit="1"/>
    </xf>
    <xf numFmtId="0" fontId="9" fillId="0" borderId="1" xfId="0" applyFont="1" applyFill="1" applyBorder="1" applyAlignment="1">
      <alignment vertical="center" wrapText="1"/>
    </xf>
    <xf numFmtId="0" fontId="1" fillId="0" borderId="0" xfId="0" applyFont="1" applyFill="1" applyBorder="1" applyAlignment="1">
      <alignment horizontal="left" vertical="center" shrinkToFit="1"/>
    </xf>
    <xf numFmtId="0" fontId="1" fillId="0" borderId="1" xfId="0" applyFont="1" applyFill="1" applyBorder="1" applyAlignment="1">
      <alignment horizontal="left" vertical="center" shrinkToFit="1"/>
    </xf>
    <xf numFmtId="0" fontId="9" fillId="0" borderId="1" xfId="0" applyFont="1" applyFill="1" applyBorder="1" applyAlignment="1">
      <alignment horizontal="center" wrapText="1"/>
    </xf>
    <xf numFmtId="49" fontId="9" fillId="0" borderId="1" xfId="0" applyNumberFormat="1" applyFont="1" applyFill="1" applyBorder="1" applyAlignment="1">
      <alignment horizontal="center" wrapText="1"/>
    </xf>
    <xf numFmtId="165" fontId="1" fillId="0" borderId="1" xfId="0" applyNumberFormat="1" applyFont="1" applyFill="1" applyBorder="1" applyAlignment="1"/>
    <xf numFmtId="165" fontId="1" fillId="0" borderId="5" xfId="0" applyNumberFormat="1" applyFont="1" applyFill="1" applyBorder="1" applyAlignment="1"/>
    <xf numFmtId="0" fontId="0" fillId="0" borderId="0" xfId="0" applyBorder="1" applyAlignment="1"/>
    <xf numFmtId="165" fontId="0" fillId="0" borderId="0" xfId="0" applyNumberFormat="1" applyBorder="1" applyAlignment="1"/>
    <xf numFmtId="0" fontId="1" fillId="0" borderId="2" xfId="0" applyFont="1" applyFill="1" applyBorder="1" applyAlignment="1">
      <alignment horizontal="left" vertical="center" shrinkToFit="1"/>
    </xf>
    <xf numFmtId="0" fontId="1" fillId="0" borderId="2" xfId="0" applyFont="1" applyFill="1" applyBorder="1" applyAlignment="1">
      <alignment horizontal="left" vertical="center" wrapText="1" shrinkToFit="1"/>
    </xf>
    <xf numFmtId="0" fontId="1" fillId="0" borderId="1" xfId="0" applyFont="1" applyFill="1" applyBorder="1" applyAlignment="1">
      <alignment wrapText="1"/>
    </xf>
    <xf numFmtId="0" fontId="9" fillId="0" borderId="1" xfId="0" applyFont="1" applyFill="1" applyBorder="1" applyAlignment="1">
      <alignment horizontal="left" vertical="center" wrapText="1"/>
    </xf>
    <xf numFmtId="0" fontId="9" fillId="0" borderId="6" xfId="0" applyFont="1" applyFill="1" applyBorder="1" applyAlignment="1">
      <alignment horizontal="center" wrapText="1"/>
    </xf>
    <xf numFmtId="49" fontId="9" fillId="0" borderId="6" xfId="0" applyNumberFormat="1" applyFont="1" applyFill="1" applyBorder="1" applyAlignment="1">
      <alignment horizontal="center" wrapText="1"/>
    </xf>
    <xf numFmtId="165" fontId="1" fillId="0" borderId="6" xfId="0" applyNumberFormat="1" applyFont="1" applyFill="1" applyBorder="1" applyAlignment="1"/>
    <xf numFmtId="165" fontId="1" fillId="0" borderId="8" xfId="0" applyNumberFormat="1" applyFont="1" applyFill="1" applyBorder="1" applyAlignment="1"/>
    <xf numFmtId="0" fontId="1" fillId="0" borderId="2" xfId="0" applyNumberFormat="1" applyFont="1" applyFill="1" applyBorder="1" applyAlignment="1" applyProtection="1">
      <alignment vertical="top" wrapText="1"/>
    </xf>
    <xf numFmtId="0" fontId="0" fillId="0" borderId="0" xfId="0" applyFill="1" applyBorder="1" applyAlignment="1">
      <alignment horizontal="left" wrapText="1"/>
    </xf>
    <xf numFmtId="0" fontId="1" fillId="0" borderId="2" xfId="0" applyNumberFormat="1" applyFont="1" applyFill="1" applyBorder="1" applyAlignment="1" applyProtection="1">
      <alignment vertical="center" wrapText="1"/>
    </xf>
    <xf numFmtId="0" fontId="0" fillId="0" borderId="0" xfId="0" applyFill="1" applyBorder="1" applyAlignment="1">
      <alignment wrapText="1"/>
    </xf>
    <xf numFmtId="0" fontId="1" fillId="0" borderId="2" xfId="0" applyNumberFormat="1" applyFont="1" applyFill="1" applyBorder="1" applyAlignment="1" applyProtection="1">
      <alignment wrapText="1"/>
    </xf>
    <xf numFmtId="0" fontId="0" fillId="0" borderId="0" xfId="0" applyFill="1" applyBorder="1" applyAlignment="1">
      <alignment vertical="center"/>
    </xf>
    <xf numFmtId="0" fontId="0" fillId="0" borderId="0" xfId="0" applyBorder="1" applyAlignment="1">
      <alignment vertical="center"/>
    </xf>
    <xf numFmtId="0" fontId="0" fillId="0" borderId="0" xfId="0" applyFill="1" applyAlignment="1">
      <alignment vertical="center"/>
    </xf>
    <xf numFmtId="0" fontId="1" fillId="0" borderId="9" xfId="0" applyNumberFormat="1" applyFont="1" applyFill="1" applyBorder="1" applyAlignment="1" applyProtection="1">
      <alignment vertical="top" wrapText="1"/>
      <protection hidden="1"/>
    </xf>
    <xf numFmtId="0" fontId="1" fillId="0" borderId="5" xfId="0" applyFont="1" applyFill="1" applyBorder="1" applyAlignment="1">
      <alignment horizontal="left" vertical="justify" wrapText="1"/>
    </xf>
    <xf numFmtId="0" fontId="14" fillId="0" borderId="0" xfId="0" applyFont="1" applyFill="1" applyAlignment="1"/>
    <xf numFmtId="0" fontId="1" fillId="0" borderId="5" xfId="0" applyFont="1" applyFill="1" applyBorder="1" applyAlignment="1">
      <alignment vertical="justify" wrapText="1"/>
    </xf>
    <xf numFmtId="0" fontId="0" fillId="0" borderId="0" xfId="0" applyFont="1"/>
    <xf numFmtId="0" fontId="1" fillId="0" borderId="9" xfId="0" applyNumberFormat="1" applyFont="1" applyFill="1" applyBorder="1" applyAlignment="1" applyProtection="1">
      <alignment vertical="center" wrapText="1"/>
      <protection hidden="1"/>
    </xf>
    <xf numFmtId="165" fontId="1" fillId="0" borderId="0" xfId="0" applyNumberFormat="1" applyFont="1" applyFill="1" applyBorder="1" applyAlignment="1"/>
    <xf numFmtId="0" fontId="1" fillId="0" borderId="3" xfId="0" applyFont="1" applyFill="1" applyBorder="1" applyAlignment="1">
      <alignment vertical="justify" wrapText="1"/>
    </xf>
    <xf numFmtId="0" fontId="1" fillId="0" borderId="2" xfId="1" applyNumberFormat="1" applyFont="1" applyFill="1" applyBorder="1" applyAlignment="1" applyProtection="1">
      <alignment horizontal="left" vertical="distributed" wrapText="1"/>
      <protection hidden="1"/>
    </xf>
    <xf numFmtId="0" fontId="1" fillId="0" borderId="2" xfId="1" applyNumberFormat="1" applyFont="1" applyFill="1" applyBorder="1" applyAlignment="1" applyProtection="1">
      <alignment horizontal="left" vertical="distributed" shrinkToFit="1"/>
      <protection hidden="1"/>
    </xf>
    <xf numFmtId="49" fontId="9" fillId="0" borderId="2" xfId="0" applyNumberFormat="1" applyFont="1" applyFill="1" applyBorder="1" applyAlignment="1" applyProtection="1">
      <alignment horizontal="justify" vertical="justify" wrapText="1"/>
    </xf>
    <xf numFmtId="0" fontId="15" fillId="0" borderId="0" xfId="0" applyFont="1" applyFill="1" applyBorder="1" applyAlignment="1"/>
    <xf numFmtId="0" fontId="2" fillId="0" borderId="2" xfId="0" applyFont="1" applyFill="1" applyBorder="1" applyAlignment="1">
      <alignment vertical="justify" wrapText="1"/>
    </xf>
    <xf numFmtId="0" fontId="4" fillId="4" borderId="2" xfId="0" applyFont="1" applyFill="1" applyBorder="1"/>
    <xf numFmtId="0" fontId="4" fillId="4" borderId="2" xfId="0" applyFont="1" applyFill="1" applyBorder="1" applyAlignment="1">
      <alignment horizontal="center"/>
    </xf>
    <xf numFmtId="49" fontId="4" fillId="4" borderId="2" xfId="0" applyNumberFormat="1" applyFont="1" applyFill="1" applyBorder="1" applyAlignment="1">
      <alignment horizontal="center"/>
    </xf>
    <xf numFmtId="165" fontId="4" fillId="4" borderId="2" xfId="0" applyNumberFormat="1" applyFont="1" applyFill="1" applyBorder="1" applyAlignment="1"/>
    <xf numFmtId="0" fontId="1" fillId="0" borderId="0" xfId="0" applyFont="1" applyFill="1" applyBorder="1" applyAlignment="1">
      <alignment horizontal="center" wrapText="1"/>
    </xf>
    <xf numFmtId="0" fontId="0" fillId="0" borderId="0" xfId="0" applyFill="1" applyAlignment="1"/>
    <xf numFmtId="164" fontId="16" fillId="0" borderId="0" xfId="0" applyNumberFormat="1" applyFont="1" applyFill="1" applyAlignment="1">
      <alignment horizontal="center"/>
    </xf>
    <xf numFmtId="0" fontId="0" fillId="0" borderId="0" xfId="0" applyFill="1" applyBorder="1" applyAlignment="1">
      <alignment horizontal="right"/>
    </xf>
    <xf numFmtId="0" fontId="0" fillId="0" borderId="0" xfId="0" applyBorder="1" applyAlignment="1">
      <alignment horizontal="right"/>
    </xf>
    <xf numFmtId="164" fontId="0" fillId="0" borderId="0" xfId="0" applyNumberFormat="1" applyFont="1" applyFill="1" applyAlignment="1">
      <alignment horizontal="right"/>
    </xf>
    <xf numFmtId="0" fontId="0" fillId="0" borderId="0" xfId="0" applyFont="1" applyFill="1" applyAlignment="1">
      <alignment horizontal="right"/>
    </xf>
    <xf numFmtId="4" fontId="0" fillId="0" borderId="0" xfId="0" applyNumberFormat="1" applyFill="1" applyBorder="1" applyAlignment="1">
      <alignment horizontal="right"/>
    </xf>
    <xf numFmtId="4" fontId="0" fillId="0" borderId="0" xfId="0" applyNumberFormat="1" applyBorder="1" applyAlignment="1">
      <alignment horizontal="right"/>
    </xf>
    <xf numFmtId="165" fontId="0" fillId="0" borderId="0" xfId="0" applyNumberFormat="1" applyFont="1" applyFill="1" applyAlignment="1"/>
    <xf numFmtId="2" fontId="0" fillId="0" borderId="0" xfId="0" applyNumberFormat="1" applyFill="1" applyBorder="1" applyAlignment="1"/>
    <xf numFmtId="2" fontId="0" fillId="0" borderId="0" xfId="0" applyNumberFormat="1" applyFill="1" applyBorder="1"/>
    <xf numFmtId="2" fontId="0" fillId="0" borderId="0" xfId="0" applyNumberFormat="1" applyBorder="1"/>
    <xf numFmtId="165" fontId="4" fillId="0" borderId="0" xfId="0" applyNumberFormat="1" applyFont="1" applyFill="1" applyBorder="1" applyAlignment="1"/>
    <xf numFmtId="0" fontId="4" fillId="4" borderId="2" xfId="0" applyFont="1" applyFill="1" applyBorder="1" applyAlignment="1">
      <alignment vertical="center" wrapText="1"/>
    </xf>
    <xf numFmtId="0" fontId="4" fillId="4" borderId="2" xfId="0"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165" fontId="4" fillId="4" borderId="2" xfId="0" applyNumberFormat="1" applyFont="1" applyFill="1" applyBorder="1" applyAlignment="1">
      <alignment vertical="center"/>
    </xf>
    <xf numFmtId="165" fontId="4" fillId="4" borderId="3" xfId="0" applyNumberFormat="1" applyFont="1" applyFill="1" applyBorder="1" applyAlignment="1">
      <alignment vertical="center"/>
    </xf>
    <xf numFmtId="0" fontId="4" fillId="4" borderId="2" xfId="0" applyFont="1" applyFill="1" applyBorder="1" applyAlignment="1">
      <alignment horizontal="center" wrapText="1"/>
    </xf>
    <xf numFmtId="49" fontId="4" fillId="4" borderId="2" xfId="0" applyNumberFormat="1" applyFont="1" applyFill="1" applyBorder="1" applyAlignment="1">
      <alignment horizontal="center" wrapText="1"/>
    </xf>
    <xf numFmtId="165" fontId="4" fillId="4" borderId="3" xfId="0" applyNumberFormat="1" applyFont="1" applyFill="1" applyBorder="1" applyAlignment="1"/>
    <xf numFmtId="0" fontId="4" fillId="4" borderId="2" xfId="0" applyFont="1" applyFill="1" applyBorder="1" applyAlignment="1">
      <alignment horizontal="left" vertical="center" wrapText="1"/>
    </xf>
    <xf numFmtId="165" fontId="4" fillId="4" borderId="2" xfId="0" applyNumberFormat="1" applyFont="1" applyFill="1" applyBorder="1" applyAlignment="1">
      <alignment horizontal="right" vertical="center"/>
    </xf>
    <xf numFmtId="165" fontId="4" fillId="4" borderId="3" xfId="0" applyNumberFormat="1" applyFont="1" applyFill="1" applyBorder="1" applyAlignment="1">
      <alignment horizontal="right" vertical="center"/>
    </xf>
    <xf numFmtId="165" fontId="4" fillId="4" borderId="2" xfId="0" applyNumberFormat="1" applyFont="1" applyFill="1" applyBorder="1" applyAlignment="1">
      <alignment vertical="center" wrapText="1"/>
    </xf>
    <xf numFmtId="0" fontId="4"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2" xfId="0" applyFont="1" applyFill="1" applyBorder="1" applyAlignment="1">
      <alignment horizontal="center" vertical="center" wrapText="1"/>
    </xf>
    <xf numFmtId="49" fontId="8" fillId="4" borderId="2" xfId="0" applyNumberFormat="1" applyFont="1" applyFill="1" applyBorder="1" applyAlignment="1">
      <alignment horizontal="center" vertical="center" wrapText="1"/>
    </xf>
  </cellXfs>
  <cellStyles count="2">
    <cellStyle name="Обычный" xfId="0" builtinId="0"/>
    <cellStyle name="Обычный 2" xfId="1" xr:uid="{4018D1BF-5FF3-4BF0-A7EA-16BAD46C08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80;&#1083;&#1086;&#1078;&#1077;&#1085;&#1080;&#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1"/>
      <sheetName val="Прил 2 Проект"/>
      <sheetName val="Прил 3 Проект"/>
      <sheetName val="Прил 4 Проект"/>
      <sheetName val="Прил 5 Проект Новый"/>
      <sheetName val="Приложение № 6"/>
      <sheetName val="Разделы, подразделы"/>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458EB-06CC-4CD8-BC0D-48B382017A45}">
  <sheetPr>
    <pageSetUpPr fitToPage="1"/>
  </sheetPr>
  <dimension ref="A1:AJ486"/>
  <sheetViews>
    <sheetView tabSelected="1" view="pageBreakPreview" topLeftCell="A420" zoomScaleNormal="100" zoomScaleSheetLayoutView="100" workbookViewId="0">
      <selection activeCell="I25" sqref="I25"/>
    </sheetView>
  </sheetViews>
  <sheetFormatPr defaultRowHeight="12.75" x14ac:dyDescent="0.2"/>
  <cols>
    <col min="1" max="1" width="64.5703125" style="58" customWidth="1"/>
    <col min="2" max="2" width="13" style="143" customWidth="1"/>
    <col min="3" max="3" width="5.7109375" style="143" customWidth="1"/>
    <col min="4" max="4" width="7.5703125" style="143" customWidth="1"/>
    <col min="5" max="5" width="8.7109375" style="143" customWidth="1"/>
    <col min="6" max="6" width="10.7109375" style="5" customWidth="1"/>
    <col min="7" max="7" width="9.28515625" style="6" customWidth="1"/>
    <col min="8" max="8" width="11.42578125" style="6" customWidth="1"/>
    <col min="9" max="9" width="35" style="19" customWidth="1"/>
    <col min="10" max="10" width="8.5703125" style="20" customWidth="1"/>
    <col min="11" max="11" width="10.7109375" style="20" customWidth="1"/>
    <col min="12" max="12" width="12.7109375" style="21" bestFit="1" customWidth="1"/>
    <col min="13" max="13" width="10.7109375" style="21" bestFit="1" customWidth="1"/>
    <col min="14" max="36" width="9.140625" style="21"/>
    <col min="257" max="257" width="64.5703125" customWidth="1"/>
    <col min="258" max="258" width="13" customWidth="1"/>
    <col min="259" max="259" width="5.7109375" customWidth="1"/>
    <col min="260" max="260" width="7.5703125" customWidth="1"/>
    <col min="261" max="261" width="8.7109375" customWidth="1"/>
    <col min="262" max="262" width="10.7109375" customWidth="1"/>
    <col min="263" max="263" width="9.28515625" customWidth="1"/>
    <col min="264" max="264" width="11.42578125" customWidth="1"/>
    <col min="265" max="265" width="35" customWidth="1"/>
    <col min="266" max="266" width="8.5703125" customWidth="1"/>
    <col min="267" max="267" width="10.7109375" customWidth="1"/>
    <col min="268" max="268" width="12.7109375" bestFit="1" customWidth="1"/>
    <col min="269" max="269" width="10.7109375" bestFit="1" customWidth="1"/>
    <col min="513" max="513" width="64.5703125" customWidth="1"/>
    <col min="514" max="514" width="13" customWidth="1"/>
    <col min="515" max="515" width="5.7109375" customWidth="1"/>
    <col min="516" max="516" width="7.5703125" customWidth="1"/>
    <col min="517" max="517" width="8.7109375" customWidth="1"/>
    <col min="518" max="518" width="10.7109375" customWidth="1"/>
    <col min="519" max="519" width="9.28515625" customWidth="1"/>
    <col min="520" max="520" width="11.42578125" customWidth="1"/>
    <col min="521" max="521" width="35" customWidth="1"/>
    <col min="522" max="522" width="8.5703125" customWidth="1"/>
    <col min="523" max="523" width="10.7109375" customWidth="1"/>
    <col min="524" max="524" width="12.7109375" bestFit="1" customWidth="1"/>
    <col min="525" max="525" width="10.7109375" bestFit="1" customWidth="1"/>
    <col min="769" max="769" width="64.5703125" customWidth="1"/>
    <col min="770" max="770" width="13" customWidth="1"/>
    <col min="771" max="771" width="5.7109375" customWidth="1"/>
    <col min="772" max="772" width="7.5703125" customWidth="1"/>
    <col min="773" max="773" width="8.7109375" customWidth="1"/>
    <col min="774" max="774" width="10.7109375" customWidth="1"/>
    <col min="775" max="775" width="9.28515625" customWidth="1"/>
    <col min="776" max="776" width="11.42578125" customWidth="1"/>
    <col min="777" max="777" width="35" customWidth="1"/>
    <col min="778" max="778" width="8.5703125" customWidth="1"/>
    <col min="779" max="779" width="10.7109375" customWidth="1"/>
    <col min="780" max="780" width="12.7109375" bestFit="1" customWidth="1"/>
    <col min="781" max="781" width="10.7109375" bestFit="1" customWidth="1"/>
    <col min="1025" max="1025" width="64.5703125" customWidth="1"/>
    <col min="1026" max="1026" width="13" customWidth="1"/>
    <col min="1027" max="1027" width="5.7109375" customWidth="1"/>
    <col min="1028" max="1028" width="7.5703125" customWidth="1"/>
    <col min="1029" max="1029" width="8.7109375" customWidth="1"/>
    <col min="1030" max="1030" width="10.7109375" customWidth="1"/>
    <col min="1031" max="1031" width="9.28515625" customWidth="1"/>
    <col min="1032" max="1032" width="11.42578125" customWidth="1"/>
    <col min="1033" max="1033" width="35" customWidth="1"/>
    <col min="1034" max="1034" width="8.5703125" customWidth="1"/>
    <col min="1035" max="1035" width="10.7109375" customWidth="1"/>
    <col min="1036" max="1036" width="12.7109375" bestFit="1" customWidth="1"/>
    <col min="1037" max="1037" width="10.7109375" bestFit="1" customWidth="1"/>
    <col min="1281" max="1281" width="64.5703125" customWidth="1"/>
    <col min="1282" max="1282" width="13" customWidth="1"/>
    <col min="1283" max="1283" width="5.7109375" customWidth="1"/>
    <col min="1284" max="1284" width="7.5703125" customWidth="1"/>
    <col min="1285" max="1285" width="8.7109375" customWidth="1"/>
    <col min="1286" max="1286" width="10.7109375" customWidth="1"/>
    <col min="1287" max="1287" width="9.28515625" customWidth="1"/>
    <col min="1288" max="1288" width="11.42578125" customWidth="1"/>
    <col min="1289" max="1289" width="35" customWidth="1"/>
    <col min="1290" max="1290" width="8.5703125" customWidth="1"/>
    <col min="1291" max="1291" width="10.7109375" customWidth="1"/>
    <col min="1292" max="1292" width="12.7109375" bestFit="1" customWidth="1"/>
    <col min="1293" max="1293" width="10.7109375" bestFit="1" customWidth="1"/>
    <col min="1537" max="1537" width="64.5703125" customWidth="1"/>
    <col min="1538" max="1538" width="13" customWidth="1"/>
    <col min="1539" max="1539" width="5.7109375" customWidth="1"/>
    <col min="1540" max="1540" width="7.5703125" customWidth="1"/>
    <col min="1541" max="1541" width="8.7109375" customWidth="1"/>
    <col min="1542" max="1542" width="10.7109375" customWidth="1"/>
    <col min="1543" max="1543" width="9.28515625" customWidth="1"/>
    <col min="1544" max="1544" width="11.42578125" customWidth="1"/>
    <col min="1545" max="1545" width="35" customWidth="1"/>
    <col min="1546" max="1546" width="8.5703125" customWidth="1"/>
    <col min="1547" max="1547" width="10.7109375" customWidth="1"/>
    <col min="1548" max="1548" width="12.7109375" bestFit="1" customWidth="1"/>
    <col min="1549" max="1549" width="10.7109375" bestFit="1" customWidth="1"/>
    <col min="1793" max="1793" width="64.5703125" customWidth="1"/>
    <col min="1794" max="1794" width="13" customWidth="1"/>
    <col min="1795" max="1795" width="5.7109375" customWidth="1"/>
    <col min="1796" max="1796" width="7.5703125" customWidth="1"/>
    <col min="1797" max="1797" width="8.7109375" customWidth="1"/>
    <col min="1798" max="1798" width="10.7109375" customWidth="1"/>
    <col min="1799" max="1799" width="9.28515625" customWidth="1"/>
    <col min="1800" max="1800" width="11.42578125" customWidth="1"/>
    <col min="1801" max="1801" width="35" customWidth="1"/>
    <col min="1802" max="1802" width="8.5703125" customWidth="1"/>
    <col min="1803" max="1803" width="10.7109375" customWidth="1"/>
    <col min="1804" max="1804" width="12.7109375" bestFit="1" customWidth="1"/>
    <col min="1805" max="1805" width="10.7109375" bestFit="1" customWidth="1"/>
    <col min="2049" max="2049" width="64.5703125" customWidth="1"/>
    <col min="2050" max="2050" width="13" customWidth="1"/>
    <col min="2051" max="2051" width="5.7109375" customWidth="1"/>
    <col min="2052" max="2052" width="7.5703125" customWidth="1"/>
    <col min="2053" max="2053" width="8.7109375" customWidth="1"/>
    <col min="2054" max="2054" width="10.7109375" customWidth="1"/>
    <col min="2055" max="2055" width="9.28515625" customWidth="1"/>
    <col min="2056" max="2056" width="11.42578125" customWidth="1"/>
    <col min="2057" max="2057" width="35" customWidth="1"/>
    <col min="2058" max="2058" width="8.5703125" customWidth="1"/>
    <col min="2059" max="2059" width="10.7109375" customWidth="1"/>
    <col min="2060" max="2060" width="12.7109375" bestFit="1" customWidth="1"/>
    <col min="2061" max="2061" width="10.7109375" bestFit="1" customWidth="1"/>
    <col min="2305" max="2305" width="64.5703125" customWidth="1"/>
    <col min="2306" max="2306" width="13" customWidth="1"/>
    <col min="2307" max="2307" width="5.7109375" customWidth="1"/>
    <col min="2308" max="2308" width="7.5703125" customWidth="1"/>
    <col min="2309" max="2309" width="8.7109375" customWidth="1"/>
    <col min="2310" max="2310" width="10.7109375" customWidth="1"/>
    <col min="2311" max="2311" width="9.28515625" customWidth="1"/>
    <col min="2312" max="2312" width="11.42578125" customWidth="1"/>
    <col min="2313" max="2313" width="35" customWidth="1"/>
    <col min="2314" max="2314" width="8.5703125" customWidth="1"/>
    <col min="2315" max="2315" width="10.7109375" customWidth="1"/>
    <col min="2316" max="2316" width="12.7109375" bestFit="1" customWidth="1"/>
    <col min="2317" max="2317" width="10.7109375" bestFit="1" customWidth="1"/>
    <col min="2561" max="2561" width="64.5703125" customWidth="1"/>
    <col min="2562" max="2562" width="13" customWidth="1"/>
    <col min="2563" max="2563" width="5.7109375" customWidth="1"/>
    <col min="2564" max="2564" width="7.5703125" customWidth="1"/>
    <col min="2565" max="2565" width="8.7109375" customWidth="1"/>
    <col min="2566" max="2566" width="10.7109375" customWidth="1"/>
    <col min="2567" max="2567" width="9.28515625" customWidth="1"/>
    <col min="2568" max="2568" width="11.42578125" customWidth="1"/>
    <col min="2569" max="2569" width="35" customWidth="1"/>
    <col min="2570" max="2570" width="8.5703125" customWidth="1"/>
    <col min="2571" max="2571" width="10.7109375" customWidth="1"/>
    <col min="2572" max="2572" width="12.7109375" bestFit="1" customWidth="1"/>
    <col min="2573" max="2573" width="10.7109375" bestFit="1" customWidth="1"/>
    <col min="2817" max="2817" width="64.5703125" customWidth="1"/>
    <col min="2818" max="2818" width="13" customWidth="1"/>
    <col min="2819" max="2819" width="5.7109375" customWidth="1"/>
    <col min="2820" max="2820" width="7.5703125" customWidth="1"/>
    <col min="2821" max="2821" width="8.7109375" customWidth="1"/>
    <col min="2822" max="2822" width="10.7109375" customWidth="1"/>
    <col min="2823" max="2823" width="9.28515625" customWidth="1"/>
    <col min="2824" max="2824" width="11.42578125" customWidth="1"/>
    <col min="2825" max="2825" width="35" customWidth="1"/>
    <col min="2826" max="2826" width="8.5703125" customWidth="1"/>
    <col min="2827" max="2827" width="10.7109375" customWidth="1"/>
    <col min="2828" max="2828" width="12.7109375" bestFit="1" customWidth="1"/>
    <col min="2829" max="2829" width="10.7109375" bestFit="1" customWidth="1"/>
    <col min="3073" max="3073" width="64.5703125" customWidth="1"/>
    <col min="3074" max="3074" width="13" customWidth="1"/>
    <col min="3075" max="3075" width="5.7109375" customWidth="1"/>
    <col min="3076" max="3076" width="7.5703125" customWidth="1"/>
    <col min="3077" max="3077" width="8.7109375" customWidth="1"/>
    <col min="3078" max="3078" width="10.7109375" customWidth="1"/>
    <col min="3079" max="3079" width="9.28515625" customWidth="1"/>
    <col min="3080" max="3080" width="11.42578125" customWidth="1"/>
    <col min="3081" max="3081" width="35" customWidth="1"/>
    <col min="3082" max="3082" width="8.5703125" customWidth="1"/>
    <col min="3083" max="3083" width="10.7109375" customWidth="1"/>
    <col min="3084" max="3084" width="12.7109375" bestFit="1" customWidth="1"/>
    <col min="3085" max="3085" width="10.7109375" bestFit="1" customWidth="1"/>
    <col min="3329" max="3329" width="64.5703125" customWidth="1"/>
    <col min="3330" max="3330" width="13" customWidth="1"/>
    <col min="3331" max="3331" width="5.7109375" customWidth="1"/>
    <col min="3332" max="3332" width="7.5703125" customWidth="1"/>
    <col min="3333" max="3333" width="8.7109375" customWidth="1"/>
    <col min="3334" max="3334" width="10.7109375" customWidth="1"/>
    <col min="3335" max="3335" width="9.28515625" customWidth="1"/>
    <col min="3336" max="3336" width="11.42578125" customWidth="1"/>
    <col min="3337" max="3337" width="35" customWidth="1"/>
    <col min="3338" max="3338" width="8.5703125" customWidth="1"/>
    <col min="3339" max="3339" width="10.7109375" customWidth="1"/>
    <col min="3340" max="3340" width="12.7109375" bestFit="1" customWidth="1"/>
    <col min="3341" max="3341" width="10.7109375" bestFit="1" customWidth="1"/>
    <col min="3585" max="3585" width="64.5703125" customWidth="1"/>
    <col min="3586" max="3586" width="13" customWidth="1"/>
    <col min="3587" max="3587" width="5.7109375" customWidth="1"/>
    <col min="3588" max="3588" width="7.5703125" customWidth="1"/>
    <col min="3589" max="3589" width="8.7109375" customWidth="1"/>
    <col min="3590" max="3590" width="10.7109375" customWidth="1"/>
    <col min="3591" max="3591" width="9.28515625" customWidth="1"/>
    <col min="3592" max="3592" width="11.42578125" customWidth="1"/>
    <col min="3593" max="3593" width="35" customWidth="1"/>
    <col min="3594" max="3594" width="8.5703125" customWidth="1"/>
    <col min="3595" max="3595" width="10.7109375" customWidth="1"/>
    <col min="3596" max="3596" width="12.7109375" bestFit="1" customWidth="1"/>
    <col min="3597" max="3597" width="10.7109375" bestFit="1" customWidth="1"/>
    <col min="3841" max="3841" width="64.5703125" customWidth="1"/>
    <col min="3842" max="3842" width="13" customWidth="1"/>
    <col min="3843" max="3843" width="5.7109375" customWidth="1"/>
    <col min="3844" max="3844" width="7.5703125" customWidth="1"/>
    <col min="3845" max="3845" width="8.7109375" customWidth="1"/>
    <col min="3846" max="3846" width="10.7109375" customWidth="1"/>
    <col min="3847" max="3847" width="9.28515625" customWidth="1"/>
    <col min="3848" max="3848" width="11.42578125" customWidth="1"/>
    <col min="3849" max="3849" width="35" customWidth="1"/>
    <col min="3850" max="3850" width="8.5703125" customWidth="1"/>
    <col min="3851" max="3851" width="10.7109375" customWidth="1"/>
    <col min="3852" max="3852" width="12.7109375" bestFit="1" customWidth="1"/>
    <col min="3853" max="3853" width="10.7109375" bestFit="1" customWidth="1"/>
    <col min="4097" max="4097" width="64.5703125" customWidth="1"/>
    <col min="4098" max="4098" width="13" customWidth="1"/>
    <col min="4099" max="4099" width="5.7109375" customWidth="1"/>
    <col min="4100" max="4100" width="7.5703125" customWidth="1"/>
    <col min="4101" max="4101" width="8.7109375" customWidth="1"/>
    <col min="4102" max="4102" width="10.7109375" customWidth="1"/>
    <col min="4103" max="4103" width="9.28515625" customWidth="1"/>
    <col min="4104" max="4104" width="11.42578125" customWidth="1"/>
    <col min="4105" max="4105" width="35" customWidth="1"/>
    <col min="4106" max="4106" width="8.5703125" customWidth="1"/>
    <col min="4107" max="4107" width="10.7109375" customWidth="1"/>
    <col min="4108" max="4108" width="12.7109375" bestFit="1" customWidth="1"/>
    <col min="4109" max="4109" width="10.7109375" bestFit="1" customWidth="1"/>
    <col min="4353" max="4353" width="64.5703125" customWidth="1"/>
    <col min="4354" max="4354" width="13" customWidth="1"/>
    <col min="4355" max="4355" width="5.7109375" customWidth="1"/>
    <col min="4356" max="4356" width="7.5703125" customWidth="1"/>
    <col min="4357" max="4357" width="8.7109375" customWidth="1"/>
    <col min="4358" max="4358" width="10.7109375" customWidth="1"/>
    <col min="4359" max="4359" width="9.28515625" customWidth="1"/>
    <col min="4360" max="4360" width="11.42578125" customWidth="1"/>
    <col min="4361" max="4361" width="35" customWidth="1"/>
    <col min="4362" max="4362" width="8.5703125" customWidth="1"/>
    <col min="4363" max="4363" width="10.7109375" customWidth="1"/>
    <col min="4364" max="4364" width="12.7109375" bestFit="1" customWidth="1"/>
    <col min="4365" max="4365" width="10.7109375" bestFit="1" customWidth="1"/>
    <col min="4609" max="4609" width="64.5703125" customWidth="1"/>
    <col min="4610" max="4610" width="13" customWidth="1"/>
    <col min="4611" max="4611" width="5.7109375" customWidth="1"/>
    <col min="4612" max="4612" width="7.5703125" customWidth="1"/>
    <col min="4613" max="4613" width="8.7109375" customWidth="1"/>
    <col min="4614" max="4614" width="10.7109375" customWidth="1"/>
    <col min="4615" max="4615" width="9.28515625" customWidth="1"/>
    <col min="4616" max="4616" width="11.42578125" customWidth="1"/>
    <col min="4617" max="4617" width="35" customWidth="1"/>
    <col min="4618" max="4618" width="8.5703125" customWidth="1"/>
    <col min="4619" max="4619" width="10.7109375" customWidth="1"/>
    <col min="4620" max="4620" width="12.7109375" bestFit="1" customWidth="1"/>
    <col min="4621" max="4621" width="10.7109375" bestFit="1" customWidth="1"/>
    <col min="4865" max="4865" width="64.5703125" customWidth="1"/>
    <col min="4866" max="4866" width="13" customWidth="1"/>
    <col min="4867" max="4867" width="5.7109375" customWidth="1"/>
    <col min="4868" max="4868" width="7.5703125" customWidth="1"/>
    <col min="4869" max="4869" width="8.7109375" customWidth="1"/>
    <col min="4870" max="4870" width="10.7109375" customWidth="1"/>
    <col min="4871" max="4871" width="9.28515625" customWidth="1"/>
    <col min="4872" max="4872" width="11.42578125" customWidth="1"/>
    <col min="4873" max="4873" width="35" customWidth="1"/>
    <col min="4874" max="4874" width="8.5703125" customWidth="1"/>
    <col min="4875" max="4875" width="10.7109375" customWidth="1"/>
    <col min="4876" max="4876" width="12.7109375" bestFit="1" customWidth="1"/>
    <col min="4877" max="4877" width="10.7109375" bestFit="1" customWidth="1"/>
    <col min="5121" max="5121" width="64.5703125" customWidth="1"/>
    <col min="5122" max="5122" width="13" customWidth="1"/>
    <col min="5123" max="5123" width="5.7109375" customWidth="1"/>
    <col min="5124" max="5124" width="7.5703125" customWidth="1"/>
    <col min="5125" max="5125" width="8.7109375" customWidth="1"/>
    <col min="5126" max="5126" width="10.7109375" customWidth="1"/>
    <col min="5127" max="5127" width="9.28515625" customWidth="1"/>
    <col min="5128" max="5128" width="11.42578125" customWidth="1"/>
    <col min="5129" max="5129" width="35" customWidth="1"/>
    <col min="5130" max="5130" width="8.5703125" customWidth="1"/>
    <col min="5131" max="5131" width="10.7109375" customWidth="1"/>
    <col min="5132" max="5132" width="12.7109375" bestFit="1" customWidth="1"/>
    <col min="5133" max="5133" width="10.7109375" bestFit="1" customWidth="1"/>
    <col min="5377" max="5377" width="64.5703125" customWidth="1"/>
    <col min="5378" max="5378" width="13" customWidth="1"/>
    <col min="5379" max="5379" width="5.7109375" customWidth="1"/>
    <col min="5380" max="5380" width="7.5703125" customWidth="1"/>
    <col min="5381" max="5381" width="8.7109375" customWidth="1"/>
    <col min="5382" max="5382" width="10.7109375" customWidth="1"/>
    <col min="5383" max="5383" width="9.28515625" customWidth="1"/>
    <col min="5384" max="5384" width="11.42578125" customWidth="1"/>
    <col min="5385" max="5385" width="35" customWidth="1"/>
    <col min="5386" max="5386" width="8.5703125" customWidth="1"/>
    <col min="5387" max="5387" width="10.7109375" customWidth="1"/>
    <col min="5388" max="5388" width="12.7109375" bestFit="1" customWidth="1"/>
    <col min="5389" max="5389" width="10.7109375" bestFit="1" customWidth="1"/>
    <col min="5633" max="5633" width="64.5703125" customWidth="1"/>
    <col min="5634" max="5634" width="13" customWidth="1"/>
    <col min="5635" max="5635" width="5.7109375" customWidth="1"/>
    <col min="5636" max="5636" width="7.5703125" customWidth="1"/>
    <col min="5637" max="5637" width="8.7109375" customWidth="1"/>
    <col min="5638" max="5638" width="10.7109375" customWidth="1"/>
    <col min="5639" max="5639" width="9.28515625" customWidth="1"/>
    <col min="5640" max="5640" width="11.42578125" customWidth="1"/>
    <col min="5641" max="5641" width="35" customWidth="1"/>
    <col min="5642" max="5642" width="8.5703125" customWidth="1"/>
    <col min="5643" max="5643" width="10.7109375" customWidth="1"/>
    <col min="5644" max="5644" width="12.7109375" bestFit="1" customWidth="1"/>
    <col min="5645" max="5645" width="10.7109375" bestFit="1" customWidth="1"/>
    <col min="5889" max="5889" width="64.5703125" customWidth="1"/>
    <col min="5890" max="5890" width="13" customWidth="1"/>
    <col min="5891" max="5891" width="5.7109375" customWidth="1"/>
    <col min="5892" max="5892" width="7.5703125" customWidth="1"/>
    <col min="5893" max="5893" width="8.7109375" customWidth="1"/>
    <col min="5894" max="5894" width="10.7109375" customWidth="1"/>
    <col min="5895" max="5895" width="9.28515625" customWidth="1"/>
    <col min="5896" max="5896" width="11.42578125" customWidth="1"/>
    <col min="5897" max="5897" width="35" customWidth="1"/>
    <col min="5898" max="5898" width="8.5703125" customWidth="1"/>
    <col min="5899" max="5899" width="10.7109375" customWidth="1"/>
    <col min="5900" max="5900" width="12.7109375" bestFit="1" customWidth="1"/>
    <col min="5901" max="5901" width="10.7109375" bestFit="1" customWidth="1"/>
    <col min="6145" max="6145" width="64.5703125" customWidth="1"/>
    <col min="6146" max="6146" width="13" customWidth="1"/>
    <col min="6147" max="6147" width="5.7109375" customWidth="1"/>
    <col min="6148" max="6148" width="7.5703125" customWidth="1"/>
    <col min="6149" max="6149" width="8.7109375" customWidth="1"/>
    <col min="6150" max="6150" width="10.7109375" customWidth="1"/>
    <col min="6151" max="6151" width="9.28515625" customWidth="1"/>
    <col min="6152" max="6152" width="11.42578125" customWidth="1"/>
    <col min="6153" max="6153" width="35" customWidth="1"/>
    <col min="6154" max="6154" width="8.5703125" customWidth="1"/>
    <col min="6155" max="6155" width="10.7109375" customWidth="1"/>
    <col min="6156" max="6156" width="12.7109375" bestFit="1" customWidth="1"/>
    <col min="6157" max="6157" width="10.7109375" bestFit="1" customWidth="1"/>
    <col min="6401" max="6401" width="64.5703125" customWidth="1"/>
    <col min="6402" max="6402" width="13" customWidth="1"/>
    <col min="6403" max="6403" width="5.7109375" customWidth="1"/>
    <col min="6404" max="6404" width="7.5703125" customWidth="1"/>
    <col min="6405" max="6405" width="8.7109375" customWidth="1"/>
    <col min="6406" max="6406" width="10.7109375" customWidth="1"/>
    <col min="6407" max="6407" width="9.28515625" customWidth="1"/>
    <col min="6408" max="6408" width="11.42578125" customWidth="1"/>
    <col min="6409" max="6409" width="35" customWidth="1"/>
    <col min="6410" max="6410" width="8.5703125" customWidth="1"/>
    <col min="6411" max="6411" width="10.7109375" customWidth="1"/>
    <col min="6412" max="6412" width="12.7109375" bestFit="1" customWidth="1"/>
    <col min="6413" max="6413" width="10.7109375" bestFit="1" customWidth="1"/>
    <col min="6657" max="6657" width="64.5703125" customWidth="1"/>
    <col min="6658" max="6658" width="13" customWidth="1"/>
    <col min="6659" max="6659" width="5.7109375" customWidth="1"/>
    <col min="6660" max="6660" width="7.5703125" customWidth="1"/>
    <col min="6661" max="6661" width="8.7109375" customWidth="1"/>
    <col min="6662" max="6662" width="10.7109375" customWidth="1"/>
    <col min="6663" max="6663" width="9.28515625" customWidth="1"/>
    <col min="6664" max="6664" width="11.42578125" customWidth="1"/>
    <col min="6665" max="6665" width="35" customWidth="1"/>
    <col min="6666" max="6666" width="8.5703125" customWidth="1"/>
    <col min="6667" max="6667" width="10.7109375" customWidth="1"/>
    <col min="6668" max="6668" width="12.7109375" bestFit="1" customWidth="1"/>
    <col min="6669" max="6669" width="10.7109375" bestFit="1" customWidth="1"/>
    <col min="6913" max="6913" width="64.5703125" customWidth="1"/>
    <col min="6914" max="6914" width="13" customWidth="1"/>
    <col min="6915" max="6915" width="5.7109375" customWidth="1"/>
    <col min="6916" max="6916" width="7.5703125" customWidth="1"/>
    <col min="6917" max="6917" width="8.7109375" customWidth="1"/>
    <col min="6918" max="6918" width="10.7109375" customWidth="1"/>
    <col min="6919" max="6919" width="9.28515625" customWidth="1"/>
    <col min="6920" max="6920" width="11.42578125" customWidth="1"/>
    <col min="6921" max="6921" width="35" customWidth="1"/>
    <col min="6922" max="6922" width="8.5703125" customWidth="1"/>
    <col min="6923" max="6923" width="10.7109375" customWidth="1"/>
    <col min="6924" max="6924" width="12.7109375" bestFit="1" customWidth="1"/>
    <col min="6925" max="6925" width="10.7109375" bestFit="1" customWidth="1"/>
    <col min="7169" max="7169" width="64.5703125" customWidth="1"/>
    <col min="7170" max="7170" width="13" customWidth="1"/>
    <col min="7171" max="7171" width="5.7109375" customWidth="1"/>
    <col min="7172" max="7172" width="7.5703125" customWidth="1"/>
    <col min="7173" max="7173" width="8.7109375" customWidth="1"/>
    <col min="7174" max="7174" width="10.7109375" customWidth="1"/>
    <col min="7175" max="7175" width="9.28515625" customWidth="1"/>
    <col min="7176" max="7176" width="11.42578125" customWidth="1"/>
    <col min="7177" max="7177" width="35" customWidth="1"/>
    <col min="7178" max="7178" width="8.5703125" customWidth="1"/>
    <col min="7179" max="7179" width="10.7109375" customWidth="1"/>
    <col min="7180" max="7180" width="12.7109375" bestFit="1" customWidth="1"/>
    <col min="7181" max="7181" width="10.7109375" bestFit="1" customWidth="1"/>
    <col min="7425" max="7425" width="64.5703125" customWidth="1"/>
    <col min="7426" max="7426" width="13" customWidth="1"/>
    <col min="7427" max="7427" width="5.7109375" customWidth="1"/>
    <col min="7428" max="7428" width="7.5703125" customWidth="1"/>
    <col min="7429" max="7429" width="8.7109375" customWidth="1"/>
    <col min="7430" max="7430" width="10.7109375" customWidth="1"/>
    <col min="7431" max="7431" width="9.28515625" customWidth="1"/>
    <col min="7432" max="7432" width="11.42578125" customWidth="1"/>
    <col min="7433" max="7433" width="35" customWidth="1"/>
    <col min="7434" max="7434" width="8.5703125" customWidth="1"/>
    <col min="7435" max="7435" width="10.7109375" customWidth="1"/>
    <col min="7436" max="7436" width="12.7109375" bestFit="1" customWidth="1"/>
    <col min="7437" max="7437" width="10.7109375" bestFit="1" customWidth="1"/>
    <col min="7681" max="7681" width="64.5703125" customWidth="1"/>
    <col min="7682" max="7682" width="13" customWidth="1"/>
    <col min="7683" max="7683" width="5.7109375" customWidth="1"/>
    <col min="7684" max="7684" width="7.5703125" customWidth="1"/>
    <col min="7685" max="7685" width="8.7109375" customWidth="1"/>
    <col min="7686" max="7686" width="10.7109375" customWidth="1"/>
    <col min="7687" max="7687" width="9.28515625" customWidth="1"/>
    <col min="7688" max="7688" width="11.42578125" customWidth="1"/>
    <col min="7689" max="7689" width="35" customWidth="1"/>
    <col min="7690" max="7690" width="8.5703125" customWidth="1"/>
    <col min="7691" max="7691" width="10.7109375" customWidth="1"/>
    <col min="7692" max="7692" width="12.7109375" bestFit="1" customWidth="1"/>
    <col min="7693" max="7693" width="10.7109375" bestFit="1" customWidth="1"/>
    <col min="7937" max="7937" width="64.5703125" customWidth="1"/>
    <col min="7938" max="7938" width="13" customWidth="1"/>
    <col min="7939" max="7939" width="5.7109375" customWidth="1"/>
    <col min="7940" max="7940" width="7.5703125" customWidth="1"/>
    <col min="7941" max="7941" width="8.7109375" customWidth="1"/>
    <col min="7942" max="7942" width="10.7109375" customWidth="1"/>
    <col min="7943" max="7943" width="9.28515625" customWidth="1"/>
    <col min="7944" max="7944" width="11.42578125" customWidth="1"/>
    <col min="7945" max="7945" width="35" customWidth="1"/>
    <col min="7946" max="7946" width="8.5703125" customWidth="1"/>
    <col min="7947" max="7947" width="10.7109375" customWidth="1"/>
    <col min="7948" max="7948" width="12.7109375" bestFit="1" customWidth="1"/>
    <col min="7949" max="7949" width="10.7109375" bestFit="1" customWidth="1"/>
    <col min="8193" max="8193" width="64.5703125" customWidth="1"/>
    <col min="8194" max="8194" width="13" customWidth="1"/>
    <col min="8195" max="8195" width="5.7109375" customWidth="1"/>
    <col min="8196" max="8196" width="7.5703125" customWidth="1"/>
    <col min="8197" max="8197" width="8.7109375" customWidth="1"/>
    <col min="8198" max="8198" width="10.7109375" customWidth="1"/>
    <col min="8199" max="8199" width="9.28515625" customWidth="1"/>
    <col min="8200" max="8200" width="11.42578125" customWidth="1"/>
    <col min="8201" max="8201" width="35" customWidth="1"/>
    <col min="8202" max="8202" width="8.5703125" customWidth="1"/>
    <col min="8203" max="8203" width="10.7109375" customWidth="1"/>
    <col min="8204" max="8204" width="12.7109375" bestFit="1" customWidth="1"/>
    <col min="8205" max="8205" width="10.7109375" bestFit="1" customWidth="1"/>
    <col min="8449" max="8449" width="64.5703125" customWidth="1"/>
    <col min="8450" max="8450" width="13" customWidth="1"/>
    <col min="8451" max="8451" width="5.7109375" customWidth="1"/>
    <col min="8452" max="8452" width="7.5703125" customWidth="1"/>
    <col min="8453" max="8453" width="8.7109375" customWidth="1"/>
    <col min="8454" max="8454" width="10.7109375" customWidth="1"/>
    <col min="8455" max="8455" width="9.28515625" customWidth="1"/>
    <col min="8456" max="8456" width="11.42578125" customWidth="1"/>
    <col min="8457" max="8457" width="35" customWidth="1"/>
    <col min="8458" max="8458" width="8.5703125" customWidth="1"/>
    <col min="8459" max="8459" width="10.7109375" customWidth="1"/>
    <col min="8460" max="8460" width="12.7109375" bestFit="1" customWidth="1"/>
    <col min="8461" max="8461" width="10.7109375" bestFit="1" customWidth="1"/>
    <col min="8705" max="8705" width="64.5703125" customWidth="1"/>
    <col min="8706" max="8706" width="13" customWidth="1"/>
    <col min="8707" max="8707" width="5.7109375" customWidth="1"/>
    <col min="8708" max="8708" width="7.5703125" customWidth="1"/>
    <col min="8709" max="8709" width="8.7109375" customWidth="1"/>
    <col min="8710" max="8710" width="10.7109375" customWidth="1"/>
    <col min="8711" max="8711" width="9.28515625" customWidth="1"/>
    <col min="8712" max="8712" width="11.42578125" customWidth="1"/>
    <col min="8713" max="8713" width="35" customWidth="1"/>
    <col min="8714" max="8714" width="8.5703125" customWidth="1"/>
    <col min="8715" max="8715" width="10.7109375" customWidth="1"/>
    <col min="8716" max="8716" width="12.7109375" bestFit="1" customWidth="1"/>
    <col min="8717" max="8717" width="10.7109375" bestFit="1" customWidth="1"/>
    <col min="8961" max="8961" width="64.5703125" customWidth="1"/>
    <col min="8962" max="8962" width="13" customWidth="1"/>
    <col min="8963" max="8963" width="5.7109375" customWidth="1"/>
    <col min="8964" max="8964" width="7.5703125" customWidth="1"/>
    <col min="8965" max="8965" width="8.7109375" customWidth="1"/>
    <col min="8966" max="8966" width="10.7109375" customWidth="1"/>
    <col min="8967" max="8967" width="9.28515625" customWidth="1"/>
    <col min="8968" max="8968" width="11.42578125" customWidth="1"/>
    <col min="8969" max="8969" width="35" customWidth="1"/>
    <col min="8970" max="8970" width="8.5703125" customWidth="1"/>
    <col min="8971" max="8971" width="10.7109375" customWidth="1"/>
    <col min="8972" max="8972" width="12.7109375" bestFit="1" customWidth="1"/>
    <col min="8973" max="8973" width="10.7109375" bestFit="1" customWidth="1"/>
    <col min="9217" max="9217" width="64.5703125" customWidth="1"/>
    <col min="9218" max="9218" width="13" customWidth="1"/>
    <col min="9219" max="9219" width="5.7109375" customWidth="1"/>
    <col min="9220" max="9220" width="7.5703125" customWidth="1"/>
    <col min="9221" max="9221" width="8.7109375" customWidth="1"/>
    <col min="9222" max="9222" width="10.7109375" customWidth="1"/>
    <col min="9223" max="9223" width="9.28515625" customWidth="1"/>
    <col min="9224" max="9224" width="11.42578125" customWidth="1"/>
    <col min="9225" max="9225" width="35" customWidth="1"/>
    <col min="9226" max="9226" width="8.5703125" customWidth="1"/>
    <col min="9227" max="9227" width="10.7109375" customWidth="1"/>
    <col min="9228" max="9228" width="12.7109375" bestFit="1" customWidth="1"/>
    <col min="9229" max="9229" width="10.7109375" bestFit="1" customWidth="1"/>
    <col min="9473" max="9473" width="64.5703125" customWidth="1"/>
    <col min="9474" max="9474" width="13" customWidth="1"/>
    <col min="9475" max="9475" width="5.7109375" customWidth="1"/>
    <col min="9476" max="9476" width="7.5703125" customWidth="1"/>
    <col min="9477" max="9477" width="8.7109375" customWidth="1"/>
    <col min="9478" max="9478" width="10.7109375" customWidth="1"/>
    <col min="9479" max="9479" width="9.28515625" customWidth="1"/>
    <col min="9480" max="9480" width="11.42578125" customWidth="1"/>
    <col min="9481" max="9481" width="35" customWidth="1"/>
    <col min="9482" max="9482" width="8.5703125" customWidth="1"/>
    <col min="9483" max="9483" width="10.7109375" customWidth="1"/>
    <col min="9484" max="9484" width="12.7109375" bestFit="1" customWidth="1"/>
    <col min="9485" max="9485" width="10.7109375" bestFit="1" customWidth="1"/>
    <col min="9729" max="9729" width="64.5703125" customWidth="1"/>
    <col min="9730" max="9730" width="13" customWidth="1"/>
    <col min="9731" max="9731" width="5.7109375" customWidth="1"/>
    <col min="9732" max="9732" width="7.5703125" customWidth="1"/>
    <col min="9733" max="9733" width="8.7109375" customWidth="1"/>
    <col min="9734" max="9734" width="10.7109375" customWidth="1"/>
    <col min="9735" max="9735" width="9.28515625" customWidth="1"/>
    <col min="9736" max="9736" width="11.42578125" customWidth="1"/>
    <col min="9737" max="9737" width="35" customWidth="1"/>
    <col min="9738" max="9738" width="8.5703125" customWidth="1"/>
    <col min="9739" max="9739" width="10.7109375" customWidth="1"/>
    <col min="9740" max="9740" width="12.7109375" bestFit="1" customWidth="1"/>
    <col min="9741" max="9741" width="10.7109375" bestFit="1" customWidth="1"/>
    <col min="9985" max="9985" width="64.5703125" customWidth="1"/>
    <col min="9986" max="9986" width="13" customWidth="1"/>
    <col min="9987" max="9987" width="5.7109375" customWidth="1"/>
    <col min="9988" max="9988" width="7.5703125" customWidth="1"/>
    <col min="9989" max="9989" width="8.7109375" customWidth="1"/>
    <col min="9990" max="9990" width="10.7109375" customWidth="1"/>
    <col min="9991" max="9991" width="9.28515625" customWidth="1"/>
    <col min="9992" max="9992" width="11.42578125" customWidth="1"/>
    <col min="9993" max="9993" width="35" customWidth="1"/>
    <col min="9994" max="9994" width="8.5703125" customWidth="1"/>
    <col min="9995" max="9995" width="10.7109375" customWidth="1"/>
    <col min="9996" max="9996" width="12.7109375" bestFit="1" customWidth="1"/>
    <col min="9997" max="9997" width="10.7109375" bestFit="1" customWidth="1"/>
    <col min="10241" max="10241" width="64.5703125" customWidth="1"/>
    <col min="10242" max="10242" width="13" customWidth="1"/>
    <col min="10243" max="10243" width="5.7109375" customWidth="1"/>
    <col min="10244" max="10244" width="7.5703125" customWidth="1"/>
    <col min="10245" max="10245" width="8.7109375" customWidth="1"/>
    <col min="10246" max="10246" width="10.7109375" customWidth="1"/>
    <col min="10247" max="10247" width="9.28515625" customWidth="1"/>
    <col min="10248" max="10248" width="11.42578125" customWidth="1"/>
    <col min="10249" max="10249" width="35" customWidth="1"/>
    <col min="10250" max="10250" width="8.5703125" customWidth="1"/>
    <col min="10251" max="10251" width="10.7109375" customWidth="1"/>
    <col min="10252" max="10252" width="12.7109375" bestFit="1" customWidth="1"/>
    <col min="10253" max="10253" width="10.7109375" bestFit="1" customWidth="1"/>
    <col min="10497" max="10497" width="64.5703125" customWidth="1"/>
    <col min="10498" max="10498" width="13" customWidth="1"/>
    <col min="10499" max="10499" width="5.7109375" customWidth="1"/>
    <col min="10500" max="10500" width="7.5703125" customWidth="1"/>
    <col min="10501" max="10501" width="8.7109375" customWidth="1"/>
    <col min="10502" max="10502" width="10.7109375" customWidth="1"/>
    <col min="10503" max="10503" width="9.28515625" customWidth="1"/>
    <col min="10504" max="10504" width="11.42578125" customWidth="1"/>
    <col min="10505" max="10505" width="35" customWidth="1"/>
    <col min="10506" max="10506" width="8.5703125" customWidth="1"/>
    <col min="10507" max="10507" width="10.7109375" customWidth="1"/>
    <col min="10508" max="10508" width="12.7109375" bestFit="1" customWidth="1"/>
    <col min="10509" max="10509" width="10.7109375" bestFit="1" customWidth="1"/>
    <col min="10753" max="10753" width="64.5703125" customWidth="1"/>
    <col min="10754" max="10754" width="13" customWidth="1"/>
    <col min="10755" max="10755" width="5.7109375" customWidth="1"/>
    <col min="10756" max="10756" width="7.5703125" customWidth="1"/>
    <col min="10757" max="10757" width="8.7109375" customWidth="1"/>
    <col min="10758" max="10758" width="10.7109375" customWidth="1"/>
    <col min="10759" max="10759" width="9.28515625" customWidth="1"/>
    <col min="10760" max="10760" width="11.42578125" customWidth="1"/>
    <col min="10761" max="10761" width="35" customWidth="1"/>
    <col min="10762" max="10762" width="8.5703125" customWidth="1"/>
    <col min="10763" max="10763" width="10.7109375" customWidth="1"/>
    <col min="10764" max="10764" width="12.7109375" bestFit="1" customWidth="1"/>
    <col min="10765" max="10765" width="10.7109375" bestFit="1" customWidth="1"/>
    <col min="11009" max="11009" width="64.5703125" customWidth="1"/>
    <col min="11010" max="11010" width="13" customWidth="1"/>
    <col min="11011" max="11011" width="5.7109375" customWidth="1"/>
    <col min="11012" max="11012" width="7.5703125" customWidth="1"/>
    <col min="11013" max="11013" width="8.7109375" customWidth="1"/>
    <col min="11014" max="11014" width="10.7109375" customWidth="1"/>
    <col min="11015" max="11015" width="9.28515625" customWidth="1"/>
    <col min="11016" max="11016" width="11.42578125" customWidth="1"/>
    <col min="11017" max="11017" width="35" customWidth="1"/>
    <col min="11018" max="11018" width="8.5703125" customWidth="1"/>
    <col min="11019" max="11019" width="10.7109375" customWidth="1"/>
    <col min="11020" max="11020" width="12.7109375" bestFit="1" customWidth="1"/>
    <col min="11021" max="11021" width="10.7109375" bestFit="1" customWidth="1"/>
    <col min="11265" max="11265" width="64.5703125" customWidth="1"/>
    <col min="11266" max="11266" width="13" customWidth="1"/>
    <col min="11267" max="11267" width="5.7109375" customWidth="1"/>
    <col min="11268" max="11268" width="7.5703125" customWidth="1"/>
    <col min="11269" max="11269" width="8.7109375" customWidth="1"/>
    <col min="11270" max="11270" width="10.7109375" customWidth="1"/>
    <col min="11271" max="11271" width="9.28515625" customWidth="1"/>
    <col min="11272" max="11272" width="11.42578125" customWidth="1"/>
    <col min="11273" max="11273" width="35" customWidth="1"/>
    <col min="11274" max="11274" width="8.5703125" customWidth="1"/>
    <col min="11275" max="11275" width="10.7109375" customWidth="1"/>
    <col min="11276" max="11276" width="12.7109375" bestFit="1" customWidth="1"/>
    <col min="11277" max="11277" width="10.7109375" bestFit="1" customWidth="1"/>
    <col min="11521" max="11521" width="64.5703125" customWidth="1"/>
    <col min="11522" max="11522" width="13" customWidth="1"/>
    <col min="11523" max="11523" width="5.7109375" customWidth="1"/>
    <col min="11524" max="11524" width="7.5703125" customWidth="1"/>
    <col min="11525" max="11525" width="8.7109375" customWidth="1"/>
    <col min="11526" max="11526" width="10.7109375" customWidth="1"/>
    <col min="11527" max="11527" width="9.28515625" customWidth="1"/>
    <col min="11528" max="11528" width="11.42578125" customWidth="1"/>
    <col min="11529" max="11529" width="35" customWidth="1"/>
    <col min="11530" max="11530" width="8.5703125" customWidth="1"/>
    <col min="11531" max="11531" width="10.7109375" customWidth="1"/>
    <col min="11532" max="11532" width="12.7109375" bestFit="1" customWidth="1"/>
    <col min="11533" max="11533" width="10.7109375" bestFit="1" customWidth="1"/>
    <col min="11777" max="11777" width="64.5703125" customWidth="1"/>
    <col min="11778" max="11778" width="13" customWidth="1"/>
    <col min="11779" max="11779" width="5.7109375" customWidth="1"/>
    <col min="11780" max="11780" width="7.5703125" customWidth="1"/>
    <col min="11781" max="11781" width="8.7109375" customWidth="1"/>
    <col min="11782" max="11782" width="10.7109375" customWidth="1"/>
    <col min="11783" max="11783" width="9.28515625" customWidth="1"/>
    <col min="11784" max="11784" width="11.42578125" customWidth="1"/>
    <col min="11785" max="11785" width="35" customWidth="1"/>
    <col min="11786" max="11786" width="8.5703125" customWidth="1"/>
    <col min="11787" max="11787" width="10.7109375" customWidth="1"/>
    <col min="11788" max="11788" width="12.7109375" bestFit="1" customWidth="1"/>
    <col min="11789" max="11789" width="10.7109375" bestFit="1" customWidth="1"/>
    <col min="12033" max="12033" width="64.5703125" customWidth="1"/>
    <col min="12034" max="12034" width="13" customWidth="1"/>
    <col min="12035" max="12035" width="5.7109375" customWidth="1"/>
    <col min="12036" max="12036" width="7.5703125" customWidth="1"/>
    <col min="12037" max="12037" width="8.7109375" customWidth="1"/>
    <col min="12038" max="12038" width="10.7109375" customWidth="1"/>
    <col min="12039" max="12039" width="9.28515625" customWidth="1"/>
    <col min="12040" max="12040" width="11.42578125" customWidth="1"/>
    <col min="12041" max="12041" width="35" customWidth="1"/>
    <col min="12042" max="12042" width="8.5703125" customWidth="1"/>
    <col min="12043" max="12043" width="10.7109375" customWidth="1"/>
    <col min="12044" max="12044" width="12.7109375" bestFit="1" customWidth="1"/>
    <col min="12045" max="12045" width="10.7109375" bestFit="1" customWidth="1"/>
    <col min="12289" max="12289" width="64.5703125" customWidth="1"/>
    <col min="12290" max="12290" width="13" customWidth="1"/>
    <col min="12291" max="12291" width="5.7109375" customWidth="1"/>
    <col min="12292" max="12292" width="7.5703125" customWidth="1"/>
    <col min="12293" max="12293" width="8.7109375" customWidth="1"/>
    <col min="12294" max="12294" width="10.7109375" customWidth="1"/>
    <col min="12295" max="12295" width="9.28515625" customWidth="1"/>
    <col min="12296" max="12296" width="11.42578125" customWidth="1"/>
    <col min="12297" max="12297" width="35" customWidth="1"/>
    <col min="12298" max="12298" width="8.5703125" customWidth="1"/>
    <col min="12299" max="12299" width="10.7109375" customWidth="1"/>
    <col min="12300" max="12300" width="12.7109375" bestFit="1" customWidth="1"/>
    <col min="12301" max="12301" width="10.7109375" bestFit="1" customWidth="1"/>
    <col min="12545" max="12545" width="64.5703125" customWidth="1"/>
    <col min="12546" max="12546" width="13" customWidth="1"/>
    <col min="12547" max="12547" width="5.7109375" customWidth="1"/>
    <col min="12548" max="12548" width="7.5703125" customWidth="1"/>
    <col min="12549" max="12549" width="8.7109375" customWidth="1"/>
    <col min="12550" max="12550" width="10.7109375" customWidth="1"/>
    <col min="12551" max="12551" width="9.28515625" customWidth="1"/>
    <col min="12552" max="12552" width="11.42578125" customWidth="1"/>
    <col min="12553" max="12553" width="35" customWidth="1"/>
    <col min="12554" max="12554" width="8.5703125" customWidth="1"/>
    <col min="12555" max="12555" width="10.7109375" customWidth="1"/>
    <col min="12556" max="12556" width="12.7109375" bestFit="1" customWidth="1"/>
    <col min="12557" max="12557" width="10.7109375" bestFit="1" customWidth="1"/>
    <col min="12801" max="12801" width="64.5703125" customWidth="1"/>
    <col min="12802" max="12802" width="13" customWidth="1"/>
    <col min="12803" max="12803" width="5.7109375" customWidth="1"/>
    <col min="12804" max="12804" width="7.5703125" customWidth="1"/>
    <col min="12805" max="12805" width="8.7109375" customWidth="1"/>
    <col min="12806" max="12806" width="10.7109375" customWidth="1"/>
    <col min="12807" max="12807" width="9.28515625" customWidth="1"/>
    <col min="12808" max="12808" width="11.42578125" customWidth="1"/>
    <col min="12809" max="12809" width="35" customWidth="1"/>
    <col min="12810" max="12810" width="8.5703125" customWidth="1"/>
    <col min="12811" max="12811" width="10.7109375" customWidth="1"/>
    <col min="12812" max="12812" width="12.7109375" bestFit="1" customWidth="1"/>
    <col min="12813" max="12813" width="10.7109375" bestFit="1" customWidth="1"/>
    <col min="13057" max="13057" width="64.5703125" customWidth="1"/>
    <col min="13058" max="13058" width="13" customWidth="1"/>
    <col min="13059" max="13059" width="5.7109375" customWidth="1"/>
    <col min="13060" max="13060" width="7.5703125" customWidth="1"/>
    <col min="13061" max="13061" width="8.7109375" customWidth="1"/>
    <col min="13062" max="13062" width="10.7109375" customWidth="1"/>
    <col min="13063" max="13063" width="9.28515625" customWidth="1"/>
    <col min="13064" max="13064" width="11.42578125" customWidth="1"/>
    <col min="13065" max="13065" width="35" customWidth="1"/>
    <col min="13066" max="13066" width="8.5703125" customWidth="1"/>
    <col min="13067" max="13067" width="10.7109375" customWidth="1"/>
    <col min="13068" max="13068" width="12.7109375" bestFit="1" customWidth="1"/>
    <col min="13069" max="13069" width="10.7109375" bestFit="1" customWidth="1"/>
    <col min="13313" max="13313" width="64.5703125" customWidth="1"/>
    <col min="13314" max="13314" width="13" customWidth="1"/>
    <col min="13315" max="13315" width="5.7109375" customWidth="1"/>
    <col min="13316" max="13316" width="7.5703125" customWidth="1"/>
    <col min="13317" max="13317" width="8.7109375" customWidth="1"/>
    <col min="13318" max="13318" width="10.7109375" customWidth="1"/>
    <col min="13319" max="13319" width="9.28515625" customWidth="1"/>
    <col min="13320" max="13320" width="11.42578125" customWidth="1"/>
    <col min="13321" max="13321" width="35" customWidth="1"/>
    <col min="13322" max="13322" width="8.5703125" customWidth="1"/>
    <col min="13323" max="13323" width="10.7109375" customWidth="1"/>
    <col min="13324" max="13324" width="12.7109375" bestFit="1" customWidth="1"/>
    <col min="13325" max="13325" width="10.7109375" bestFit="1" customWidth="1"/>
    <col min="13569" max="13569" width="64.5703125" customWidth="1"/>
    <col min="13570" max="13570" width="13" customWidth="1"/>
    <col min="13571" max="13571" width="5.7109375" customWidth="1"/>
    <col min="13572" max="13572" width="7.5703125" customWidth="1"/>
    <col min="13573" max="13573" width="8.7109375" customWidth="1"/>
    <col min="13574" max="13574" width="10.7109375" customWidth="1"/>
    <col min="13575" max="13575" width="9.28515625" customWidth="1"/>
    <col min="13576" max="13576" width="11.42578125" customWidth="1"/>
    <col min="13577" max="13577" width="35" customWidth="1"/>
    <col min="13578" max="13578" width="8.5703125" customWidth="1"/>
    <col min="13579" max="13579" width="10.7109375" customWidth="1"/>
    <col min="13580" max="13580" width="12.7109375" bestFit="1" customWidth="1"/>
    <col min="13581" max="13581" width="10.7109375" bestFit="1" customWidth="1"/>
    <col min="13825" max="13825" width="64.5703125" customWidth="1"/>
    <col min="13826" max="13826" width="13" customWidth="1"/>
    <col min="13827" max="13827" width="5.7109375" customWidth="1"/>
    <col min="13828" max="13828" width="7.5703125" customWidth="1"/>
    <col min="13829" max="13829" width="8.7109375" customWidth="1"/>
    <col min="13830" max="13830" width="10.7109375" customWidth="1"/>
    <col min="13831" max="13831" width="9.28515625" customWidth="1"/>
    <col min="13832" max="13832" width="11.42578125" customWidth="1"/>
    <col min="13833" max="13833" width="35" customWidth="1"/>
    <col min="13834" max="13834" width="8.5703125" customWidth="1"/>
    <col min="13835" max="13835" width="10.7109375" customWidth="1"/>
    <col min="13836" max="13836" width="12.7109375" bestFit="1" customWidth="1"/>
    <col min="13837" max="13837" width="10.7109375" bestFit="1" customWidth="1"/>
    <col min="14081" max="14081" width="64.5703125" customWidth="1"/>
    <col min="14082" max="14082" width="13" customWidth="1"/>
    <col min="14083" max="14083" width="5.7109375" customWidth="1"/>
    <col min="14084" max="14084" width="7.5703125" customWidth="1"/>
    <col min="14085" max="14085" width="8.7109375" customWidth="1"/>
    <col min="14086" max="14086" width="10.7109375" customWidth="1"/>
    <col min="14087" max="14087" width="9.28515625" customWidth="1"/>
    <col min="14088" max="14088" width="11.42578125" customWidth="1"/>
    <col min="14089" max="14089" width="35" customWidth="1"/>
    <col min="14090" max="14090" width="8.5703125" customWidth="1"/>
    <col min="14091" max="14091" width="10.7109375" customWidth="1"/>
    <col min="14092" max="14092" width="12.7109375" bestFit="1" customWidth="1"/>
    <col min="14093" max="14093" width="10.7109375" bestFit="1" customWidth="1"/>
    <col min="14337" max="14337" width="64.5703125" customWidth="1"/>
    <col min="14338" max="14338" width="13" customWidth="1"/>
    <col min="14339" max="14339" width="5.7109375" customWidth="1"/>
    <col min="14340" max="14340" width="7.5703125" customWidth="1"/>
    <col min="14341" max="14341" width="8.7109375" customWidth="1"/>
    <col min="14342" max="14342" width="10.7109375" customWidth="1"/>
    <col min="14343" max="14343" width="9.28515625" customWidth="1"/>
    <col min="14344" max="14344" width="11.42578125" customWidth="1"/>
    <col min="14345" max="14345" width="35" customWidth="1"/>
    <col min="14346" max="14346" width="8.5703125" customWidth="1"/>
    <col min="14347" max="14347" width="10.7109375" customWidth="1"/>
    <col min="14348" max="14348" width="12.7109375" bestFit="1" customWidth="1"/>
    <col min="14349" max="14349" width="10.7109375" bestFit="1" customWidth="1"/>
    <col min="14593" max="14593" width="64.5703125" customWidth="1"/>
    <col min="14594" max="14594" width="13" customWidth="1"/>
    <col min="14595" max="14595" width="5.7109375" customWidth="1"/>
    <col min="14596" max="14596" width="7.5703125" customWidth="1"/>
    <col min="14597" max="14597" width="8.7109375" customWidth="1"/>
    <col min="14598" max="14598" width="10.7109375" customWidth="1"/>
    <col min="14599" max="14599" width="9.28515625" customWidth="1"/>
    <col min="14600" max="14600" width="11.42578125" customWidth="1"/>
    <col min="14601" max="14601" width="35" customWidth="1"/>
    <col min="14602" max="14602" width="8.5703125" customWidth="1"/>
    <col min="14603" max="14603" width="10.7109375" customWidth="1"/>
    <col min="14604" max="14604" width="12.7109375" bestFit="1" customWidth="1"/>
    <col min="14605" max="14605" width="10.7109375" bestFit="1" customWidth="1"/>
    <col min="14849" max="14849" width="64.5703125" customWidth="1"/>
    <col min="14850" max="14850" width="13" customWidth="1"/>
    <col min="14851" max="14851" width="5.7109375" customWidth="1"/>
    <col min="14852" max="14852" width="7.5703125" customWidth="1"/>
    <col min="14853" max="14853" width="8.7109375" customWidth="1"/>
    <col min="14854" max="14854" width="10.7109375" customWidth="1"/>
    <col min="14855" max="14855" width="9.28515625" customWidth="1"/>
    <col min="14856" max="14856" width="11.42578125" customWidth="1"/>
    <col min="14857" max="14857" width="35" customWidth="1"/>
    <col min="14858" max="14858" width="8.5703125" customWidth="1"/>
    <col min="14859" max="14859" width="10.7109375" customWidth="1"/>
    <col min="14860" max="14860" width="12.7109375" bestFit="1" customWidth="1"/>
    <col min="14861" max="14861" width="10.7109375" bestFit="1" customWidth="1"/>
    <col min="15105" max="15105" width="64.5703125" customWidth="1"/>
    <col min="15106" max="15106" width="13" customWidth="1"/>
    <col min="15107" max="15107" width="5.7109375" customWidth="1"/>
    <col min="15108" max="15108" width="7.5703125" customWidth="1"/>
    <col min="15109" max="15109" width="8.7109375" customWidth="1"/>
    <col min="15110" max="15110" width="10.7109375" customWidth="1"/>
    <col min="15111" max="15111" width="9.28515625" customWidth="1"/>
    <col min="15112" max="15112" width="11.42578125" customWidth="1"/>
    <col min="15113" max="15113" width="35" customWidth="1"/>
    <col min="15114" max="15114" width="8.5703125" customWidth="1"/>
    <col min="15115" max="15115" width="10.7109375" customWidth="1"/>
    <col min="15116" max="15116" width="12.7109375" bestFit="1" customWidth="1"/>
    <col min="15117" max="15117" width="10.7109375" bestFit="1" customWidth="1"/>
    <col min="15361" max="15361" width="64.5703125" customWidth="1"/>
    <col min="15362" max="15362" width="13" customWidth="1"/>
    <col min="15363" max="15363" width="5.7109375" customWidth="1"/>
    <col min="15364" max="15364" width="7.5703125" customWidth="1"/>
    <col min="15365" max="15365" width="8.7109375" customWidth="1"/>
    <col min="15366" max="15366" width="10.7109375" customWidth="1"/>
    <col min="15367" max="15367" width="9.28515625" customWidth="1"/>
    <col min="15368" max="15368" width="11.42578125" customWidth="1"/>
    <col min="15369" max="15369" width="35" customWidth="1"/>
    <col min="15370" max="15370" width="8.5703125" customWidth="1"/>
    <col min="15371" max="15371" width="10.7109375" customWidth="1"/>
    <col min="15372" max="15372" width="12.7109375" bestFit="1" customWidth="1"/>
    <col min="15373" max="15373" width="10.7109375" bestFit="1" customWidth="1"/>
    <col min="15617" max="15617" width="64.5703125" customWidth="1"/>
    <col min="15618" max="15618" width="13" customWidth="1"/>
    <col min="15619" max="15619" width="5.7109375" customWidth="1"/>
    <col min="15620" max="15620" width="7.5703125" customWidth="1"/>
    <col min="15621" max="15621" width="8.7109375" customWidth="1"/>
    <col min="15622" max="15622" width="10.7109375" customWidth="1"/>
    <col min="15623" max="15623" width="9.28515625" customWidth="1"/>
    <col min="15624" max="15624" width="11.42578125" customWidth="1"/>
    <col min="15625" max="15625" width="35" customWidth="1"/>
    <col min="15626" max="15626" width="8.5703125" customWidth="1"/>
    <col min="15627" max="15627" width="10.7109375" customWidth="1"/>
    <col min="15628" max="15628" width="12.7109375" bestFit="1" customWidth="1"/>
    <col min="15629" max="15629" width="10.7109375" bestFit="1" customWidth="1"/>
    <col min="15873" max="15873" width="64.5703125" customWidth="1"/>
    <col min="15874" max="15874" width="13" customWidth="1"/>
    <col min="15875" max="15875" width="5.7109375" customWidth="1"/>
    <col min="15876" max="15876" width="7.5703125" customWidth="1"/>
    <col min="15877" max="15877" width="8.7109375" customWidth="1"/>
    <col min="15878" max="15878" width="10.7109375" customWidth="1"/>
    <col min="15879" max="15879" width="9.28515625" customWidth="1"/>
    <col min="15880" max="15880" width="11.42578125" customWidth="1"/>
    <col min="15881" max="15881" width="35" customWidth="1"/>
    <col min="15882" max="15882" width="8.5703125" customWidth="1"/>
    <col min="15883" max="15883" width="10.7109375" customWidth="1"/>
    <col min="15884" max="15884" width="12.7109375" bestFit="1" customWidth="1"/>
    <col min="15885" max="15885" width="10.7109375" bestFit="1" customWidth="1"/>
    <col min="16129" max="16129" width="64.5703125" customWidth="1"/>
    <col min="16130" max="16130" width="13" customWidth="1"/>
    <col min="16131" max="16131" width="5.7109375" customWidth="1"/>
    <col min="16132" max="16132" width="7.5703125" customWidth="1"/>
    <col min="16133" max="16133" width="8.7109375" customWidth="1"/>
    <col min="16134" max="16134" width="10.7109375" customWidth="1"/>
    <col min="16135" max="16135" width="9.28515625" customWidth="1"/>
    <col min="16136" max="16136" width="11.42578125" customWidth="1"/>
    <col min="16137" max="16137" width="35" customWidth="1"/>
    <col min="16138" max="16138" width="8.5703125" customWidth="1"/>
    <col min="16139" max="16139" width="10.7109375" customWidth="1"/>
    <col min="16140" max="16140" width="12.7109375" bestFit="1" customWidth="1"/>
    <col min="16141" max="16141" width="10.7109375" bestFit="1" customWidth="1"/>
  </cols>
  <sheetData>
    <row r="1" spans="1:36" s="4" customFormat="1" ht="50.25" customHeight="1" x14ac:dyDescent="0.2">
      <c r="A1" s="1" t="s">
        <v>0</v>
      </c>
      <c r="B1" s="1"/>
      <c r="C1" s="1"/>
      <c r="D1" s="1"/>
      <c r="E1" s="1"/>
      <c r="F1" s="1"/>
      <c r="G1" s="1"/>
      <c r="H1" s="1"/>
      <c r="I1" s="2"/>
      <c r="J1" s="3"/>
      <c r="K1" s="3"/>
      <c r="L1" s="3"/>
      <c r="M1" s="3"/>
      <c r="N1" s="3"/>
      <c r="O1" s="3"/>
      <c r="P1" s="3"/>
      <c r="Q1" s="3"/>
      <c r="R1" s="3"/>
      <c r="S1" s="3"/>
      <c r="T1" s="3"/>
      <c r="U1" s="3"/>
      <c r="V1" s="3"/>
      <c r="W1" s="3"/>
      <c r="X1" s="3"/>
      <c r="Y1" s="3"/>
      <c r="Z1" s="3"/>
      <c r="AA1" s="3"/>
      <c r="AB1" s="3"/>
      <c r="AC1" s="3"/>
      <c r="AD1" s="3"/>
      <c r="AE1" s="3"/>
      <c r="AF1" s="3"/>
      <c r="AG1" s="3"/>
      <c r="AH1" s="3"/>
      <c r="AI1" s="3"/>
      <c r="AJ1" s="3"/>
    </row>
    <row r="2" spans="1:36" s="4" customFormat="1" x14ac:dyDescent="0.2">
      <c r="A2" s="7"/>
      <c r="B2" s="7"/>
      <c r="C2" s="7"/>
      <c r="D2" s="7"/>
      <c r="E2" s="7"/>
      <c r="F2" s="5"/>
      <c r="G2" s="6"/>
      <c r="H2" s="6"/>
      <c r="I2" s="2"/>
      <c r="J2" s="3"/>
      <c r="K2" s="3"/>
      <c r="L2" s="3"/>
      <c r="M2" s="3"/>
      <c r="N2" s="3"/>
      <c r="O2" s="3"/>
      <c r="P2" s="3"/>
      <c r="Q2" s="3"/>
      <c r="R2" s="3"/>
      <c r="S2" s="3"/>
      <c r="T2" s="3"/>
      <c r="U2" s="3"/>
      <c r="V2" s="3"/>
      <c r="W2" s="3"/>
      <c r="X2" s="3"/>
      <c r="Y2" s="3"/>
      <c r="Z2" s="3"/>
      <c r="AA2" s="3"/>
      <c r="AB2" s="3"/>
      <c r="AC2" s="3"/>
      <c r="AD2" s="3"/>
      <c r="AE2" s="3"/>
      <c r="AF2" s="3"/>
      <c r="AG2" s="3"/>
      <c r="AH2" s="3"/>
      <c r="AI2" s="3"/>
      <c r="AJ2" s="3"/>
    </row>
    <row r="3" spans="1:36" s="4" customFormat="1" ht="15.75" x14ac:dyDescent="0.25">
      <c r="A3" s="8" t="s">
        <v>1</v>
      </c>
      <c r="B3" s="8"/>
      <c r="C3" s="8"/>
      <c r="D3" s="8"/>
      <c r="E3" s="8"/>
      <c r="F3" s="8"/>
      <c r="G3" s="8"/>
      <c r="H3" s="8"/>
      <c r="I3" s="2"/>
      <c r="J3" s="3"/>
      <c r="K3" s="3"/>
      <c r="L3" s="3"/>
      <c r="M3" s="3"/>
      <c r="N3" s="3"/>
      <c r="O3" s="3"/>
      <c r="P3" s="3"/>
      <c r="Q3" s="3"/>
      <c r="R3" s="3"/>
      <c r="S3" s="3"/>
      <c r="T3" s="3"/>
      <c r="U3" s="3"/>
      <c r="V3" s="3"/>
      <c r="W3" s="3"/>
      <c r="X3" s="3"/>
      <c r="Y3" s="3"/>
      <c r="Z3" s="3"/>
      <c r="AA3" s="3"/>
      <c r="AB3" s="3"/>
      <c r="AC3" s="3"/>
      <c r="AD3" s="3"/>
      <c r="AE3" s="3"/>
      <c r="AF3" s="3"/>
      <c r="AG3" s="3"/>
      <c r="AH3" s="3"/>
      <c r="AI3" s="3"/>
      <c r="AJ3" s="3"/>
    </row>
    <row r="4" spans="1:36" s="4" customFormat="1" ht="32.25" customHeight="1" x14ac:dyDescent="0.25">
      <c r="A4" s="9" t="s">
        <v>2</v>
      </c>
      <c r="B4" s="9"/>
      <c r="C4" s="9"/>
      <c r="D4" s="9"/>
      <c r="E4" s="9"/>
      <c r="F4" s="9"/>
      <c r="G4" s="9"/>
      <c r="H4" s="9"/>
      <c r="I4" s="2"/>
      <c r="J4" s="3"/>
      <c r="K4" s="3"/>
      <c r="L4" s="3"/>
      <c r="M4" s="3"/>
      <c r="N4" s="3"/>
      <c r="O4" s="3"/>
      <c r="P4" s="3"/>
      <c r="Q4" s="3"/>
      <c r="R4" s="3"/>
      <c r="S4" s="3"/>
      <c r="T4" s="3"/>
      <c r="U4" s="3"/>
      <c r="V4" s="3"/>
      <c r="W4" s="3"/>
      <c r="X4" s="3"/>
      <c r="Y4" s="3"/>
      <c r="Z4" s="3"/>
      <c r="AA4" s="3"/>
      <c r="AB4" s="3"/>
      <c r="AC4" s="3"/>
      <c r="AD4" s="3"/>
      <c r="AE4" s="3"/>
      <c r="AF4" s="3"/>
      <c r="AG4" s="3"/>
      <c r="AH4" s="3"/>
      <c r="AI4" s="3"/>
      <c r="AJ4" s="3"/>
    </row>
    <row r="5" spans="1:36" s="4" customFormat="1" x14ac:dyDescent="0.2">
      <c r="A5" s="10"/>
      <c r="B5" s="11"/>
      <c r="C5" s="11"/>
      <c r="D5" s="11"/>
      <c r="E5" s="11"/>
      <c r="F5" s="12"/>
      <c r="G5" s="13"/>
      <c r="H5" s="14" t="s">
        <v>3</v>
      </c>
      <c r="I5" s="2"/>
      <c r="J5" s="3"/>
      <c r="K5" s="3"/>
      <c r="L5" s="3"/>
      <c r="M5" s="3"/>
      <c r="N5" s="3"/>
      <c r="O5" s="3"/>
      <c r="P5" s="3"/>
      <c r="Q5" s="3"/>
      <c r="R5" s="3"/>
      <c r="S5" s="3"/>
      <c r="T5" s="3"/>
      <c r="U5" s="3"/>
      <c r="V5" s="3"/>
      <c r="W5" s="3"/>
      <c r="X5" s="3"/>
      <c r="Y5" s="3"/>
      <c r="Z5" s="3"/>
      <c r="AA5" s="3"/>
      <c r="AB5" s="3"/>
      <c r="AC5" s="3"/>
      <c r="AD5" s="3"/>
      <c r="AE5" s="3"/>
      <c r="AF5" s="3"/>
      <c r="AG5" s="3"/>
      <c r="AH5" s="3"/>
      <c r="AI5" s="3"/>
      <c r="AJ5" s="3"/>
    </row>
    <row r="6" spans="1:36" x14ac:dyDescent="0.2">
      <c r="A6" s="15" t="s">
        <v>4</v>
      </c>
      <c r="B6" s="16" t="s">
        <v>5</v>
      </c>
      <c r="C6" s="15" t="s">
        <v>6</v>
      </c>
      <c r="D6" s="16" t="s">
        <v>7</v>
      </c>
      <c r="E6" s="16" t="s">
        <v>8</v>
      </c>
      <c r="F6" s="17" t="s">
        <v>9</v>
      </c>
      <c r="G6" s="17" t="s">
        <v>10</v>
      </c>
      <c r="H6" s="18" t="s">
        <v>11</v>
      </c>
    </row>
    <row r="7" spans="1:36" ht="27" customHeight="1" x14ac:dyDescent="0.2">
      <c r="A7" s="22"/>
      <c r="B7" s="23"/>
      <c r="C7" s="22"/>
      <c r="D7" s="23"/>
      <c r="E7" s="23"/>
      <c r="F7" s="17"/>
      <c r="G7" s="17"/>
      <c r="H7" s="18"/>
      <c r="L7" s="24"/>
    </row>
    <row r="8" spans="1:36" s="32" customFormat="1" x14ac:dyDescent="0.2">
      <c r="A8" s="25">
        <v>1</v>
      </c>
      <c r="B8" s="26">
        <v>2</v>
      </c>
      <c r="C8" s="25">
        <v>3</v>
      </c>
      <c r="D8" s="26">
        <v>4</v>
      </c>
      <c r="E8" s="26">
        <v>5</v>
      </c>
      <c r="F8" s="27" t="s">
        <v>12</v>
      </c>
      <c r="G8" s="27" t="s">
        <v>13</v>
      </c>
      <c r="H8" s="28" t="s">
        <v>14</v>
      </c>
      <c r="I8" s="29"/>
      <c r="J8" s="30"/>
      <c r="K8" s="30"/>
      <c r="L8" s="31"/>
      <c r="M8" s="31"/>
      <c r="N8" s="31"/>
      <c r="O8" s="31"/>
      <c r="P8" s="31"/>
      <c r="Q8" s="31"/>
      <c r="R8" s="31"/>
      <c r="S8" s="31"/>
      <c r="T8" s="31"/>
      <c r="U8" s="31"/>
      <c r="V8" s="31"/>
      <c r="W8" s="31"/>
      <c r="X8" s="31"/>
      <c r="Y8" s="31"/>
      <c r="Z8" s="31"/>
      <c r="AA8" s="31"/>
      <c r="AB8" s="31"/>
      <c r="AC8" s="31"/>
      <c r="AD8" s="31"/>
      <c r="AE8" s="31"/>
      <c r="AF8" s="31"/>
      <c r="AG8" s="31"/>
      <c r="AH8" s="31"/>
      <c r="AI8" s="31"/>
      <c r="AJ8" s="31"/>
    </row>
    <row r="9" spans="1:36" ht="27" customHeight="1" x14ac:dyDescent="0.2">
      <c r="A9" s="169" t="s">
        <v>15</v>
      </c>
      <c r="B9" s="170" t="s">
        <v>16</v>
      </c>
      <c r="C9" s="171"/>
      <c r="D9" s="171"/>
      <c r="E9" s="171"/>
      <c r="F9" s="159">
        <f>F10+F21</f>
        <v>13550.5</v>
      </c>
      <c r="G9" s="159">
        <f>G10+G21</f>
        <v>7156.7999999999993</v>
      </c>
      <c r="H9" s="160">
        <f>H10+H21</f>
        <v>7156.7999999999993</v>
      </c>
    </row>
    <row r="10" spans="1:36" x14ac:dyDescent="0.2">
      <c r="A10" s="33" t="s">
        <v>17</v>
      </c>
      <c r="B10" s="34" t="s">
        <v>18</v>
      </c>
      <c r="C10" s="35"/>
      <c r="D10" s="35"/>
      <c r="E10" s="35"/>
      <c r="F10" s="36">
        <f>F11+F14</f>
        <v>390</v>
      </c>
      <c r="G10" s="36">
        <f>G11+G14</f>
        <v>0</v>
      </c>
      <c r="H10" s="37">
        <f>H11+H14</f>
        <v>0</v>
      </c>
      <c r="AH10" s="21">
        <v>1400000</v>
      </c>
    </row>
    <row r="11" spans="1:36" ht="25.5" x14ac:dyDescent="0.2">
      <c r="A11" s="33" t="s">
        <v>19</v>
      </c>
      <c r="B11" s="34" t="s">
        <v>20</v>
      </c>
      <c r="C11" s="35"/>
      <c r="D11" s="35"/>
      <c r="E11" s="35"/>
      <c r="F11" s="36">
        <f t="shared" ref="F11:H12" si="0">F12</f>
        <v>300</v>
      </c>
      <c r="G11" s="36">
        <f t="shared" si="0"/>
        <v>0</v>
      </c>
      <c r="H11" s="37">
        <f t="shared" si="0"/>
        <v>0</v>
      </c>
    </row>
    <row r="12" spans="1:36" ht="25.5" x14ac:dyDescent="0.2">
      <c r="A12" s="38" t="s">
        <v>21</v>
      </c>
      <c r="B12" s="34" t="s">
        <v>22</v>
      </c>
      <c r="C12" s="35" t="s">
        <v>23</v>
      </c>
      <c r="D12" s="35" t="s">
        <v>24</v>
      </c>
      <c r="E12" s="35"/>
      <c r="F12" s="36">
        <f t="shared" si="0"/>
        <v>300</v>
      </c>
      <c r="G12" s="36">
        <f t="shared" si="0"/>
        <v>0</v>
      </c>
      <c r="H12" s="37">
        <f t="shared" si="0"/>
        <v>0</v>
      </c>
    </row>
    <row r="13" spans="1:36" ht="38.25" x14ac:dyDescent="0.2">
      <c r="A13" s="39" t="s">
        <v>25</v>
      </c>
      <c r="B13" s="34" t="s">
        <v>22</v>
      </c>
      <c r="C13" s="35" t="s">
        <v>23</v>
      </c>
      <c r="D13" s="35" t="s">
        <v>24</v>
      </c>
      <c r="E13" s="35" t="s">
        <v>26</v>
      </c>
      <c r="F13" s="36">
        <v>300</v>
      </c>
      <c r="G13" s="36">
        <v>0</v>
      </c>
      <c r="H13" s="37">
        <v>0</v>
      </c>
    </row>
    <row r="14" spans="1:36" x14ac:dyDescent="0.2">
      <c r="A14" s="33" t="s">
        <v>27</v>
      </c>
      <c r="B14" s="34" t="s">
        <v>28</v>
      </c>
      <c r="C14" s="35"/>
      <c r="D14" s="35"/>
      <c r="E14" s="35"/>
      <c r="F14" s="36">
        <f>F15+F18</f>
        <v>90</v>
      </c>
      <c r="G14" s="36">
        <f>G15+G18</f>
        <v>0</v>
      </c>
      <c r="H14" s="37">
        <f>H15+H18</f>
        <v>0</v>
      </c>
    </row>
    <row r="15" spans="1:36" ht="25.5" x14ac:dyDescent="0.2">
      <c r="A15" s="39" t="s">
        <v>29</v>
      </c>
      <c r="B15" s="40" t="s">
        <v>30</v>
      </c>
      <c r="C15" s="41"/>
      <c r="D15" s="41"/>
      <c r="E15" s="41"/>
      <c r="F15" s="36">
        <f>F16+F17</f>
        <v>90</v>
      </c>
      <c r="G15" s="36">
        <f>G16+G17</f>
        <v>0</v>
      </c>
      <c r="H15" s="37">
        <f>H16+H17</f>
        <v>0</v>
      </c>
    </row>
    <row r="16" spans="1:36" s="20" customFormat="1" ht="25.5" x14ac:dyDescent="0.2">
      <c r="A16" s="42" t="s">
        <v>31</v>
      </c>
      <c r="B16" s="40" t="s">
        <v>30</v>
      </c>
      <c r="C16" s="41" t="s">
        <v>23</v>
      </c>
      <c r="D16" s="41" t="s">
        <v>24</v>
      </c>
      <c r="E16" s="41" t="s">
        <v>32</v>
      </c>
      <c r="F16" s="36">
        <v>10</v>
      </c>
      <c r="G16" s="36">
        <v>0</v>
      </c>
      <c r="H16" s="37">
        <v>0</v>
      </c>
      <c r="I16" s="19"/>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row>
    <row r="17" spans="1:36" s="20" customFormat="1" x14ac:dyDescent="0.2">
      <c r="A17" s="43" t="s">
        <v>33</v>
      </c>
      <c r="B17" s="40" t="s">
        <v>30</v>
      </c>
      <c r="C17" s="41" t="s">
        <v>23</v>
      </c>
      <c r="D17" s="41" t="s">
        <v>24</v>
      </c>
      <c r="E17" s="41" t="s">
        <v>34</v>
      </c>
      <c r="F17" s="36">
        <v>80</v>
      </c>
      <c r="G17" s="36">
        <v>0</v>
      </c>
      <c r="H17" s="37">
        <v>0</v>
      </c>
      <c r="I17" s="19"/>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row>
    <row r="18" spans="1:36" s="20" customFormat="1" ht="25.5" hidden="1" x14ac:dyDescent="0.2">
      <c r="A18" s="39" t="s">
        <v>35</v>
      </c>
      <c r="B18" s="40" t="s">
        <v>36</v>
      </c>
      <c r="C18" s="41"/>
      <c r="D18" s="41"/>
      <c r="E18" s="41"/>
      <c r="F18" s="36">
        <f t="shared" ref="F18:H19" si="1">F19</f>
        <v>0</v>
      </c>
      <c r="G18" s="36">
        <f t="shared" si="1"/>
        <v>0</v>
      </c>
      <c r="H18" s="37">
        <f t="shared" si="1"/>
        <v>0</v>
      </c>
      <c r="I18" s="19"/>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row>
    <row r="19" spans="1:36" s="20" customFormat="1" hidden="1" x14ac:dyDescent="0.2">
      <c r="A19" s="44" t="s">
        <v>37</v>
      </c>
      <c r="B19" s="40" t="s">
        <v>36</v>
      </c>
      <c r="C19" s="41" t="s">
        <v>23</v>
      </c>
      <c r="D19" s="41" t="s">
        <v>24</v>
      </c>
      <c r="E19" s="41"/>
      <c r="F19" s="36">
        <f t="shared" si="1"/>
        <v>0</v>
      </c>
      <c r="G19" s="36">
        <f t="shared" si="1"/>
        <v>0</v>
      </c>
      <c r="H19" s="37">
        <f t="shared" si="1"/>
        <v>0</v>
      </c>
      <c r="I19" s="19"/>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row>
    <row r="20" spans="1:36" s="20" customFormat="1" hidden="1" x14ac:dyDescent="0.2">
      <c r="A20" s="43" t="s">
        <v>33</v>
      </c>
      <c r="B20" s="40" t="s">
        <v>36</v>
      </c>
      <c r="C20" s="41" t="s">
        <v>23</v>
      </c>
      <c r="D20" s="41" t="s">
        <v>24</v>
      </c>
      <c r="E20" s="41" t="s">
        <v>34</v>
      </c>
      <c r="F20" s="36"/>
      <c r="G20" s="36"/>
      <c r="H20" s="37"/>
      <c r="I20" s="19"/>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row>
    <row r="21" spans="1:36" s="20" customFormat="1" x14ac:dyDescent="0.2">
      <c r="A21" s="33" t="s">
        <v>38</v>
      </c>
      <c r="B21" s="34" t="s">
        <v>39</v>
      </c>
      <c r="C21" s="35"/>
      <c r="D21" s="35"/>
      <c r="E21" s="35"/>
      <c r="F21" s="36">
        <f>F22+F39</f>
        <v>13160.5</v>
      </c>
      <c r="G21" s="36">
        <f>G22+G39</f>
        <v>7156.7999999999993</v>
      </c>
      <c r="H21" s="37">
        <f>H22+H39</f>
        <v>7156.7999999999993</v>
      </c>
      <c r="I21" s="19"/>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row>
    <row r="22" spans="1:36" s="20" customFormat="1" ht="25.5" x14ac:dyDescent="0.2">
      <c r="A22" s="33" t="s">
        <v>40</v>
      </c>
      <c r="B22" s="34" t="s">
        <v>41</v>
      </c>
      <c r="C22" s="35"/>
      <c r="D22" s="35"/>
      <c r="E22" s="35"/>
      <c r="F22" s="36">
        <f>F23+F29+F34+F37</f>
        <v>12124.4</v>
      </c>
      <c r="G22" s="36">
        <f>G23+G29+G34+G37</f>
        <v>6120.6999999999989</v>
      </c>
      <c r="H22" s="37">
        <f>H23+H29+H34+H37</f>
        <v>6120.6999999999989</v>
      </c>
      <c r="I22" s="19"/>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row>
    <row r="23" spans="1:36" s="20" customFormat="1" x14ac:dyDescent="0.2">
      <c r="A23" s="45" t="s">
        <v>42</v>
      </c>
      <c r="B23" s="34" t="s">
        <v>43</v>
      </c>
      <c r="C23" s="35"/>
      <c r="D23" s="35"/>
      <c r="E23" s="35"/>
      <c r="F23" s="36">
        <f>F24+F25+F26+F27+F28</f>
        <v>3207.1</v>
      </c>
      <c r="G23" s="36">
        <f>G24+G25+G26+G27+G28</f>
        <v>3207.1</v>
      </c>
      <c r="H23" s="37">
        <f>H24+H25+H26+H27+H28</f>
        <v>3207.1</v>
      </c>
      <c r="I23" s="19"/>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row>
    <row r="24" spans="1:36" s="20" customFormat="1" x14ac:dyDescent="0.2">
      <c r="A24" s="46" t="s">
        <v>44</v>
      </c>
      <c r="B24" s="34" t="s">
        <v>43</v>
      </c>
      <c r="C24" s="35" t="s">
        <v>45</v>
      </c>
      <c r="D24" s="35" t="s">
        <v>46</v>
      </c>
      <c r="E24" s="35" t="s">
        <v>47</v>
      </c>
      <c r="F24" s="36">
        <v>540</v>
      </c>
      <c r="G24" s="36">
        <v>540</v>
      </c>
      <c r="H24" s="37">
        <v>540</v>
      </c>
      <c r="I24" s="19"/>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row>
    <row r="25" spans="1:36" s="20" customFormat="1" ht="25.5" x14ac:dyDescent="0.2">
      <c r="A25" s="47" t="s">
        <v>31</v>
      </c>
      <c r="B25" s="34" t="s">
        <v>43</v>
      </c>
      <c r="C25" s="35" t="s">
        <v>45</v>
      </c>
      <c r="D25" s="35" t="s">
        <v>46</v>
      </c>
      <c r="E25" s="35" t="s">
        <v>32</v>
      </c>
      <c r="F25" s="36">
        <v>18</v>
      </c>
      <c r="G25" s="36">
        <v>18</v>
      </c>
      <c r="H25" s="37">
        <v>18</v>
      </c>
      <c r="I25" s="19"/>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row>
    <row r="26" spans="1:36" s="20" customFormat="1" ht="25.5" x14ac:dyDescent="0.2">
      <c r="A26" s="48" t="s">
        <v>48</v>
      </c>
      <c r="B26" s="34" t="s">
        <v>43</v>
      </c>
      <c r="C26" s="35" t="s">
        <v>45</v>
      </c>
      <c r="D26" s="35" t="s">
        <v>46</v>
      </c>
      <c r="E26" s="35" t="s">
        <v>49</v>
      </c>
      <c r="F26" s="36">
        <v>1800</v>
      </c>
      <c r="G26" s="36">
        <v>1800</v>
      </c>
      <c r="H26" s="37">
        <v>1800</v>
      </c>
      <c r="I26" s="19"/>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row>
    <row r="27" spans="1:36" s="20" customFormat="1" ht="16.5" customHeight="1" x14ac:dyDescent="0.2">
      <c r="A27" s="48" t="s">
        <v>33</v>
      </c>
      <c r="B27" s="34" t="s">
        <v>43</v>
      </c>
      <c r="C27" s="35" t="s">
        <v>45</v>
      </c>
      <c r="D27" s="35" t="s">
        <v>46</v>
      </c>
      <c r="E27" s="35" t="s">
        <v>34</v>
      </c>
      <c r="F27" s="36">
        <v>499.1</v>
      </c>
      <c r="G27" s="36">
        <v>499.1</v>
      </c>
      <c r="H27" s="37">
        <v>499.1</v>
      </c>
      <c r="I27" s="19"/>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row>
    <row r="28" spans="1:36" s="20" customFormat="1" ht="15" customHeight="1" x14ac:dyDescent="0.2">
      <c r="A28" s="49" t="s">
        <v>50</v>
      </c>
      <c r="B28" s="34" t="s">
        <v>43</v>
      </c>
      <c r="C28" s="35" t="s">
        <v>45</v>
      </c>
      <c r="D28" s="35" t="s">
        <v>46</v>
      </c>
      <c r="E28" s="35" t="s">
        <v>51</v>
      </c>
      <c r="F28" s="36">
        <v>350</v>
      </c>
      <c r="G28" s="36">
        <v>350</v>
      </c>
      <c r="H28" s="37">
        <v>350</v>
      </c>
      <c r="I28" s="19"/>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row>
    <row r="29" spans="1:36" s="20" customFormat="1" ht="25.5" x14ac:dyDescent="0.2">
      <c r="A29" s="45" t="s">
        <v>52</v>
      </c>
      <c r="B29" s="34" t="s">
        <v>53</v>
      </c>
      <c r="C29" s="35"/>
      <c r="D29" s="35"/>
      <c r="E29" s="35"/>
      <c r="F29" s="36">
        <f>F30+F31+F32+F33</f>
        <v>6003.7</v>
      </c>
      <c r="G29" s="36">
        <f>G30+G31+G32+G33</f>
        <v>0</v>
      </c>
      <c r="H29" s="37">
        <f>H30+H31+H32+H33</f>
        <v>0</v>
      </c>
      <c r="I29" s="19"/>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row>
    <row r="30" spans="1:36" s="20" customFormat="1" x14ac:dyDescent="0.2">
      <c r="A30" s="50" t="s">
        <v>54</v>
      </c>
      <c r="B30" s="34" t="s">
        <v>53</v>
      </c>
      <c r="C30" s="35" t="s">
        <v>45</v>
      </c>
      <c r="D30" s="35" t="s">
        <v>46</v>
      </c>
      <c r="E30" s="35" t="s">
        <v>55</v>
      </c>
      <c r="F30" s="36">
        <v>4860</v>
      </c>
      <c r="G30" s="36">
        <v>0</v>
      </c>
      <c r="H30" s="37">
        <v>0</v>
      </c>
      <c r="I30" s="19"/>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row>
    <row r="31" spans="1:36" s="20" customFormat="1" ht="25.5" x14ac:dyDescent="0.2">
      <c r="A31" s="47" t="s">
        <v>31</v>
      </c>
      <c r="B31" s="34" t="s">
        <v>53</v>
      </c>
      <c r="C31" s="35" t="s">
        <v>45</v>
      </c>
      <c r="D31" s="35" t="s">
        <v>56</v>
      </c>
      <c r="E31" s="35" t="s">
        <v>32</v>
      </c>
      <c r="F31" s="36">
        <v>150</v>
      </c>
      <c r="G31" s="36">
        <v>0</v>
      </c>
      <c r="H31" s="37">
        <v>0</v>
      </c>
      <c r="I31" s="19"/>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row>
    <row r="32" spans="1:36" ht="25.5" x14ac:dyDescent="0.2">
      <c r="A32" s="48" t="s">
        <v>48</v>
      </c>
      <c r="B32" s="34" t="s">
        <v>53</v>
      </c>
      <c r="C32" s="35" t="s">
        <v>45</v>
      </c>
      <c r="D32" s="35" t="s">
        <v>56</v>
      </c>
      <c r="E32" s="35" t="s">
        <v>49</v>
      </c>
      <c r="F32" s="36">
        <v>420</v>
      </c>
      <c r="G32" s="36">
        <v>0</v>
      </c>
      <c r="H32" s="37">
        <v>0</v>
      </c>
    </row>
    <row r="33" spans="1:36" x14ac:dyDescent="0.2">
      <c r="A33" s="48" t="s">
        <v>33</v>
      </c>
      <c r="B33" s="34" t="s">
        <v>53</v>
      </c>
      <c r="C33" s="35" t="s">
        <v>45</v>
      </c>
      <c r="D33" s="35" t="s">
        <v>56</v>
      </c>
      <c r="E33" s="35" t="s">
        <v>34</v>
      </c>
      <c r="F33" s="36">
        <v>573.70000000000005</v>
      </c>
      <c r="G33" s="36">
        <v>0</v>
      </c>
      <c r="H33" s="37">
        <v>0</v>
      </c>
    </row>
    <row r="34" spans="1:36" x14ac:dyDescent="0.2">
      <c r="A34" s="51" t="s">
        <v>57</v>
      </c>
      <c r="B34" s="34" t="s">
        <v>58</v>
      </c>
      <c r="C34" s="35" t="s">
        <v>45</v>
      </c>
      <c r="D34" s="35" t="s">
        <v>23</v>
      </c>
      <c r="E34" s="35"/>
      <c r="F34" s="36">
        <f>F35+F36</f>
        <v>2803.2</v>
      </c>
      <c r="G34" s="36">
        <f>G35+G36</f>
        <v>2803.2</v>
      </c>
      <c r="H34" s="37">
        <f>H35+H36</f>
        <v>2803.2</v>
      </c>
    </row>
    <row r="35" spans="1:36" ht="25.5" x14ac:dyDescent="0.2">
      <c r="A35" s="51" t="s">
        <v>31</v>
      </c>
      <c r="B35" s="34" t="s">
        <v>58</v>
      </c>
      <c r="C35" s="35" t="s">
        <v>45</v>
      </c>
      <c r="D35" s="35" t="s">
        <v>23</v>
      </c>
      <c r="E35" s="35" t="s">
        <v>32</v>
      </c>
      <c r="F35" s="36">
        <v>23</v>
      </c>
      <c r="G35" s="36">
        <v>23</v>
      </c>
      <c r="H35" s="37">
        <v>23</v>
      </c>
    </row>
    <row r="36" spans="1:36" ht="16.5" customHeight="1" x14ac:dyDescent="0.2">
      <c r="A36" s="52" t="s">
        <v>59</v>
      </c>
      <c r="B36" s="34" t="s">
        <v>58</v>
      </c>
      <c r="C36" s="35" t="s">
        <v>45</v>
      </c>
      <c r="D36" s="35" t="s">
        <v>23</v>
      </c>
      <c r="E36" s="35" t="s">
        <v>55</v>
      </c>
      <c r="F36" s="36">
        <v>2780.2</v>
      </c>
      <c r="G36" s="36">
        <v>2780.2</v>
      </c>
      <c r="H36" s="37">
        <v>2780.2</v>
      </c>
    </row>
    <row r="37" spans="1:36" ht="25.5" x14ac:dyDescent="0.2">
      <c r="A37" s="53" t="s">
        <v>60</v>
      </c>
      <c r="B37" s="54" t="s">
        <v>61</v>
      </c>
      <c r="C37" s="54" t="s">
        <v>23</v>
      </c>
      <c r="D37" s="35" t="s">
        <v>24</v>
      </c>
      <c r="E37" s="35"/>
      <c r="F37" s="36">
        <f>F38</f>
        <v>110.4</v>
      </c>
      <c r="G37" s="36">
        <f>G38</f>
        <v>110.4</v>
      </c>
      <c r="H37" s="37">
        <f>H38</f>
        <v>110.4</v>
      </c>
    </row>
    <row r="38" spans="1:36" ht="15.75" customHeight="1" x14ac:dyDescent="0.2">
      <c r="A38" s="55" t="s">
        <v>62</v>
      </c>
      <c r="B38" s="54" t="s">
        <v>61</v>
      </c>
      <c r="C38" s="54" t="s">
        <v>23</v>
      </c>
      <c r="D38" s="35" t="s">
        <v>24</v>
      </c>
      <c r="E38" s="35" t="s">
        <v>63</v>
      </c>
      <c r="F38" s="36">
        <v>110.4</v>
      </c>
      <c r="G38" s="36">
        <v>110.4</v>
      </c>
      <c r="H38" s="37">
        <v>110.4</v>
      </c>
    </row>
    <row r="39" spans="1:36" ht="38.25" x14ac:dyDescent="0.2">
      <c r="A39" s="56" t="s">
        <v>64</v>
      </c>
      <c r="B39" s="34" t="s">
        <v>65</v>
      </c>
      <c r="C39" s="35" t="s">
        <v>23</v>
      </c>
      <c r="D39" s="35" t="s">
        <v>66</v>
      </c>
      <c r="E39" s="35"/>
      <c r="F39" s="36">
        <f>F40</f>
        <v>1036.0999999999999</v>
      </c>
      <c r="G39" s="36">
        <f>G40</f>
        <v>1036.0999999999999</v>
      </c>
      <c r="H39" s="37">
        <f>H40</f>
        <v>1036.0999999999999</v>
      </c>
    </row>
    <row r="40" spans="1:36" ht="89.25" x14ac:dyDescent="0.2">
      <c r="A40" s="57" t="s">
        <v>67</v>
      </c>
      <c r="B40" s="34" t="s">
        <v>68</v>
      </c>
      <c r="C40" s="35" t="s">
        <v>23</v>
      </c>
      <c r="D40" s="35" t="s">
        <v>66</v>
      </c>
      <c r="E40" s="35"/>
      <c r="F40" s="36">
        <f>F41+F42</f>
        <v>1036.0999999999999</v>
      </c>
      <c r="G40" s="36">
        <f>G41+G42</f>
        <v>1036.0999999999999</v>
      </c>
      <c r="H40" s="37">
        <f>H41+H42</f>
        <v>1036.0999999999999</v>
      </c>
    </row>
    <row r="41" spans="1:36" x14ac:dyDescent="0.2">
      <c r="A41" s="39" t="s">
        <v>69</v>
      </c>
      <c r="B41" s="34" t="s">
        <v>68</v>
      </c>
      <c r="C41" s="35" t="s">
        <v>23</v>
      </c>
      <c r="D41" s="35" t="s">
        <v>66</v>
      </c>
      <c r="E41" s="35" t="s">
        <v>70</v>
      </c>
      <c r="F41" s="36">
        <v>740.1</v>
      </c>
      <c r="G41" s="36">
        <v>740.1</v>
      </c>
      <c r="H41" s="37">
        <v>740.1</v>
      </c>
    </row>
    <row r="42" spans="1:36" ht="25.5" x14ac:dyDescent="0.2">
      <c r="A42" s="39" t="s">
        <v>31</v>
      </c>
      <c r="B42" s="34" t="s">
        <v>68</v>
      </c>
      <c r="C42" s="35" t="s">
        <v>23</v>
      </c>
      <c r="D42" s="35" t="s">
        <v>66</v>
      </c>
      <c r="E42" s="35" t="s">
        <v>32</v>
      </c>
      <c r="F42" s="36">
        <v>296</v>
      </c>
      <c r="G42" s="36">
        <v>296</v>
      </c>
      <c r="H42" s="37">
        <v>296</v>
      </c>
    </row>
    <row r="43" spans="1:36" s="58" customFormat="1" ht="29.25" customHeight="1" x14ac:dyDescent="0.2">
      <c r="A43" s="156" t="s">
        <v>71</v>
      </c>
      <c r="B43" s="157" t="s">
        <v>72</v>
      </c>
      <c r="C43" s="158"/>
      <c r="D43" s="158"/>
      <c r="E43" s="158"/>
      <c r="F43" s="159">
        <f>F44+F50</f>
        <v>36075.800000000003</v>
      </c>
      <c r="G43" s="159">
        <f>G44+G50</f>
        <v>37415.200000000004</v>
      </c>
      <c r="H43" s="160">
        <f>H44+H50</f>
        <v>27852.200000000004</v>
      </c>
      <c r="I43" s="19"/>
      <c r="J43" s="20"/>
      <c r="K43" s="20"/>
      <c r="L43" s="21"/>
      <c r="M43" s="21"/>
      <c r="N43" s="20"/>
      <c r="O43" s="20"/>
      <c r="P43" s="20"/>
      <c r="Q43" s="20"/>
      <c r="R43" s="20"/>
      <c r="S43" s="20"/>
      <c r="T43" s="20"/>
      <c r="U43" s="20"/>
      <c r="V43" s="20"/>
      <c r="W43" s="20"/>
      <c r="X43" s="20"/>
      <c r="Y43" s="20"/>
      <c r="Z43" s="20"/>
      <c r="AA43" s="20"/>
      <c r="AB43" s="20"/>
      <c r="AC43" s="20"/>
      <c r="AD43" s="20"/>
      <c r="AE43" s="20"/>
      <c r="AF43" s="20"/>
      <c r="AG43" s="20"/>
      <c r="AH43" s="20"/>
      <c r="AI43" s="20"/>
      <c r="AJ43" s="20"/>
    </row>
    <row r="44" spans="1:36" s="58" customFormat="1" x14ac:dyDescent="0.2">
      <c r="A44" s="39" t="s">
        <v>73</v>
      </c>
      <c r="B44" s="40" t="s">
        <v>74</v>
      </c>
      <c r="C44" s="41"/>
      <c r="D44" s="41"/>
      <c r="E44" s="41"/>
      <c r="F44" s="36">
        <f>F45</f>
        <v>2370.3000000000002</v>
      </c>
      <c r="G44" s="36">
        <f>G45</f>
        <v>3551.9</v>
      </c>
      <c r="H44" s="37">
        <f>H45</f>
        <v>3581.9</v>
      </c>
      <c r="I44" s="19"/>
      <c r="J44" s="20"/>
      <c r="K44" s="20"/>
      <c r="L44" s="21"/>
      <c r="M44" s="21"/>
      <c r="N44" s="20"/>
      <c r="O44" s="20"/>
      <c r="P44" s="20"/>
      <c r="Q44" s="20"/>
      <c r="R44" s="20"/>
      <c r="S44" s="20"/>
      <c r="T44" s="20"/>
      <c r="U44" s="20"/>
      <c r="V44" s="20"/>
      <c r="W44" s="20"/>
      <c r="X44" s="20"/>
      <c r="Y44" s="20"/>
      <c r="Z44" s="20"/>
      <c r="AA44" s="20"/>
      <c r="AB44" s="20"/>
      <c r="AC44" s="20"/>
      <c r="AD44" s="20"/>
      <c r="AE44" s="20"/>
      <c r="AF44" s="20"/>
      <c r="AG44" s="20"/>
      <c r="AH44" s="20"/>
      <c r="AI44" s="20"/>
      <c r="AJ44" s="20"/>
    </row>
    <row r="45" spans="1:36" s="58" customFormat="1" ht="25.5" x14ac:dyDescent="0.2">
      <c r="A45" s="39" t="s">
        <v>75</v>
      </c>
      <c r="B45" s="40" t="s">
        <v>76</v>
      </c>
      <c r="C45" s="41" t="s">
        <v>66</v>
      </c>
      <c r="D45" s="41" t="s">
        <v>77</v>
      </c>
      <c r="E45" s="41"/>
      <c r="F45" s="36">
        <f>F46+F48</f>
        <v>2370.3000000000002</v>
      </c>
      <c r="G45" s="36">
        <f>G46+G48</f>
        <v>3551.9</v>
      </c>
      <c r="H45" s="37">
        <f>H46+H48</f>
        <v>3581.9</v>
      </c>
      <c r="I45" s="19"/>
      <c r="J45" s="20"/>
      <c r="K45" s="20"/>
      <c r="L45" s="21"/>
      <c r="M45" s="21"/>
      <c r="N45" s="20"/>
      <c r="O45" s="20"/>
      <c r="P45" s="20"/>
      <c r="Q45" s="20"/>
      <c r="R45" s="20"/>
      <c r="S45" s="20"/>
      <c r="T45" s="20"/>
      <c r="U45" s="20"/>
      <c r="V45" s="20"/>
      <c r="W45" s="20"/>
      <c r="X45" s="20"/>
      <c r="Y45" s="20"/>
      <c r="Z45" s="20"/>
      <c r="AA45" s="20"/>
      <c r="AB45" s="20"/>
      <c r="AC45" s="20"/>
      <c r="AD45" s="20"/>
      <c r="AE45" s="20"/>
      <c r="AF45" s="20"/>
      <c r="AG45" s="20"/>
      <c r="AH45" s="20"/>
      <c r="AI45" s="20"/>
      <c r="AJ45" s="20"/>
    </row>
    <row r="46" spans="1:36" s="58" customFormat="1" ht="38.25" x14ac:dyDescent="0.2">
      <c r="A46" s="39" t="s">
        <v>78</v>
      </c>
      <c r="B46" s="40" t="s">
        <v>79</v>
      </c>
      <c r="C46" s="41" t="s">
        <v>66</v>
      </c>
      <c r="D46" s="41" t="s">
        <v>77</v>
      </c>
      <c r="E46" s="41"/>
      <c r="F46" s="36">
        <f>F47</f>
        <v>631.9</v>
      </c>
      <c r="G46" s="36">
        <f>G47</f>
        <v>631.9</v>
      </c>
      <c r="H46" s="37">
        <f>H47</f>
        <v>631.9</v>
      </c>
      <c r="I46" s="59"/>
      <c r="J46" s="20"/>
      <c r="K46" s="20"/>
      <c r="L46" s="21"/>
      <c r="M46" s="21"/>
      <c r="N46" s="20"/>
      <c r="O46" s="20"/>
      <c r="P46" s="20"/>
      <c r="Q46" s="20"/>
      <c r="R46" s="20"/>
      <c r="S46" s="20"/>
      <c r="T46" s="20"/>
      <c r="U46" s="20"/>
      <c r="V46" s="20"/>
      <c r="W46" s="20"/>
      <c r="X46" s="20"/>
      <c r="Y46" s="20"/>
      <c r="Z46" s="20"/>
      <c r="AA46" s="20"/>
      <c r="AB46" s="20"/>
      <c r="AC46" s="20"/>
      <c r="AD46" s="20"/>
      <c r="AE46" s="20"/>
      <c r="AF46" s="20"/>
      <c r="AG46" s="20"/>
      <c r="AH46" s="20"/>
      <c r="AI46" s="20"/>
      <c r="AJ46" s="20"/>
    </row>
    <row r="47" spans="1:36" s="58" customFormat="1" ht="25.5" x14ac:dyDescent="0.2">
      <c r="A47" s="39" t="s">
        <v>80</v>
      </c>
      <c r="B47" s="40" t="s">
        <v>79</v>
      </c>
      <c r="C47" s="41" t="s">
        <v>66</v>
      </c>
      <c r="D47" s="41" t="s">
        <v>77</v>
      </c>
      <c r="E47" s="41" t="s">
        <v>32</v>
      </c>
      <c r="F47" s="36">
        <f>612.9+19</f>
        <v>631.9</v>
      </c>
      <c r="G47" s="36">
        <f>612.9+19</f>
        <v>631.9</v>
      </c>
      <c r="H47" s="37">
        <f>612.9+19</f>
        <v>631.9</v>
      </c>
      <c r="I47" s="19"/>
      <c r="J47" s="20"/>
      <c r="K47" s="20"/>
      <c r="L47" s="21"/>
      <c r="M47" s="21"/>
      <c r="N47" s="20"/>
      <c r="O47" s="20"/>
      <c r="P47" s="20"/>
      <c r="Q47" s="20"/>
      <c r="R47" s="20"/>
      <c r="S47" s="20"/>
      <c r="T47" s="20"/>
      <c r="U47" s="20"/>
      <c r="V47" s="20"/>
      <c r="W47" s="20"/>
      <c r="X47" s="20"/>
      <c r="Y47" s="20"/>
      <c r="Z47" s="20"/>
      <c r="AA47" s="20"/>
      <c r="AB47" s="20"/>
      <c r="AC47" s="20"/>
      <c r="AD47" s="20"/>
      <c r="AE47" s="20"/>
      <c r="AF47" s="20"/>
      <c r="AG47" s="20"/>
      <c r="AH47" s="20"/>
      <c r="AI47" s="20"/>
      <c r="AJ47" s="20"/>
    </row>
    <row r="48" spans="1:36" s="58" customFormat="1" ht="25.5" x14ac:dyDescent="0.2">
      <c r="A48" s="47" t="s">
        <v>81</v>
      </c>
      <c r="B48" s="40" t="s">
        <v>82</v>
      </c>
      <c r="C48" s="41" t="s">
        <v>66</v>
      </c>
      <c r="D48" s="41" t="s">
        <v>77</v>
      </c>
      <c r="E48" s="41"/>
      <c r="F48" s="36">
        <f>F49</f>
        <v>1738.4</v>
      </c>
      <c r="G48" s="36">
        <f>G49</f>
        <v>2920</v>
      </c>
      <c r="H48" s="37">
        <f>H49</f>
        <v>2950</v>
      </c>
      <c r="I48" s="19"/>
      <c r="J48" s="20"/>
      <c r="K48" s="20"/>
      <c r="L48" s="21"/>
      <c r="M48" s="21"/>
      <c r="N48" s="20"/>
      <c r="O48" s="20"/>
      <c r="P48" s="20"/>
      <c r="Q48" s="20"/>
      <c r="R48" s="20"/>
      <c r="S48" s="20"/>
      <c r="T48" s="20"/>
      <c r="U48" s="20"/>
      <c r="V48" s="20"/>
      <c r="W48" s="20"/>
      <c r="X48" s="20"/>
      <c r="Y48" s="20"/>
      <c r="Z48" s="20"/>
      <c r="AA48" s="20"/>
      <c r="AB48" s="20"/>
      <c r="AC48" s="20"/>
      <c r="AD48" s="20"/>
      <c r="AE48" s="20"/>
      <c r="AF48" s="20"/>
      <c r="AG48" s="20"/>
      <c r="AH48" s="20"/>
      <c r="AI48" s="20"/>
      <c r="AJ48" s="20"/>
    </row>
    <row r="49" spans="1:36" s="58" customFormat="1" ht="25.5" x14ac:dyDescent="0.2">
      <c r="A49" s="39" t="s">
        <v>80</v>
      </c>
      <c r="B49" s="40" t="s">
        <v>82</v>
      </c>
      <c r="C49" s="41" t="s">
        <v>66</v>
      </c>
      <c r="D49" s="41" t="s">
        <v>77</v>
      </c>
      <c r="E49" s="41" t="s">
        <v>32</v>
      </c>
      <c r="F49" s="36">
        <v>1738.4</v>
      </c>
      <c r="G49" s="36">
        <v>2920</v>
      </c>
      <c r="H49" s="36">
        <v>2950</v>
      </c>
      <c r="I49" s="19"/>
      <c r="J49" s="20"/>
      <c r="K49" s="20"/>
      <c r="L49" s="21"/>
      <c r="M49" s="21"/>
      <c r="N49" s="20"/>
      <c r="O49" s="20"/>
      <c r="P49" s="20"/>
      <c r="Q49" s="20"/>
      <c r="R49" s="20"/>
      <c r="S49" s="20"/>
      <c r="T49" s="20"/>
      <c r="U49" s="20"/>
      <c r="V49" s="20"/>
      <c r="W49" s="20"/>
      <c r="X49" s="20"/>
      <c r="Y49" s="20"/>
      <c r="Z49" s="20"/>
      <c r="AA49" s="20"/>
      <c r="AB49" s="20"/>
      <c r="AC49" s="20"/>
      <c r="AD49" s="20"/>
      <c r="AE49" s="20"/>
      <c r="AF49" s="20"/>
      <c r="AG49" s="20"/>
      <c r="AH49" s="20"/>
      <c r="AI49" s="20"/>
      <c r="AJ49" s="20"/>
    </row>
    <row r="50" spans="1:36" s="58" customFormat="1" x14ac:dyDescent="0.2">
      <c r="A50" s="39" t="s">
        <v>38</v>
      </c>
      <c r="B50" s="40" t="s">
        <v>83</v>
      </c>
      <c r="C50" s="41" t="s">
        <v>66</v>
      </c>
      <c r="D50" s="41" t="s">
        <v>77</v>
      </c>
      <c r="E50" s="41"/>
      <c r="F50" s="36">
        <f>F51+F54+F57+F60</f>
        <v>33705.5</v>
      </c>
      <c r="G50" s="36">
        <f>G51+G54+G57+G60</f>
        <v>33863.300000000003</v>
      </c>
      <c r="H50" s="37">
        <f>H51+H54+H57+H60</f>
        <v>24270.300000000003</v>
      </c>
      <c r="I50" s="19"/>
      <c r="J50" s="20"/>
      <c r="K50" s="20"/>
      <c r="L50" s="21"/>
      <c r="M50" s="21"/>
      <c r="N50" s="20"/>
      <c r="O50" s="20"/>
      <c r="P50" s="20"/>
      <c r="Q50" s="20"/>
      <c r="R50" s="20"/>
      <c r="S50" s="20"/>
      <c r="T50" s="20"/>
      <c r="U50" s="20"/>
      <c r="V50" s="20"/>
      <c r="W50" s="20"/>
      <c r="X50" s="20"/>
      <c r="Y50" s="20"/>
      <c r="Z50" s="20"/>
      <c r="AA50" s="20"/>
      <c r="AB50" s="20"/>
      <c r="AC50" s="20"/>
      <c r="AD50" s="20"/>
      <c r="AE50" s="20"/>
      <c r="AF50" s="20"/>
      <c r="AG50" s="20"/>
      <c r="AH50" s="20"/>
      <c r="AI50" s="20"/>
      <c r="AJ50" s="20"/>
    </row>
    <row r="51" spans="1:36" s="58" customFormat="1" ht="25.5" x14ac:dyDescent="0.2">
      <c r="A51" s="39" t="s">
        <v>84</v>
      </c>
      <c r="B51" s="40" t="s">
        <v>85</v>
      </c>
      <c r="C51" s="41" t="s">
        <v>66</v>
      </c>
      <c r="D51" s="41" t="s">
        <v>77</v>
      </c>
      <c r="E51" s="41"/>
      <c r="F51" s="36">
        <f t="shared" ref="F51:H52" si="2">F52</f>
        <v>13050</v>
      </c>
      <c r="G51" s="36">
        <f t="shared" si="2"/>
        <v>13000</v>
      </c>
      <c r="H51" s="37">
        <f t="shared" si="2"/>
        <v>13300</v>
      </c>
      <c r="I51" s="19"/>
      <c r="J51" s="20"/>
      <c r="K51" s="20"/>
      <c r="L51" s="21"/>
      <c r="M51" s="21"/>
      <c r="N51" s="20"/>
      <c r="O51" s="20"/>
      <c r="P51" s="20"/>
      <c r="Q51" s="20"/>
      <c r="R51" s="20"/>
      <c r="S51" s="20"/>
      <c r="T51" s="20"/>
      <c r="U51" s="20"/>
      <c r="V51" s="20"/>
      <c r="W51" s="20"/>
      <c r="X51" s="20"/>
      <c r="Y51" s="20"/>
      <c r="Z51" s="20"/>
      <c r="AA51" s="20"/>
      <c r="AB51" s="20"/>
      <c r="AC51" s="20"/>
      <c r="AD51" s="20"/>
      <c r="AE51" s="20"/>
      <c r="AF51" s="20"/>
      <c r="AG51" s="20"/>
      <c r="AH51" s="20"/>
      <c r="AI51" s="20"/>
      <c r="AJ51" s="20"/>
    </row>
    <row r="52" spans="1:36" s="58" customFormat="1" ht="25.5" x14ac:dyDescent="0.2">
      <c r="A52" s="39" t="s">
        <v>86</v>
      </c>
      <c r="B52" s="40" t="s">
        <v>87</v>
      </c>
      <c r="C52" s="41" t="s">
        <v>66</v>
      </c>
      <c r="D52" s="41" t="s">
        <v>77</v>
      </c>
      <c r="E52" s="41"/>
      <c r="F52" s="36">
        <f t="shared" si="2"/>
        <v>13050</v>
      </c>
      <c r="G52" s="36">
        <f t="shared" si="2"/>
        <v>13000</v>
      </c>
      <c r="H52" s="37">
        <f t="shared" si="2"/>
        <v>13300</v>
      </c>
      <c r="I52" s="59"/>
      <c r="J52" s="60"/>
      <c r="K52" s="60"/>
      <c r="L52" s="60"/>
      <c r="M52" s="21"/>
      <c r="N52" s="20"/>
      <c r="O52" s="20"/>
      <c r="P52" s="20"/>
      <c r="Q52" s="20"/>
      <c r="R52" s="20"/>
      <c r="S52" s="20"/>
      <c r="T52" s="20"/>
      <c r="U52" s="20"/>
      <c r="V52" s="20"/>
      <c r="W52" s="20"/>
      <c r="X52" s="20"/>
      <c r="Y52" s="20"/>
      <c r="Z52" s="20"/>
      <c r="AA52" s="20"/>
      <c r="AB52" s="20"/>
      <c r="AC52" s="20"/>
      <c r="AD52" s="20"/>
      <c r="AE52" s="20"/>
      <c r="AF52" s="20"/>
      <c r="AG52" s="20"/>
      <c r="AH52" s="20"/>
      <c r="AI52" s="20"/>
      <c r="AJ52" s="20"/>
    </row>
    <row r="53" spans="1:36" s="58" customFormat="1" ht="25.5" x14ac:dyDescent="0.2">
      <c r="A53" s="39" t="s">
        <v>80</v>
      </c>
      <c r="B53" s="40" t="s">
        <v>87</v>
      </c>
      <c r="C53" s="41" t="s">
        <v>66</v>
      </c>
      <c r="D53" s="41" t="s">
        <v>77</v>
      </c>
      <c r="E53" s="41" t="s">
        <v>32</v>
      </c>
      <c r="F53" s="36">
        <f>12000+1050</f>
        <v>13050</v>
      </c>
      <c r="G53" s="36">
        <v>13000</v>
      </c>
      <c r="H53" s="37">
        <v>13300</v>
      </c>
      <c r="I53" s="59"/>
      <c r="J53" s="60"/>
      <c r="K53" s="60"/>
      <c r="L53" s="21"/>
      <c r="M53" s="21"/>
      <c r="N53" s="20"/>
      <c r="O53" s="20"/>
      <c r="P53" s="20"/>
      <c r="Q53" s="20"/>
      <c r="R53" s="20"/>
      <c r="S53" s="20"/>
      <c r="T53" s="20"/>
      <c r="U53" s="20"/>
      <c r="V53" s="20"/>
      <c r="W53" s="20"/>
      <c r="X53" s="20"/>
      <c r="Y53" s="20"/>
      <c r="Z53" s="20"/>
      <c r="AA53" s="20"/>
      <c r="AB53" s="20"/>
      <c r="AC53" s="20"/>
      <c r="AD53" s="20"/>
      <c r="AE53" s="20"/>
      <c r="AF53" s="20"/>
      <c r="AG53" s="20"/>
      <c r="AH53" s="20"/>
      <c r="AI53" s="20"/>
      <c r="AJ53" s="20"/>
    </row>
    <row r="54" spans="1:36" s="58" customFormat="1" ht="16.5" customHeight="1" x14ac:dyDescent="0.2">
      <c r="A54" s="47" t="s">
        <v>88</v>
      </c>
      <c r="B54" s="40" t="s">
        <v>89</v>
      </c>
      <c r="C54" s="41" t="s">
        <v>66</v>
      </c>
      <c r="D54" s="41" t="s">
        <v>90</v>
      </c>
      <c r="E54" s="61"/>
      <c r="F54" s="62">
        <f t="shared" ref="F54:H55" si="3">F55</f>
        <v>4093.2</v>
      </c>
      <c r="G54" s="62">
        <f t="shared" si="3"/>
        <v>3977.9</v>
      </c>
      <c r="H54" s="63">
        <f t="shared" si="3"/>
        <v>3977.9</v>
      </c>
      <c r="I54" s="19"/>
      <c r="J54" s="20"/>
      <c r="K54" s="20"/>
      <c r="L54" s="21"/>
      <c r="M54" s="21"/>
      <c r="N54" s="20"/>
      <c r="O54" s="20"/>
      <c r="P54" s="20"/>
      <c r="Q54" s="20"/>
      <c r="R54" s="20"/>
      <c r="S54" s="20"/>
      <c r="T54" s="20"/>
      <c r="U54" s="20"/>
      <c r="V54" s="20"/>
      <c r="W54" s="20"/>
      <c r="X54" s="20"/>
      <c r="Y54" s="20"/>
      <c r="Z54" s="20"/>
      <c r="AA54" s="20"/>
      <c r="AB54" s="20"/>
      <c r="AC54" s="20"/>
      <c r="AD54" s="20"/>
      <c r="AE54" s="20"/>
      <c r="AF54" s="20"/>
      <c r="AG54" s="20"/>
      <c r="AH54" s="20"/>
      <c r="AI54" s="20"/>
      <c r="AJ54" s="20"/>
    </row>
    <row r="55" spans="1:36" s="58" customFormat="1" ht="25.5" x14ac:dyDescent="0.2">
      <c r="A55" s="64" t="s">
        <v>91</v>
      </c>
      <c r="B55" s="40" t="s">
        <v>92</v>
      </c>
      <c r="C55" s="41" t="s">
        <v>66</v>
      </c>
      <c r="D55" s="41" t="s">
        <v>90</v>
      </c>
      <c r="E55" s="61"/>
      <c r="F55" s="62">
        <f t="shared" si="3"/>
        <v>4093.2</v>
      </c>
      <c r="G55" s="62">
        <f t="shared" si="3"/>
        <v>3977.9</v>
      </c>
      <c r="H55" s="63">
        <f t="shared" si="3"/>
        <v>3977.9</v>
      </c>
      <c r="I55" s="19"/>
      <c r="J55" s="20"/>
      <c r="K55" s="20"/>
      <c r="L55" s="21"/>
      <c r="M55" s="21"/>
      <c r="N55" s="20"/>
      <c r="O55" s="20"/>
      <c r="P55" s="20"/>
      <c r="Q55" s="20"/>
      <c r="R55" s="20"/>
      <c r="S55" s="20"/>
      <c r="T55" s="20"/>
      <c r="U55" s="20"/>
      <c r="V55" s="20"/>
      <c r="W55" s="20"/>
      <c r="X55" s="20"/>
      <c r="Y55" s="20"/>
      <c r="Z55" s="20"/>
      <c r="AA55" s="20"/>
      <c r="AB55" s="20"/>
      <c r="AC55" s="20"/>
      <c r="AD55" s="20"/>
      <c r="AE55" s="20"/>
      <c r="AF55" s="20"/>
      <c r="AG55" s="20"/>
      <c r="AH55" s="20"/>
      <c r="AI55" s="20"/>
      <c r="AJ55" s="20"/>
    </row>
    <row r="56" spans="1:36" s="58" customFormat="1" x14ac:dyDescent="0.2">
      <c r="A56" s="50" t="s">
        <v>93</v>
      </c>
      <c r="B56" s="40" t="s">
        <v>92</v>
      </c>
      <c r="C56" s="41" t="s">
        <v>66</v>
      </c>
      <c r="D56" s="41" t="s">
        <v>90</v>
      </c>
      <c r="E56" s="61" t="s">
        <v>34</v>
      </c>
      <c r="F56" s="36">
        <f>3929.5+163.7</f>
        <v>4093.2</v>
      </c>
      <c r="G56" s="36">
        <f>3818.8+159.1</f>
        <v>3977.9</v>
      </c>
      <c r="H56" s="37">
        <f>3818.8+159.1</f>
        <v>3977.9</v>
      </c>
      <c r="I56" s="19"/>
      <c r="J56" s="20"/>
      <c r="K56" s="20"/>
      <c r="L56" s="21"/>
      <c r="M56" s="21"/>
      <c r="N56" s="20"/>
      <c r="O56" s="20"/>
      <c r="P56" s="20"/>
      <c r="Q56" s="20"/>
      <c r="R56" s="20"/>
      <c r="S56" s="20"/>
      <c r="T56" s="20"/>
      <c r="U56" s="20"/>
      <c r="V56" s="20"/>
      <c r="W56" s="20"/>
      <c r="X56" s="20"/>
      <c r="Y56" s="20"/>
      <c r="Z56" s="20"/>
      <c r="AA56" s="20"/>
      <c r="AB56" s="20"/>
      <c r="AC56" s="20"/>
      <c r="AD56" s="20"/>
      <c r="AE56" s="20"/>
      <c r="AF56" s="20"/>
      <c r="AG56" s="20"/>
      <c r="AH56" s="20"/>
      <c r="AI56" s="20"/>
      <c r="AJ56" s="20"/>
    </row>
    <row r="57" spans="1:36" s="58" customFormat="1" ht="25.5" x14ac:dyDescent="0.2">
      <c r="A57" s="50" t="s">
        <v>94</v>
      </c>
      <c r="B57" s="40" t="s">
        <v>95</v>
      </c>
      <c r="C57" s="41" t="s">
        <v>66</v>
      </c>
      <c r="D57" s="41" t="s">
        <v>90</v>
      </c>
      <c r="E57" s="65"/>
      <c r="F57" s="36">
        <f t="shared" ref="F57:H58" si="4">F58</f>
        <v>16132.7</v>
      </c>
      <c r="G57" s="36">
        <f t="shared" si="4"/>
        <v>16585.400000000001</v>
      </c>
      <c r="H57" s="37">
        <f t="shared" si="4"/>
        <v>6692.4000000000015</v>
      </c>
      <c r="I57" s="19"/>
      <c r="J57" s="20"/>
      <c r="K57" s="20"/>
      <c r="L57" s="21"/>
      <c r="M57" s="21"/>
      <c r="N57" s="20"/>
      <c r="O57" s="20"/>
      <c r="P57" s="20"/>
      <c r="Q57" s="20"/>
      <c r="R57" s="20"/>
      <c r="S57" s="20"/>
      <c r="T57" s="20"/>
      <c r="U57" s="20"/>
      <c r="V57" s="20"/>
      <c r="W57" s="20"/>
      <c r="X57" s="20"/>
      <c r="Y57" s="20"/>
      <c r="Z57" s="20"/>
      <c r="AA57" s="20"/>
      <c r="AB57" s="20"/>
      <c r="AC57" s="20"/>
      <c r="AD57" s="20"/>
      <c r="AE57" s="20"/>
      <c r="AF57" s="20"/>
      <c r="AG57" s="20"/>
      <c r="AH57" s="20"/>
      <c r="AI57" s="20"/>
      <c r="AJ57" s="20"/>
    </row>
    <row r="58" spans="1:36" s="58" customFormat="1" ht="25.5" x14ac:dyDescent="0.2">
      <c r="A58" s="50" t="s">
        <v>96</v>
      </c>
      <c r="B58" s="40" t="s">
        <v>97</v>
      </c>
      <c r="C58" s="41" t="s">
        <v>66</v>
      </c>
      <c r="D58" s="41" t="s">
        <v>90</v>
      </c>
      <c r="E58" s="65"/>
      <c r="F58" s="36">
        <f t="shared" si="4"/>
        <v>16132.7</v>
      </c>
      <c r="G58" s="36">
        <f t="shared" si="4"/>
        <v>16585.400000000001</v>
      </c>
      <c r="H58" s="37">
        <f t="shared" si="4"/>
        <v>6692.4000000000015</v>
      </c>
      <c r="I58" s="19"/>
      <c r="J58" s="20"/>
      <c r="K58" s="20"/>
      <c r="L58" s="21"/>
      <c r="M58" s="21"/>
      <c r="N58" s="20"/>
      <c r="O58" s="20"/>
      <c r="P58" s="20"/>
      <c r="Q58" s="20"/>
      <c r="R58" s="20"/>
      <c r="S58" s="20"/>
      <c r="T58" s="20"/>
      <c r="U58" s="20"/>
      <c r="V58" s="20"/>
      <c r="W58" s="20"/>
      <c r="X58" s="20"/>
      <c r="Y58" s="20"/>
      <c r="Z58" s="20"/>
      <c r="AA58" s="20"/>
      <c r="AB58" s="20"/>
      <c r="AC58" s="20"/>
      <c r="AD58" s="20"/>
      <c r="AE58" s="20"/>
      <c r="AF58" s="20"/>
      <c r="AG58" s="20"/>
      <c r="AH58" s="20"/>
      <c r="AI58" s="20"/>
      <c r="AJ58" s="20"/>
    </row>
    <row r="59" spans="1:36" s="58" customFormat="1" x14ac:dyDescent="0.2">
      <c r="A59" s="50" t="s">
        <v>93</v>
      </c>
      <c r="B59" s="40" t="s">
        <v>97</v>
      </c>
      <c r="C59" s="41" t="s">
        <v>66</v>
      </c>
      <c r="D59" s="41" t="s">
        <v>90</v>
      </c>
      <c r="E59" s="61" t="s">
        <v>34</v>
      </c>
      <c r="F59" s="36">
        <f>20225.9-4093.2</f>
        <v>16132.7</v>
      </c>
      <c r="G59" s="36">
        <f>17938.3-3977.9+2625</f>
        <v>16585.400000000001</v>
      </c>
      <c r="H59" s="36">
        <f>18683.4-3977.9-10656.1+2643</f>
        <v>6692.4000000000015</v>
      </c>
      <c r="I59" s="19"/>
      <c r="J59" s="20"/>
      <c r="K59" s="20"/>
      <c r="L59" s="21"/>
      <c r="M59" s="21"/>
      <c r="N59" s="20"/>
      <c r="O59" s="20"/>
      <c r="P59" s="20"/>
      <c r="Q59" s="20"/>
      <c r="R59" s="20"/>
      <c r="S59" s="20"/>
      <c r="T59" s="20"/>
      <c r="U59" s="20"/>
      <c r="V59" s="20"/>
      <c r="W59" s="20"/>
      <c r="X59" s="20"/>
      <c r="Y59" s="20"/>
      <c r="Z59" s="20"/>
      <c r="AA59" s="20"/>
      <c r="AB59" s="20"/>
      <c r="AC59" s="20"/>
      <c r="AD59" s="20"/>
      <c r="AE59" s="20"/>
      <c r="AF59" s="20"/>
      <c r="AG59" s="20"/>
      <c r="AH59" s="20"/>
      <c r="AI59" s="20"/>
      <c r="AJ59" s="20"/>
    </row>
    <row r="60" spans="1:36" s="58" customFormat="1" x14ac:dyDescent="0.2">
      <c r="A60" s="66" t="s">
        <v>98</v>
      </c>
      <c r="B60" s="40" t="s">
        <v>99</v>
      </c>
      <c r="C60" s="54"/>
      <c r="D60" s="54"/>
      <c r="E60" s="61"/>
      <c r="F60" s="36">
        <f>F61+F63</f>
        <v>429.6</v>
      </c>
      <c r="G60" s="36">
        <f>G61+G63</f>
        <v>300</v>
      </c>
      <c r="H60" s="37">
        <f>H61+H63</f>
        <v>300</v>
      </c>
      <c r="I60" s="19"/>
      <c r="J60" s="20"/>
      <c r="K60" s="20"/>
      <c r="L60" s="21"/>
      <c r="M60" s="21"/>
      <c r="N60" s="20"/>
      <c r="O60" s="20"/>
      <c r="P60" s="20"/>
      <c r="Q60" s="20"/>
      <c r="R60" s="20"/>
      <c r="S60" s="20"/>
      <c r="T60" s="20"/>
      <c r="U60" s="20"/>
      <c r="V60" s="20"/>
      <c r="W60" s="20"/>
      <c r="X60" s="20"/>
      <c r="Y60" s="20"/>
      <c r="Z60" s="20"/>
      <c r="AA60" s="20"/>
      <c r="AB60" s="20"/>
      <c r="AC60" s="20"/>
      <c r="AD60" s="20"/>
      <c r="AE60" s="20"/>
      <c r="AF60" s="20"/>
      <c r="AG60" s="20"/>
      <c r="AH60" s="20"/>
      <c r="AI60" s="20"/>
      <c r="AJ60" s="20"/>
    </row>
    <row r="61" spans="1:36" s="58" customFormat="1" x14ac:dyDescent="0.2">
      <c r="A61" s="48" t="s">
        <v>100</v>
      </c>
      <c r="B61" s="40" t="s">
        <v>101</v>
      </c>
      <c r="C61" s="54" t="s">
        <v>66</v>
      </c>
      <c r="D61" s="54" t="s">
        <v>77</v>
      </c>
      <c r="E61" s="61"/>
      <c r="F61" s="36">
        <f>F62</f>
        <v>379.6</v>
      </c>
      <c r="G61" s="36">
        <f>G62</f>
        <v>250</v>
      </c>
      <c r="H61" s="37">
        <f>H62</f>
        <v>250</v>
      </c>
      <c r="I61" s="19"/>
      <c r="J61" s="20"/>
      <c r="K61" s="20"/>
      <c r="L61" s="21"/>
      <c r="M61" s="21"/>
      <c r="N61" s="20"/>
      <c r="O61" s="20"/>
      <c r="P61" s="20"/>
      <c r="Q61" s="20"/>
      <c r="R61" s="20"/>
      <c r="S61" s="20"/>
      <c r="T61" s="20"/>
      <c r="U61" s="20"/>
      <c r="V61" s="20"/>
      <c r="W61" s="20"/>
      <c r="X61" s="20"/>
      <c r="Y61" s="20"/>
      <c r="Z61" s="20"/>
      <c r="AA61" s="20"/>
      <c r="AB61" s="20"/>
      <c r="AC61" s="20"/>
      <c r="AD61" s="20"/>
      <c r="AE61" s="20"/>
      <c r="AF61" s="20"/>
      <c r="AG61" s="20"/>
      <c r="AH61" s="20"/>
      <c r="AI61" s="20"/>
      <c r="AJ61" s="20"/>
    </row>
    <row r="62" spans="1:36" s="58" customFormat="1" ht="25.5" x14ac:dyDescent="0.2">
      <c r="A62" s="47" t="s">
        <v>80</v>
      </c>
      <c r="B62" s="40" t="s">
        <v>101</v>
      </c>
      <c r="C62" s="54" t="s">
        <v>66</v>
      </c>
      <c r="D62" s="54" t="s">
        <v>77</v>
      </c>
      <c r="E62" s="61" t="s">
        <v>32</v>
      </c>
      <c r="F62" s="36">
        <v>379.6</v>
      </c>
      <c r="G62" s="36">
        <v>250</v>
      </c>
      <c r="H62" s="37">
        <v>250</v>
      </c>
      <c r="I62" s="67"/>
      <c r="J62" s="20"/>
      <c r="K62" s="20"/>
      <c r="L62" s="21"/>
      <c r="M62" s="21"/>
      <c r="N62" s="20"/>
      <c r="O62" s="20"/>
      <c r="P62" s="20"/>
      <c r="Q62" s="20"/>
      <c r="R62" s="20"/>
      <c r="S62" s="20"/>
      <c r="T62" s="20"/>
      <c r="U62" s="20"/>
      <c r="V62" s="20"/>
      <c r="W62" s="20"/>
      <c r="X62" s="20"/>
      <c r="Y62" s="20"/>
      <c r="Z62" s="20"/>
      <c r="AA62" s="20"/>
      <c r="AB62" s="20"/>
      <c r="AC62" s="20"/>
      <c r="AD62" s="20"/>
      <c r="AE62" s="20"/>
      <c r="AF62" s="20"/>
      <c r="AG62" s="20"/>
      <c r="AH62" s="20"/>
      <c r="AI62" s="20"/>
      <c r="AJ62" s="20"/>
    </row>
    <row r="63" spans="1:36" s="58" customFormat="1" ht="25.5" x14ac:dyDescent="0.2">
      <c r="A63" s="66" t="s">
        <v>102</v>
      </c>
      <c r="B63" s="40" t="s">
        <v>103</v>
      </c>
      <c r="C63" s="54" t="s">
        <v>46</v>
      </c>
      <c r="D63" s="54" t="s">
        <v>104</v>
      </c>
      <c r="E63" s="61"/>
      <c r="F63" s="36">
        <f>F64</f>
        <v>50</v>
      </c>
      <c r="G63" s="36">
        <f>G64</f>
        <v>50</v>
      </c>
      <c r="H63" s="37">
        <f>H64</f>
        <v>50</v>
      </c>
      <c r="I63" s="19"/>
      <c r="J63" s="20"/>
      <c r="K63" s="20"/>
      <c r="L63" s="21"/>
      <c r="M63" s="21"/>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1:36" s="58" customFormat="1" ht="25.5" x14ac:dyDescent="0.2">
      <c r="A64" s="39" t="s">
        <v>31</v>
      </c>
      <c r="B64" s="40" t="s">
        <v>103</v>
      </c>
      <c r="C64" s="54" t="s">
        <v>46</v>
      </c>
      <c r="D64" s="54" t="s">
        <v>104</v>
      </c>
      <c r="E64" s="41" t="s">
        <v>32</v>
      </c>
      <c r="F64" s="36">
        <v>50</v>
      </c>
      <c r="G64" s="36">
        <v>50</v>
      </c>
      <c r="H64" s="37">
        <v>50</v>
      </c>
      <c r="I64" s="19"/>
      <c r="J64" s="20"/>
      <c r="K64" s="20"/>
      <c r="L64" s="21"/>
      <c r="M64" s="21"/>
      <c r="N64" s="20"/>
      <c r="O64" s="20"/>
      <c r="P64" s="20"/>
      <c r="Q64" s="20"/>
      <c r="R64" s="20"/>
      <c r="S64" s="20"/>
      <c r="T64" s="20"/>
      <c r="U64" s="20"/>
      <c r="V64" s="20"/>
      <c r="W64" s="20"/>
      <c r="X64" s="20"/>
      <c r="Y64" s="20"/>
      <c r="Z64" s="20"/>
      <c r="AA64" s="20"/>
      <c r="AB64" s="20"/>
      <c r="AC64" s="20"/>
      <c r="AD64" s="20"/>
      <c r="AE64" s="20"/>
      <c r="AF64" s="20"/>
      <c r="AG64" s="20"/>
      <c r="AH64" s="20"/>
      <c r="AI64" s="20"/>
      <c r="AJ64" s="20"/>
    </row>
    <row r="65" spans="1:36" ht="27.75" customHeight="1" x14ac:dyDescent="0.2">
      <c r="A65" s="168" t="s">
        <v>105</v>
      </c>
      <c r="B65" s="157" t="s">
        <v>106</v>
      </c>
      <c r="C65" s="158"/>
      <c r="D65" s="158"/>
      <c r="E65" s="158"/>
      <c r="F65" s="159">
        <f>F66+F78</f>
        <v>16815</v>
      </c>
      <c r="G65" s="159">
        <f>G66+G78</f>
        <v>13569.199999999999</v>
      </c>
      <c r="H65" s="160">
        <f>H66+H78</f>
        <v>12706.599999999999</v>
      </c>
    </row>
    <row r="66" spans="1:36" s="69" customFormat="1" x14ac:dyDescent="0.2">
      <c r="A66" s="43" t="s">
        <v>17</v>
      </c>
      <c r="B66" s="40" t="s">
        <v>107</v>
      </c>
      <c r="C66" s="41"/>
      <c r="D66" s="41"/>
      <c r="E66" s="41"/>
      <c r="F66" s="36">
        <f>F67+F70+F73</f>
        <v>5833.7</v>
      </c>
      <c r="G66" s="36">
        <f>G67+G70+G73</f>
        <v>2587.9</v>
      </c>
      <c r="H66" s="37">
        <f>H67+H70+H73</f>
        <v>1725.3</v>
      </c>
      <c r="I66" s="67"/>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row>
    <row r="67" spans="1:36" s="58" customFormat="1" ht="25.5" x14ac:dyDescent="0.2">
      <c r="A67" s="43" t="s">
        <v>108</v>
      </c>
      <c r="B67" s="40" t="s">
        <v>109</v>
      </c>
      <c r="C67" s="41"/>
      <c r="D67" s="41"/>
      <c r="E67" s="70"/>
      <c r="F67" s="36">
        <f t="shared" ref="F67:H68" si="5">F68</f>
        <v>827.8</v>
      </c>
      <c r="G67" s="36">
        <f t="shared" si="5"/>
        <v>0</v>
      </c>
      <c r="H67" s="37">
        <f t="shared" si="5"/>
        <v>0</v>
      </c>
      <c r="I67" s="19"/>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1:36" s="58" customFormat="1" x14ac:dyDescent="0.2">
      <c r="A68" s="43" t="s">
        <v>110</v>
      </c>
      <c r="B68" s="40" t="s">
        <v>111</v>
      </c>
      <c r="C68" s="41" t="s">
        <v>112</v>
      </c>
      <c r="D68" s="41" t="s">
        <v>46</v>
      </c>
      <c r="E68" s="41"/>
      <c r="F68" s="36">
        <f t="shared" si="5"/>
        <v>827.8</v>
      </c>
      <c r="G68" s="36">
        <f t="shared" si="5"/>
        <v>0</v>
      </c>
      <c r="H68" s="37">
        <f t="shared" si="5"/>
        <v>0</v>
      </c>
      <c r="I68" s="19"/>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1:36" s="58" customFormat="1" ht="25.5" x14ac:dyDescent="0.2">
      <c r="A69" s="39" t="s">
        <v>80</v>
      </c>
      <c r="B69" s="40" t="s">
        <v>111</v>
      </c>
      <c r="C69" s="41" t="s">
        <v>112</v>
      </c>
      <c r="D69" s="41" t="s">
        <v>46</v>
      </c>
      <c r="E69" s="41" t="s">
        <v>32</v>
      </c>
      <c r="F69" s="36">
        <f>745+82.8</f>
        <v>827.8</v>
      </c>
      <c r="G69" s="36">
        <v>0</v>
      </c>
      <c r="H69" s="37">
        <v>0</v>
      </c>
      <c r="I69" s="19"/>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1:36" s="58" customFormat="1" ht="25.5" x14ac:dyDescent="0.2">
      <c r="A70" s="71" t="s">
        <v>113</v>
      </c>
      <c r="B70" s="40" t="s">
        <v>114</v>
      </c>
      <c r="C70" s="41"/>
      <c r="D70" s="41"/>
      <c r="E70" s="41"/>
      <c r="F70" s="36">
        <f t="shared" ref="F70:H71" si="6">F71</f>
        <v>4143.2</v>
      </c>
      <c r="G70" s="36">
        <f t="shared" si="6"/>
        <v>0</v>
      </c>
      <c r="H70" s="37">
        <f t="shared" si="6"/>
        <v>0</v>
      </c>
      <c r="I70" s="19"/>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1:36" s="58" customFormat="1" ht="25.5" x14ac:dyDescent="0.2">
      <c r="A71" s="71" t="s">
        <v>115</v>
      </c>
      <c r="B71" s="40" t="s">
        <v>116</v>
      </c>
      <c r="C71" s="41" t="s">
        <v>112</v>
      </c>
      <c r="D71" s="41" t="s">
        <v>46</v>
      </c>
      <c r="E71" s="41"/>
      <c r="F71" s="36">
        <f t="shared" si="6"/>
        <v>4143.2</v>
      </c>
      <c r="G71" s="36">
        <f t="shared" si="6"/>
        <v>0</v>
      </c>
      <c r="H71" s="37">
        <f t="shared" si="6"/>
        <v>0</v>
      </c>
      <c r="I71" s="19"/>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row r="72" spans="1:36" s="58" customFormat="1" ht="25.5" x14ac:dyDescent="0.2">
      <c r="A72" s="47" t="s">
        <v>31</v>
      </c>
      <c r="B72" s="40" t="s">
        <v>116</v>
      </c>
      <c r="C72" s="41" t="s">
        <v>112</v>
      </c>
      <c r="D72" s="41" t="s">
        <v>46</v>
      </c>
      <c r="E72" s="41" t="s">
        <v>32</v>
      </c>
      <c r="F72" s="36">
        <f>4101.8+41.4</f>
        <v>4143.2</v>
      </c>
      <c r="G72" s="36">
        <v>0</v>
      </c>
      <c r="H72" s="37">
        <v>0</v>
      </c>
      <c r="I72" s="19"/>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row>
    <row r="73" spans="1:36" s="58" customFormat="1" ht="24.75" customHeight="1" x14ac:dyDescent="0.2">
      <c r="A73" s="43" t="s">
        <v>117</v>
      </c>
      <c r="B73" s="40" t="s">
        <v>118</v>
      </c>
      <c r="C73" s="41"/>
      <c r="D73" s="41"/>
      <c r="E73" s="70"/>
      <c r="F73" s="36">
        <f>F74+F76</f>
        <v>862.69999999999993</v>
      </c>
      <c r="G73" s="36">
        <f>G74+G76</f>
        <v>2587.9</v>
      </c>
      <c r="H73" s="37">
        <f>H74+H76</f>
        <v>1725.3</v>
      </c>
      <c r="I73" s="19"/>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row>
    <row r="74" spans="1:36" s="58" customFormat="1" hidden="1" x14ac:dyDescent="0.2">
      <c r="A74" s="43" t="s">
        <v>119</v>
      </c>
      <c r="B74" s="40" t="s">
        <v>120</v>
      </c>
      <c r="C74" s="41" t="s">
        <v>112</v>
      </c>
      <c r="D74" s="41" t="s">
        <v>46</v>
      </c>
      <c r="E74" s="41"/>
      <c r="F74" s="36">
        <f>F75</f>
        <v>0</v>
      </c>
      <c r="G74" s="36">
        <f>G75</f>
        <v>0</v>
      </c>
      <c r="H74" s="37">
        <f>H75</f>
        <v>0</v>
      </c>
      <c r="I74" s="19"/>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row>
    <row r="75" spans="1:36" s="58" customFormat="1" ht="25.5" hidden="1" x14ac:dyDescent="0.2">
      <c r="A75" s="39" t="s">
        <v>80</v>
      </c>
      <c r="B75" s="40" t="s">
        <v>120</v>
      </c>
      <c r="C75" s="41" t="s">
        <v>112</v>
      </c>
      <c r="D75" s="41" t="s">
        <v>46</v>
      </c>
      <c r="E75" s="41" t="s">
        <v>32</v>
      </c>
      <c r="F75" s="36"/>
      <c r="G75" s="36">
        <v>0</v>
      </c>
      <c r="H75" s="37">
        <v>0</v>
      </c>
      <c r="I75" s="19"/>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row>
    <row r="76" spans="1:36" s="58" customFormat="1" x14ac:dyDescent="0.2">
      <c r="A76" s="43" t="s">
        <v>121</v>
      </c>
      <c r="B76" s="40" t="s">
        <v>122</v>
      </c>
      <c r="C76" s="41" t="s">
        <v>112</v>
      </c>
      <c r="D76" s="41" t="s">
        <v>46</v>
      </c>
      <c r="E76" s="41"/>
      <c r="F76" s="36">
        <f>F77</f>
        <v>862.69999999999993</v>
      </c>
      <c r="G76" s="36">
        <f>G77</f>
        <v>2587.9</v>
      </c>
      <c r="H76" s="37">
        <f>H77</f>
        <v>1725.3</v>
      </c>
      <c r="I76" s="19"/>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row>
    <row r="77" spans="1:36" s="58" customFormat="1" ht="25.5" x14ac:dyDescent="0.2">
      <c r="A77" s="72" t="s">
        <v>80</v>
      </c>
      <c r="B77" s="40" t="s">
        <v>122</v>
      </c>
      <c r="C77" s="41" t="s">
        <v>112</v>
      </c>
      <c r="D77" s="41" t="s">
        <v>46</v>
      </c>
      <c r="E77" s="41" t="s">
        <v>32</v>
      </c>
      <c r="F77" s="36">
        <f>836.8+25.9</f>
        <v>862.69999999999993</v>
      </c>
      <c r="G77" s="36">
        <f>2510.3+77.6</f>
        <v>2587.9</v>
      </c>
      <c r="H77" s="37">
        <f>1673.5+51.8</f>
        <v>1725.3</v>
      </c>
      <c r="I77" s="19"/>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row>
    <row r="78" spans="1:36" s="58" customFormat="1" x14ac:dyDescent="0.2">
      <c r="A78" s="73" t="s">
        <v>38</v>
      </c>
      <c r="B78" s="40" t="s">
        <v>123</v>
      </c>
      <c r="C78" s="41"/>
      <c r="D78" s="41"/>
      <c r="E78" s="41"/>
      <c r="F78" s="36">
        <f>F79+F85+F88</f>
        <v>10981.3</v>
      </c>
      <c r="G78" s="36">
        <f>G79+G85+G88</f>
        <v>10981.3</v>
      </c>
      <c r="H78" s="37">
        <f>H79+H85+H88</f>
        <v>10981.3</v>
      </c>
      <c r="I78" s="19"/>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row>
    <row r="79" spans="1:36" s="58" customFormat="1" x14ac:dyDescent="0.2">
      <c r="A79" s="43" t="s">
        <v>124</v>
      </c>
      <c r="B79" s="40" t="s">
        <v>125</v>
      </c>
      <c r="C79" s="41"/>
      <c r="D79" s="41"/>
      <c r="E79" s="41"/>
      <c r="F79" s="36">
        <f>F80+F83</f>
        <v>7889.3</v>
      </c>
      <c r="G79" s="36">
        <f>G80+G83</f>
        <v>7889.3</v>
      </c>
      <c r="H79" s="37">
        <f>H80+H83</f>
        <v>7889.3</v>
      </c>
      <c r="I79" s="19"/>
      <c r="J79" s="20"/>
      <c r="K79" s="20"/>
      <c r="L79" s="21"/>
      <c r="M79" s="21"/>
      <c r="N79" s="20"/>
      <c r="O79" s="20"/>
      <c r="P79" s="20"/>
      <c r="Q79" s="20"/>
      <c r="R79" s="20"/>
      <c r="S79" s="20"/>
      <c r="T79" s="20"/>
      <c r="U79" s="20"/>
      <c r="V79" s="20"/>
      <c r="W79" s="20"/>
      <c r="X79" s="20"/>
      <c r="Y79" s="20"/>
      <c r="Z79" s="20"/>
      <c r="AA79" s="20"/>
      <c r="AB79" s="20"/>
      <c r="AC79" s="20"/>
      <c r="AD79" s="20"/>
      <c r="AE79" s="20"/>
      <c r="AF79" s="20"/>
      <c r="AG79" s="20"/>
      <c r="AH79" s="20"/>
      <c r="AI79" s="20"/>
      <c r="AJ79" s="20"/>
    </row>
    <row r="80" spans="1:36" s="58" customFormat="1" x14ac:dyDescent="0.2">
      <c r="A80" s="43" t="s">
        <v>126</v>
      </c>
      <c r="B80" s="40" t="s">
        <v>127</v>
      </c>
      <c r="C80" s="41" t="s">
        <v>112</v>
      </c>
      <c r="D80" s="41" t="s">
        <v>46</v>
      </c>
      <c r="E80" s="41"/>
      <c r="F80" s="36">
        <f>F81+F82</f>
        <v>7639.3</v>
      </c>
      <c r="G80" s="36">
        <f>G81+G82</f>
        <v>7639.3</v>
      </c>
      <c r="H80" s="37">
        <f>H81+H82</f>
        <v>7639.3</v>
      </c>
      <c r="I80" s="19"/>
      <c r="J80" s="20"/>
      <c r="K80" s="20"/>
      <c r="L80" s="21"/>
      <c r="M80" s="21"/>
      <c r="N80" s="20"/>
      <c r="O80" s="20"/>
      <c r="P80" s="20"/>
      <c r="Q80" s="20"/>
      <c r="R80" s="20"/>
      <c r="S80" s="20"/>
      <c r="T80" s="20"/>
      <c r="U80" s="20"/>
      <c r="V80" s="20"/>
      <c r="W80" s="20"/>
      <c r="X80" s="20"/>
      <c r="Y80" s="20"/>
      <c r="Z80" s="20"/>
      <c r="AA80" s="20"/>
      <c r="AB80" s="20"/>
      <c r="AC80" s="20"/>
      <c r="AD80" s="20"/>
      <c r="AE80" s="20"/>
      <c r="AF80" s="20"/>
      <c r="AG80" s="20"/>
      <c r="AH80" s="20"/>
      <c r="AI80" s="20"/>
      <c r="AJ80" s="20"/>
    </row>
    <row r="81" spans="1:36" s="58" customFormat="1" ht="25.5" x14ac:dyDescent="0.2">
      <c r="A81" s="39" t="s">
        <v>80</v>
      </c>
      <c r="B81" s="40" t="s">
        <v>127</v>
      </c>
      <c r="C81" s="41" t="s">
        <v>112</v>
      </c>
      <c r="D81" s="41" t="s">
        <v>46</v>
      </c>
      <c r="E81" s="41" t="s">
        <v>32</v>
      </c>
      <c r="F81" s="36">
        <f>5729.5+1909.8</f>
        <v>7639.3</v>
      </c>
      <c r="G81" s="36">
        <f>5729.5+1909.8</f>
        <v>7639.3</v>
      </c>
      <c r="H81" s="37">
        <f>5729.5+1909.8</f>
        <v>7639.3</v>
      </c>
      <c r="I81" s="19"/>
      <c r="J81" s="20"/>
      <c r="K81" s="20"/>
      <c r="L81" s="21"/>
      <c r="M81" s="21"/>
      <c r="N81" s="20"/>
      <c r="O81" s="20"/>
      <c r="P81" s="20"/>
      <c r="Q81" s="20"/>
      <c r="R81" s="20"/>
      <c r="S81" s="20"/>
      <c r="T81" s="20"/>
      <c r="U81" s="20"/>
      <c r="V81" s="20"/>
      <c r="W81" s="20"/>
      <c r="X81" s="20"/>
      <c r="Y81" s="20"/>
      <c r="Z81" s="20"/>
      <c r="AA81" s="20"/>
      <c r="AB81" s="20"/>
      <c r="AC81" s="20"/>
      <c r="AD81" s="20"/>
      <c r="AE81" s="20"/>
      <c r="AF81" s="20"/>
      <c r="AG81" s="20"/>
      <c r="AH81" s="20"/>
      <c r="AI81" s="20"/>
      <c r="AJ81" s="20"/>
    </row>
    <row r="82" spans="1:36" s="58" customFormat="1" ht="14.25" hidden="1" customHeight="1" x14ac:dyDescent="0.2">
      <c r="A82" s="74" t="s">
        <v>128</v>
      </c>
      <c r="B82" s="40" t="s">
        <v>127</v>
      </c>
      <c r="C82" s="41" t="s">
        <v>112</v>
      </c>
      <c r="D82" s="41" t="s">
        <v>46</v>
      </c>
      <c r="E82" s="41" t="s">
        <v>129</v>
      </c>
      <c r="F82" s="36">
        <v>0</v>
      </c>
      <c r="G82" s="36">
        <v>0</v>
      </c>
      <c r="H82" s="37">
        <v>0</v>
      </c>
      <c r="I82" s="19"/>
      <c r="J82" s="20"/>
      <c r="K82" s="20"/>
      <c r="L82" s="21"/>
      <c r="M82" s="21"/>
      <c r="N82" s="20"/>
      <c r="O82" s="20"/>
      <c r="P82" s="20"/>
      <c r="Q82" s="20"/>
      <c r="R82" s="20"/>
      <c r="S82" s="20"/>
      <c r="T82" s="20"/>
      <c r="U82" s="20"/>
      <c r="V82" s="20"/>
      <c r="W82" s="20"/>
      <c r="X82" s="20"/>
      <c r="Y82" s="20"/>
      <c r="Z82" s="20"/>
      <c r="AA82" s="20"/>
      <c r="AB82" s="20"/>
      <c r="AC82" s="20"/>
      <c r="AD82" s="20"/>
      <c r="AE82" s="20"/>
      <c r="AF82" s="20"/>
      <c r="AG82" s="20"/>
      <c r="AH82" s="20"/>
      <c r="AI82" s="20"/>
      <c r="AJ82" s="20"/>
    </row>
    <row r="83" spans="1:36" s="58" customFormat="1" x14ac:dyDescent="0.2">
      <c r="A83" s="39" t="s">
        <v>130</v>
      </c>
      <c r="B83" s="40" t="s">
        <v>131</v>
      </c>
      <c r="C83" s="41" t="s">
        <v>112</v>
      </c>
      <c r="D83" s="41" t="s">
        <v>46</v>
      </c>
      <c r="E83" s="41"/>
      <c r="F83" s="36">
        <f>F84</f>
        <v>250</v>
      </c>
      <c r="G83" s="36">
        <f>G84</f>
        <v>250</v>
      </c>
      <c r="H83" s="37">
        <f>H84</f>
        <v>250</v>
      </c>
      <c r="I83" s="19"/>
      <c r="J83" s="20"/>
      <c r="K83" s="20"/>
      <c r="L83" s="21"/>
      <c r="M83" s="21"/>
      <c r="N83" s="20"/>
      <c r="O83" s="20"/>
      <c r="P83" s="20"/>
      <c r="Q83" s="20"/>
      <c r="R83" s="20"/>
      <c r="S83" s="20"/>
      <c r="T83" s="20"/>
      <c r="U83" s="20"/>
      <c r="V83" s="20"/>
      <c r="W83" s="20"/>
      <c r="X83" s="20"/>
      <c r="Y83" s="20"/>
      <c r="Z83" s="20"/>
      <c r="AA83" s="20"/>
      <c r="AB83" s="20"/>
      <c r="AC83" s="20"/>
      <c r="AD83" s="20"/>
      <c r="AE83" s="20"/>
      <c r="AF83" s="20"/>
      <c r="AG83" s="20"/>
      <c r="AH83" s="20"/>
      <c r="AI83" s="20"/>
      <c r="AJ83" s="20"/>
    </row>
    <row r="84" spans="1:36" s="58" customFormat="1" ht="25.5" x14ac:dyDescent="0.2">
      <c r="A84" s="39" t="s">
        <v>31</v>
      </c>
      <c r="B84" s="40" t="s">
        <v>131</v>
      </c>
      <c r="C84" s="41" t="s">
        <v>112</v>
      </c>
      <c r="D84" s="41" t="s">
        <v>46</v>
      </c>
      <c r="E84" s="41" t="s">
        <v>32</v>
      </c>
      <c r="F84" s="36">
        <v>250</v>
      </c>
      <c r="G84" s="36">
        <v>250</v>
      </c>
      <c r="H84" s="37">
        <v>250</v>
      </c>
      <c r="I84" s="19"/>
      <c r="J84" s="20"/>
      <c r="K84" s="20"/>
      <c r="L84" s="21"/>
      <c r="M84" s="21"/>
      <c r="N84" s="20"/>
      <c r="O84" s="20"/>
      <c r="P84" s="20"/>
      <c r="Q84" s="20"/>
      <c r="R84" s="20"/>
      <c r="S84" s="20"/>
      <c r="T84" s="20"/>
      <c r="U84" s="20"/>
      <c r="V84" s="20"/>
      <c r="W84" s="20"/>
      <c r="X84" s="20"/>
      <c r="Y84" s="20"/>
      <c r="Z84" s="20"/>
      <c r="AA84" s="20"/>
      <c r="AB84" s="20"/>
      <c r="AC84" s="20"/>
      <c r="AD84" s="20"/>
      <c r="AE84" s="20"/>
      <c r="AF84" s="20"/>
      <c r="AG84" s="20"/>
      <c r="AH84" s="20"/>
      <c r="AI84" s="20"/>
      <c r="AJ84" s="20"/>
    </row>
    <row r="85" spans="1:36" s="58" customFormat="1" ht="25.5" x14ac:dyDescent="0.2">
      <c r="A85" s="43" t="s">
        <v>132</v>
      </c>
      <c r="B85" s="40" t="s">
        <v>133</v>
      </c>
      <c r="C85" s="41"/>
      <c r="D85" s="41"/>
      <c r="E85" s="41"/>
      <c r="F85" s="36">
        <f t="shared" ref="F85:H86" si="7">F86</f>
        <v>2332</v>
      </c>
      <c r="G85" s="36">
        <f t="shared" si="7"/>
        <v>2332</v>
      </c>
      <c r="H85" s="37">
        <f t="shared" si="7"/>
        <v>2332</v>
      </c>
      <c r="I85" s="19"/>
      <c r="J85" s="20"/>
      <c r="K85" s="20"/>
      <c r="L85" s="21"/>
      <c r="M85" s="21"/>
      <c r="N85" s="20"/>
      <c r="O85" s="20"/>
      <c r="P85" s="20"/>
      <c r="Q85" s="20"/>
      <c r="R85" s="20"/>
      <c r="S85" s="20"/>
      <c r="T85" s="20"/>
      <c r="U85" s="20"/>
      <c r="V85" s="20"/>
      <c r="W85" s="20"/>
      <c r="X85" s="20"/>
      <c r="Y85" s="20"/>
      <c r="Z85" s="20"/>
      <c r="AA85" s="20"/>
      <c r="AB85" s="20"/>
      <c r="AC85" s="20"/>
      <c r="AD85" s="20"/>
      <c r="AE85" s="20"/>
      <c r="AF85" s="20"/>
      <c r="AG85" s="20"/>
      <c r="AH85" s="20"/>
      <c r="AI85" s="20"/>
      <c r="AJ85" s="20"/>
    </row>
    <row r="86" spans="1:36" s="58" customFormat="1" x14ac:dyDescent="0.2">
      <c r="A86" s="39" t="s">
        <v>134</v>
      </c>
      <c r="B86" s="40" t="s">
        <v>135</v>
      </c>
      <c r="C86" s="41" t="s">
        <v>112</v>
      </c>
      <c r="D86" s="41" t="s">
        <v>46</v>
      </c>
      <c r="E86" s="41"/>
      <c r="F86" s="36">
        <f t="shared" si="7"/>
        <v>2332</v>
      </c>
      <c r="G86" s="36">
        <f t="shared" si="7"/>
        <v>2332</v>
      </c>
      <c r="H86" s="37">
        <f t="shared" si="7"/>
        <v>2332</v>
      </c>
      <c r="I86" s="19"/>
      <c r="J86" s="20"/>
      <c r="K86" s="20"/>
      <c r="L86" s="21"/>
      <c r="M86" s="21"/>
      <c r="N86" s="20"/>
      <c r="O86" s="20"/>
      <c r="P86" s="20"/>
      <c r="Q86" s="20"/>
      <c r="R86" s="20"/>
      <c r="S86" s="20"/>
      <c r="T86" s="20"/>
      <c r="U86" s="20"/>
      <c r="V86" s="20"/>
      <c r="W86" s="20"/>
      <c r="X86" s="20"/>
      <c r="Y86" s="20"/>
      <c r="Z86" s="20"/>
      <c r="AA86" s="20"/>
      <c r="AB86" s="20"/>
      <c r="AC86" s="20"/>
      <c r="AD86" s="20"/>
      <c r="AE86" s="20"/>
      <c r="AF86" s="20"/>
      <c r="AG86" s="20"/>
      <c r="AH86" s="20"/>
      <c r="AI86" s="20"/>
      <c r="AJ86" s="20"/>
    </row>
    <row r="87" spans="1:36" s="58" customFormat="1" ht="25.5" x14ac:dyDescent="0.2">
      <c r="A87" s="39" t="s">
        <v>31</v>
      </c>
      <c r="B87" s="40" t="s">
        <v>135</v>
      </c>
      <c r="C87" s="41" t="s">
        <v>112</v>
      </c>
      <c r="D87" s="41" t="s">
        <v>46</v>
      </c>
      <c r="E87" s="41" t="s">
        <v>32</v>
      </c>
      <c r="F87" s="36">
        <f>2332</f>
        <v>2332</v>
      </c>
      <c r="G87" s="36">
        <v>2332</v>
      </c>
      <c r="H87" s="37">
        <v>2332</v>
      </c>
      <c r="I87" s="19"/>
      <c r="J87" s="20"/>
      <c r="K87" s="20"/>
      <c r="L87" s="21"/>
      <c r="M87" s="21"/>
      <c r="N87" s="20"/>
      <c r="O87" s="20"/>
      <c r="P87" s="20"/>
      <c r="Q87" s="20"/>
      <c r="R87" s="20"/>
      <c r="S87" s="20"/>
      <c r="T87" s="20"/>
      <c r="U87" s="20"/>
      <c r="V87" s="20"/>
      <c r="W87" s="20"/>
      <c r="X87" s="20"/>
      <c r="Y87" s="20"/>
      <c r="Z87" s="20"/>
      <c r="AA87" s="20"/>
      <c r="AB87" s="20"/>
      <c r="AC87" s="20"/>
      <c r="AD87" s="20"/>
      <c r="AE87" s="20"/>
      <c r="AF87" s="20"/>
      <c r="AG87" s="20"/>
      <c r="AH87" s="20"/>
      <c r="AI87" s="20"/>
      <c r="AJ87" s="20"/>
    </row>
    <row r="88" spans="1:36" s="58" customFormat="1" ht="25.5" x14ac:dyDescent="0.2">
      <c r="A88" s="47" t="s">
        <v>136</v>
      </c>
      <c r="B88" s="40" t="s">
        <v>137</v>
      </c>
      <c r="C88" s="41" t="s">
        <v>112</v>
      </c>
      <c r="D88" s="41" t="s">
        <v>46</v>
      </c>
      <c r="E88" s="41"/>
      <c r="F88" s="36">
        <f t="shared" ref="F88:H89" si="8">F89</f>
        <v>760</v>
      </c>
      <c r="G88" s="36">
        <f t="shared" si="8"/>
        <v>760</v>
      </c>
      <c r="H88" s="37">
        <f t="shared" si="8"/>
        <v>760</v>
      </c>
      <c r="I88" s="19"/>
      <c r="J88" s="20"/>
      <c r="K88" s="20"/>
      <c r="L88" s="21"/>
      <c r="M88" s="21"/>
      <c r="N88" s="20"/>
      <c r="O88" s="20"/>
      <c r="P88" s="20"/>
      <c r="Q88" s="20"/>
      <c r="R88" s="20"/>
      <c r="S88" s="20"/>
      <c r="T88" s="20"/>
      <c r="U88" s="20"/>
      <c r="V88" s="20"/>
      <c r="W88" s="20"/>
      <c r="X88" s="20"/>
      <c r="Y88" s="20"/>
      <c r="Z88" s="20"/>
      <c r="AA88" s="20"/>
      <c r="AB88" s="20"/>
      <c r="AC88" s="20"/>
      <c r="AD88" s="20"/>
      <c r="AE88" s="20"/>
      <c r="AF88" s="20"/>
      <c r="AG88" s="20"/>
      <c r="AH88" s="20"/>
      <c r="AI88" s="20"/>
      <c r="AJ88" s="20"/>
    </row>
    <row r="89" spans="1:36" s="58" customFormat="1" x14ac:dyDescent="0.2">
      <c r="A89" s="39" t="s">
        <v>138</v>
      </c>
      <c r="B89" s="40" t="s">
        <v>139</v>
      </c>
      <c r="C89" s="41" t="s">
        <v>112</v>
      </c>
      <c r="D89" s="41" t="s">
        <v>46</v>
      </c>
      <c r="E89" s="41"/>
      <c r="F89" s="36">
        <f t="shared" si="8"/>
        <v>760</v>
      </c>
      <c r="G89" s="36">
        <f t="shared" si="8"/>
        <v>760</v>
      </c>
      <c r="H89" s="37">
        <f t="shared" si="8"/>
        <v>760</v>
      </c>
      <c r="I89" s="19"/>
      <c r="J89" s="20"/>
      <c r="K89" s="20"/>
      <c r="L89" s="21"/>
      <c r="M89" s="21"/>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1:36" s="58" customFormat="1" ht="25.5" x14ac:dyDescent="0.2">
      <c r="A90" s="39" t="s">
        <v>31</v>
      </c>
      <c r="B90" s="40" t="s">
        <v>139</v>
      </c>
      <c r="C90" s="41" t="s">
        <v>112</v>
      </c>
      <c r="D90" s="41" t="s">
        <v>46</v>
      </c>
      <c r="E90" s="41" t="s">
        <v>32</v>
      </c>
      <c r="F90" s="36">
        <v>760</v>
      </c>
      <c r="G90" s="36">
        <v>760</v>
      </c>
      <c r="H90" s="37">
        <v>760</v>
      </c>
      <c r="I90" s="19"/>
      <c r="J90" s="20"/>
      <c r="K90" s="20"/>
      <c r="L90" s="21"/>
      <c r="M90" s="21"/>
      <c r="N90" s="20"/>
      <c r="O90" s="20"/>
      <c r="P90" s="20"/>
      <c r="Q90" s="20"/>
      <c r="R90" s="20"/>
      <c r="S90" s="20"/>
      <c r="T90" s="20"/>
      <c r="U90" s="20"/>
      <c r="V90" s="20"/>
      <c r="W90" s="20"/>
      <c r="X90" s="20"/>
      <c r="Y90" s="20"/>
      <c r="Z90" s="20"/>
      <c r="AA90" s="20"/>
      <c r="AB90" s="20"/>
      <c r="AC90" s="20"/>
      <c r="AD90" s="20"/>
      <c r="AE90" s="20"/>
      <c r="AF90" s="20"/>
      <c r="AG90" s="20"/>
      <c r="AH90" s="20"/>
      <c r="AI90" s="20"/>
      <c r="AJ90" s="20"/>
    </row>
    <row r="91" spans="1:36" s="58" customFormat="1" ht="25.5" x14ac:dyDescent="0.2">
      <c r="A91" s="156" t="s">
        <v>140</v>
      </c>
      <c r="B91" s="157" t="s">
        <v>141</v>
      </c>
      <c r="C91" s="158"/>
      <c r="D91" s="158"/>
      <c r="E91" s="158"/>
      <c r="F91" s="159">
        <f>F92+F129</f>
        <v>60110.299999999996</v>
      </c>
      <c r="G91" s="159">
        <f>G92+G129</f>
        <v>59294.799999999996</v>
      </c>
      <c r="H91" s="160">
        <f>H92+H129</f>
        <v>58348.799999999996</v>
      </c>
      <c r="I91" s="19"/>
      <c r="J91" s="20"/>
      <c r="K91" s="20"/>
      <c r="L91" s="21"/>
      <c r="M91" s="21"/>
      <c r="N91" s="20"/>
      <c r="O91" s="20"/>
      <c r="P91" s="20"/>
      <c r="Q91" s="20"/>
      <c r="R91" s="20"/>
      <c r="S91" s="20"/>
      <c r="T91" s="20"/>
      <c r="U91" s="20"/>
      <c r="V91" s="20"/>
      <c r="W91" s="20"/>
      <c r="X91" s="20"/>
      <c r="Y91" s="20"/>
      <c r="Z91" s="20"/>
      <c r="AA91" s="20"/>
      <c r="AB91" s="20"/>
      <c r="AC91" s="20"/>
      <c r="AD91" s="20"/>
      <c r="AE91" s="20"/>
      <c r="AF91" s="20"/>
      <c r="AG91" s="20"/>
      <c r="AH91" s="20"/>
      <c r="AI91" s="20"/>
      <c r="AJ91" s="20"/>
    </row>
    <row r="92" spans="1:36" s="58" customFormat="1" x14ac:dyDescent="0.2">
      <c r="A92" s="75" t="s">
        <v>38</v>
      </c>
      <c r="B92" s="40" t="s">
        <v>142</v>
      </c>
      <c r="C92" s="70"/>
      <c r="D92" s="70"/>
      <c r="E92" s="70"/>
      <c r="F92" s="36">
        <f>F93+F96+F99+F102+F106+F123+F126</f>
        <v>58799.299999999996</v>
      </c>
      <c r="G92" s="36">
        <f>G93+G96+G99+G102+G106+G123+G126</f>
        <v>58494.799999999996</v>
      </c>
      <c r="H92" s="37">
        <f>H93+H96+H99+H102+H106+H123+H126</f>
        <v>57548.799999999996</v>
      </c>
      <c r="I92" s="19"/>
      <c r="J92" s="20"/>
      <c r="K92" s="20"/>
      <c r="L92" s="21"/>
      <c r="M92" s="21"/>
      <c r="N92" s="20"/>
      <c r="O92" s="20"/>
      <c r="P92" s="20"/>
      <c r="Q92" s="20"/>
      <c r="R92" s="20"/>
      <c r="S92" s="20"/>
      <c r="T92" s="20"/>
      <c r="U92" s="20"/>
      <c r="V92" s="20"/>
      <c r="W92" s="20"/>
      <c r="X92" s="20"/>
      <c r="Y92" s="20"/>
      <c r="Z92" s="20"/>
      <c r="AA92" s="20"/>
      <c r="AB92" s="20"/>
      <c r="AC92" s="20"/>
      <c r="AD92" s="20"/>
      <c r="AE92" s="20"/>
      <c r="AF92" s="20"/>
      <c r="AG92" s="20"/>
      <c r="AH92" s="20"/>
      <c r="AI92" s="20"/>
      <c r="AJ92" s="20"/>
    </row>
    <row r="93" spans="1:36" s="58" customFormat="1" ht="25.5" x14ac:dyDescent="0.2">
      <c r="A93" s="75" t="s">
        <v>143</v>
      </c>
      <c r="B93" s="40" t="s">
        <v>144</v>
      </c>
      <c r="C93" s="70"/>
      <c r="D93" s="70"/>
      <c r="E93" s="70"/>
      <c r="F93" s="36">
        <f t="shared" ref="F93:H94" si="9">F94</f>
        <v>390</v>
      </c>
      <c r="G93" s="36">
        <f t="shared" si="9"/>
        <v>390</v>
      </c>
      <c r="H93" s="37">
        <f t="shared" si="9"/>
        <v>390</v>
      </c>
      <c r="I93" s="19"/>
      <c r="J93" s="20"/>
      <c r="K93" s="20"/>
      <c r="L93" s="21"/>
      <c r="M93" s="21"/>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36" s="58" customFormat="1" ht="25.5" x14ac:dyDescent="0.2">
      <c r="A94" s="39" t="s">
        <v>145</v>
      </c>
      <c r="B94" s="40" t="s">
        <v>146</v>
      </c>
      <c r="C94" s="41" t="s">
        <v>23</v>
      </c>
      <c r="D94" s="41" t="s">
        <v>24</v>
      </c>
      <c r="E94" s="70"/>
      <c r="F94" s="36">
        <f t="shared" si="9"/>
        <v>390</v>
      </c>
      <c r="G94" s="36">
        <f t="shared" si="9"/>
        <v>390</v>
      </c>
      <c r="H94" s="37">
        <f t="shared" si="9"/>
        <v>390</v>
      </c>
      <c r="I94" s="19"/>
      <c r="J94" s="20"/>
      <c r="K94" s="20"/>
      <c r="L94" s="21"/>
      <c r="M94" s="21"/>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36" s="58" customFormat="1" ht="16.5" customHeight="1" x14ac:dyDescent="0.2">
      <c r="A95" s="73" t="s">
        <v>62</v>
      </c>
      <c r="B95" s="40" t="s">
        <v>146</v>
      </c>
      <c r="C95" s="41" t="s">
        <v>23</v>
      </c>
      <c r="D95" s="41" t="s">
        <v>24</v>
      </c>
      <c r="E95" s="41" t="s">
        <v>63</v>
      </c>
      <c r="F95" s="36">
        <v>390</v>
      </c>
      <c r="G95" s="36">
        <v>390</v>
      </c>
      <c r="H95" s="37">
        <v>390</v>
      </c>
      <c r="I95" s="19"/>
      <c r="J95" s="20"/>
      <c r="K95" s="20"/>
      <c r="L95" s="21"/>
      <c r="M95" s="21"/>
      <c r="N95" s="20"/>
      <c r="O95" s="20"/>
      <c r="P95" s="20"/>
      <c r="Q95" s="20"/>
      <c r="R95" s="20"/>
      <c r="S95" s="20"/>
      <c r="T95" s="20"/>
      <c r="U95" s="20"/>
      <c r="V95" s="20"/>
      <c r="W95" s="20"/>
      <c r="X95" s="20"/>
      <c r="Y95" s="20"/>
      <c r="Z95" s="20"/>
      <c r="AA95" s="20"/>
      <c r="AB95" s="20"/>
      <c r="AC95" s="20"/>
      <c r="AD95" s="20"/>
      <c r="AE95" s="20"/>
      <c r="AF95" s="20"/>
      <c r="AG95" s="20"/>
      <c r="AH95" s="20"/>
      <c r="AI95" s="20"/>
      <c r="AJ95" s="20"/>
    </row>
    <row r="96" spans="1:36" s="58" customFormat="1" ht="25.5" x14ac:dyDescent="0.2">
      <c r="A96" s="76" t="s">
        <v>147</v>
      </c>
      <c r="B96" s="40" t="s">
        <v>148</v>
      </c>
      <c r="C96" s="70"/>
      <c r="D96" s="70"/>
      <c r="E96" s="70"/>
      <c r="F96" s="36">
        <f t="shared" ref="F96:H97" si="10">F97</f>
        <v>80</v>
      </c>
      <c r="G96" s="36">
        <f t="shared" si="10"/>
        <v>80</v>
      </c>
      <c r="H96" s="37">
        <f t="shared" si="10"/>
        <v>80</v>
      </c>
      <c r="I96" s="19"/>
      <c r="J96" s="20"/>
      <c r="K96" s="20"/>
      <c r="L96" s="21"/>
      <c r="M96" s="21"/>
      <c r="N96" s="20"/>
      <c r="O96" s="20"/>
      <c r="P96" s="20"/>
      <c r="Q96" s="20"/>
      <c r="R96" s="20"/>
      <c r="S96" s="20"/>
      <c r="T96" s="20"/>
      <c r="U96" s="20"/>
      <c r="V96" s="20"/>
      <c r="W96" s="20"/>
      <c r="X96" s="20"/>
      <c r="Y96" s="20"/>
      <c r="Z96" s="20"/>
      <c r="AA96" s="20"/>
      <c r="AB96" s="20"/>
      <c r="AC96" s="20"/>
      <c r="AD96" s="20"/>
      <c r="AE96" s="20"/>
      <c r="AF96" s="20"/>
      <c r="AG96" s="20"/>
      <c r="AH96" s="20"/>
      <c r="AI96" s="20"/>
      <c r="AJ96" s="20"/>
    </row>
    <row r="97" spans="1:36" s="58" customFormat="1" x14ac:dyDescent="0.2">
      <c r="A97" s="39" t="s">
        <v>149</v>
      </c>
      <c r="B97" s="40" t="s">
        <v>150</v>
      </c>
      <c r="C97" s="41" t="s">
        <v>23</v>
      </c>
      <c r="D97" s="41" t="s">
        <v>24</v>
      </c>
      <c r="E97" s="41"/>
      <c r="F97" s="36">
        <f t="shared" si="10"/>
        <v>80</v>
      </c>
      <c r="G97" s="36">
        <f t="shared" si="10"/>
        <v>80</v>
      </c>
      <c r="H97" s="37">
        <f t="shared" si="10"/>
        <v>80</v>
      </c>
      <c r="I97" s="19"/>
      <c r="J97" s="20"/>
      <c r="K97" s="20"/>
      <c r="L97" s="21"/>
      <c r="M97" s="21"/>
      <c r="N97" s="20"/>
      <c r="O97" s="20"/>
      <c r="P97" s="20"/>
      <c r="Q97" s="20"/>
      <c r="R97" s="20"/>
      <c r="S97" s="20"/>
      <c r="T97" s="20"/>
      <c r="U97" s="20"/>
      <c r="V97" s="20"/>
      <c r="W97" s="20"/>
      <c r="X97" s="20"/>
      <c r="Y97" s="20"/>
      <c r="Z97" s="20"/>
      <c r="AA97" s="20"/>
      <c r="AB97" s="20"/>
      <c r="AC97" s="20"/>
      <c r="AD97" s="20"/>
      <c r="AE97" s="20"/>
      <c r="AF97" s="20"/>
      <c r="AG97" s="20"/>
      <c r="AH97" s="20"/>
      <c r="AI97" s="20"/>
      <c r="AJ97" s="20"/>
    </row>
    <row r="98" spans="1:36" s="58" customFormat="1" ht="25.5" x14ac:dyDescent="0.2">
      <c r="A98" s="39" t="s">
        <v>31</v>
      </c>
      <c r="B98" s="40" t="s">
        <v>150</v>
      </c>
      <c r="C98" s="41" t="s">
        <v>23</v>
      </c>
      <c r="D98" s="41" t="s">
        <v>24</v>
      </c>
      <c r="E98" s="41" t="s">
        <v>32</v>
      </c>
      <c r="F98" s="36">
        <v>80</v>
      </c>
      <c r="G98" s="36">
        <v>80</v>
      </c>
      <c r="H98" s="37">
        <v>80</v>
      </c>
      <c r="I98" s="19"/>
      <c r="J98" s="20"/>
      <c r="K98" s="20"/>
      <c r="L98" s="21"/>
      <c r="M98" s="21"/>
      <c r="N98" s="20"/>
      <c r="O98" s="20"/>
      <c r="P98" s="20"/>
      <c r="Q98" s="20"/>
      <c r="R98" s="20"/>
      <c r="S98" s="20"/>
      <c r="T98" s="20"/>
      <c r="U98" s="20"/>
      <c r="V98" s="20"/>
      <c r="W98" s="20"/>
      <c r="X98" s="20"/>
      <c r="Y98" s="20"/>
      <c r="Z98" s="20"/>
      <c r="AA98" s="20"/>
      <c r="AB98" s="20"/>
      <c r="AC98" s="20"/>
      <c r="AD98" s="20"/>
      <c r="AE98" s="20"/>
      <c r="AF98" s="20"/>
      <c r="AG98" s="20"/>
      <c r="AH98" s="20"/>
      <c r="AI98" s="20"/>
      <c r="AJ98" s="20"/>
    </row>
    <row r="99" spans="1:36" s="58" customFormat="1" ht="25.5" x14ac:dyDescent="0.2">
      <c r="A99" s="75" t="s">
        <v>151</v>
      </c>
      <c r="B99" s="40" t="s">
        <v>152</v>
      </c>
      <c r="C99" s="41"/>
      <c r="D99" s="41"/>
      <c r="E99" s="41"/>
      <c r="F99" s="36">
        <f t="shared" ref="F99:H100" si="11">F100</f>
        <v>10</v>
      </c>
      <c r="G99" s="36">
        <f t="shared" si="11"/>
        <v>10</v>
      </c>
      <c r="H99" s="37">
        <f t="shared" si="11"/>
        <v>10</v>
      </c>
      <c r="I99" s="19"/>
      <c r="J99" s="20"/>
      <c r="K99" s="20"/>
      <c r="L99" s="21"/>
      <c r="M99" s="21"/>
      <c r="N99" s="20"/>
      <c r="O99" s="20"/>
      <c r="P99" s="20"/>
      <c r="Q99" s="20"/>
      <c r="R99" s="20"/>
      <c r="S99" s="20"/>
      <c r="T99" s="20"/>
      <c r="U99" s="20"/>
      <c r="V99" s="20"/>
      <c r="W99" s="20"/>
      <c r="X99" s="20"/>
      <c r="Y99" s="20"/>
      <c r="Z99" s="20"/>
      <c r="AA99" s="20"/>
      <c r="AB99" s="20"/>
      <c r="AC99" s="20"/>
      <c r="AD99" s="20"/>
      <c r="AE99" s="20"/>
      <c r="AF99" s="20"/>
      <c r="AG99" s="20"/>
      <c r="AH99" s="20"/>
      <c r="AI99" s="20"/>
      <c r="AJ99" s="20"/>
    </row>
    <row r="100" spans="1:36" s="58" customFormat="1" ht="25.5" x14ac:dyDescent="0.2">
      <c r="A100" s="75" t="s">
        <v>153</v>
      </c>
      <c r="B100" s="40" t="s">
        <v>154</v>
      </c>
      <c r="C100" s="41" t="s">
        <v>23</v>
      </c>
      <c r="D100" s="41" t="s">
        <v>24</v>
      </c>
      <c r="E100" s="41"/>
      <c r="F100" s="36">
        <f>F101</f>
        <v>10</v>
      </c>
      <c r="G100" s="36">
        <f t="shared" si="11"/>
        <v>10</v>
      </c>
      <c r="H100" s="37">
        <f t="shared" si="11"/>
        <v>10</v>
      </c>
      <c r="I100" s="19"/>
      <c r="J100" s="20"/>
      <c r="K100" s="20"/>
      <c r="L100" s="21"/>
      <c r="M100" s="21"/>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row>
    <row r="101" spans="1:36" s="58" customFormat="1" ht="25.5" x14ac:dyDescent="0.2">
      <c r="A101" s="39" t="s">
        <v>31</v>
      </c>
      <c r="B101" s="40" t="s">
        <v>154</v>
      </c>
      <c r="C101" s="41" t="s">
        <v>23</v>
      </c>
      <c r="D101" s="41" t="s">
        <v>24</v>
      </c>
      <c r="E101" s="41" t="s">
        <v>32</v>
      </c>
      <c r="F101" s="36">
        <v>10</v>
      </c>
      <c r="G101" s="36">
        <v>10</v>
      </c>
      <c r="H101" s="37">
        <v>10</v>
      </c>
      <c r="I101" s="19"/>
      <c r="J101" s="20"/>
      <c r="K101" s="20"/>
      <c r="L101" s="21"/>
      <c r="M101" s="21"/>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row>
    <row r="102" spans="1:36" s="58" customFormat="1" ht="39" customHeight="1" x14ac:dyDescent="0.2">
      <c r="A102" s="77" t="s">
        <v>155</v>
      </c>
      <c r="B102" s="40" t="s">
        <v>156</v>
      </c>
      <c r="C102" s="41" t="s">
        <v>23</v>
      </c>
      <c r="D102" s="41" t="s">
        <v>24</v>
      </c>
      <c r="E102" s="41"/>
      <c r="F102" s="36">
        <f>F103</f>
        <v>2744</v>
      </c>
      <c r="G102" s="36">
        <f>G103</f>
        <v>2744</v>
      </c>
      <c r="H102" s="37">
        <f>H103</f>
        <v>2744</v>
      </c>
      <c r="I102" s="19"/>
      <c r="J102" s="20"/>
      <c r="K102" s="20"/>
      <c r="L102" s="21"/>
      <c r="M102" s="21"/>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row>
    <row r="103" spans="1:36" s="58" customFormat="1" ht="63.75" x14ac:dyDescent="0.2">
      <c r="A103" s="78" t="s">
        <v>157</v>
      </c>
      <c r="B103" s="40" t="s">
        <v>158</v>
      </c>
      <c r="C103" s="41" t="s">
        <v>23</v>
      </c>
      <c r="D103" s="41" t="s">
        <v>24</v>
      </c>
      <c r="E103" s="41"/>
      <c r="F103" s="36">
        <f>F104+F105</f>
        <v>2744</v>
      </c>
      <c r="G103" s="36">
        <f>G104+G105</f>
        <v>2744</v>
      </c>
      <c r="H103" s="37">
        <f>H104+H105</f>
        <v>2744</v>
      </c>
      <c r="I103" s="19"/>
      <c r="J103" s="20"/>
      <c r="K103" s="20"/>
      <c r="L103" s="79"/>
      <c r="M103" s="21"/>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row>
    <row r="104" spans="1:36" s="58" customFormat="1" x14ac:dyDescent="0.2">
      <c r="A104" s="80" t="s">
        <v>44</v>
      </c>
      <c r="B104" s="40" t="s">
        <v>158</v>
      </c>
      <c r="C104" s="41" t="s">
        <v>23</v>
      </c>
      <c r="D104" s="41" t="s">
        <v>24</v>
      </c>
      <c r="E104" s="41" t="s">
        <v>47</v>
      </c>
      <c r="F104" s="36">
        <v>2360.4</v>
      </c>
      <c r="G104" s="36">
        <v>2360.4</v>
      </c>
      <c r="H104" s="37">
        <v>2360.4</v>
      </c>
      <c r="I104" s="81"/>
      <c r="J104" s="60"/>
      <c r="K104" s="20"/>
      <c r="L104" s="21"/>
      <c r="M104" s="21"/>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row>
    <row r="105" spans="1:36" s="58" customFormat="1" ht="25.5" x14ac:dyDescent="0.2">
      <c r="A105" s="39" t="s">
        <v>31</v>
      </c>
      <c r="B105" s="40" t="s">
        <v>158</v>
      </c>
      <c r="C105" s="41" t="s">
        <v>23</v>
      </c>
      <c r="D105" s="41" t="s">
        <v>24</v>
      </c>
      <c r="E105" s="41" t="s">
        <v>32</v>
      </c>
      <c r="F105" s="36">
        <v>383.6</v>
      </c>
      <c r="G105" s="36">
        <v>383.6</v>
      </c>
      <c r="H105" s="37">
        <v>383.6</v>
      </c>
      <c r="I105" s="19"/>
      <c r="J105" s="20"/>
      <c r="K105" s="20"/>
      <c r="L105" s="21"/>
      <c r="M105" s="21"/>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row>
    <row r="106" spans="1:36" s="58" customFormat="1" ht="25.5" x14ac:dyDescent="0.2">
      <c r="A106" s="75" t="s">
        <v>159</v>
      </c>
      <c r="B106" s="40" t="s">
        <v>160</v>
      </c>
      <c r="C106" s="41"/>
      <c r="D106" s="41"/>
      <c r="E106" s="41"/>
      <c r="F106" s="36">
        <f>F107+F109+F113+F115+F117+F119+F121</f>
        <v>54134.299999999996</v>
      </c>
      <c r="G106" s="36">
        <f>G107+G109+G113+G115+G117+G119+G121</f>
        <v>54431.7</v>
      </c>
      <c r="H106" s="37">
        <f>H107+H109+H113+H115+H117+H119+H121</f>
        <v>53485.7</v>
      </c>
      <c r="I106" s="19"/>
      <c r="J106" s="20"/>
      <c r="K106" s="20"/>
      <c r="L106" s="21"/>
      <c r="M106" s="79"/>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row>
    <row r="107" spans="1:36" s="58" customFormat="1" x14ac:dyDescent="0.2">
      <c r="A107" s="82" t="s">
        <v>161</v>
      </c>
      <c r="B107" s="40" t="s">
        <v>162</v>
      </c>
      <c r="C107" s="41" t="s">
        <v>23</v>
      </c>
      <c r="D107" s="41" t="s">
        <v>163</v>
      </c>
      <c r="E107" s="41"/>
      <c r="F107" s="36">
        <f>F108</f>
        <v>3214.5</v>
      </c>
      <c r="G107" s="36">
        <f>G108</f>
        <v>3173.6</v>
      </c>
      <c r="H107" s="37">
        <f>H108</f>
        <v>3173.6</v>
      </c>
      <c r="I107" s="19"/>
      <c r="J107" s="20"/>
      <c r="K107" s="20"/>
      <c r="L107" s="21"/>
      <c r="M107" s="21"/>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row>
    <row r="108" spans="1:36" s="58" customFormat="1" x14ac:dyDescent="0.2">
      <c r="A108" s="83" t="s">
        <v>69</v>
      </c>
      <c r="B108" s="40" t="s">
        <v>162</v>
      </c>
      <c r="C108" s="41" t="s">
        <v>23</v>
      </c>
      <c r="D108" s="41" t="s">
        <v>163</v>
      </c>
      <c r="E108" s="41" t="s">
        <v>70</v>
      </c>
      <c r="F108" s="36">
        <f>3114.5+100</f>
        <v>3214.5</v>
      </c>
      <c r="G108" s="36">
        <f>3114.5+59.1</f>
        <v>3173.6</v>
      </c>
      <c r="H108" s="37">
        <f>3114.5+59.1</f>
        <v>3173.6</v>
      </c>
      <c r="I108" s="19"/>
      <c r="J108" s="20"/>
      <c r="K108" s="20"/>
      <c r="L108" s="21"/>
      <c r="M108" s="21"/>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row>
    <row r="109" spans="1:36" s="58" customFormat="1" x14ac:dyDescent="0.2">
      <c r="A109" s="39" t="s">
        <v>164</v>
      </c>
      <c r="B109" s="40" t="s">
        <v>165</v>
      </c>
      <c r="C109" s="41" t="s">
        <v>23</v>
      </c>
      <c r="D109" s="41" t="s">
        <v>66</v>
      </c>
      <c r="E109" s="41"/>
      <c r="F109" s="36">
        <f>F110+F111+F112</f>
        <v>21383.899999999998</v>
      </c>
      <c r="G109" s="36">
        <f>G110+G111+G112</f>
        <v>21678.899999999998</v>
      </c>
      <c r="H109" s="37">
        <f>H110+H111+H112</f>
        <v>20714.899999999998</v>
      </c>
      <c r="I109" s="19"/>
      <c r="J109" s="20"/>
      <c r="K109" s="20"/>
      <c r="L109" s="21"/>
      <c r="M109" s="21"/>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row>
    <row r="110" spans="1:36" s="58" customFormat="1" x14ac:dyDescent="0.2">
      <c r="A110" s="39" t="s">
        <v>69</v>
      </c>
      <c r="B110" s="40" t="s">
        <v>165</v>
      </c>
      <c r="C110" s="41" t="s">
        <v>23</v>
      </c>
      <c r="D110" s="41" t="s">
        <v>66</v>
      </c>
      <c r="E110" s="41" t="s">
        <v>70</v>
      </c>
      <c r="F110" s="36">
        <f>10411.5+181+3997.8+13.8-417.6-740.1-485.7-452.2-676.1-229.3</f>
        <v>11603.099999999997</v>
      </c>
      <c r="G110" s="36">
        <f>10411.5+181+3997.8+13.8-740.1-485.7-495.5-676.1-227.6</f>
        <v>11979.099999999997</v>
      </c>
      <c r="H110" s="37">
        <f>10411.5+181+3997.8+13.8-740.1-485.7-513.5-676.1-227.6</f>
        <v>11961.099999999997</v>
      </c>
      <c r="I110" s="19"/>
      <c r="J110" s="20"/>
      <c r="K110" s="20"/>
      <c r="L110" s="21"/>
      <c r="M110" s="21"/>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row>
    <row r="111" spans="1:36" s="58" customFormat="1" ht="25.5" x14ac:dyDescent="0.2">
      <c r="A111" s="39" t="s">
        <v>31</v>
      </c>
      <c r="B111" s="40" t="s">
        <v>165</v>
      </c>
      <c r="C111" s="41" t="s">
        <v>23</v>
      </c>
      <c r="D111" s="41" t="s">
        <v>66</v>
      </c>
      <c r="E111" s="41" t="s">
        <v>32</v>
      </c>
      <c r="F111" s="36">
        <f>5755+3730</f>
        <v>9485</v>
      </c>
      <c r="G111" s="36">
        <f>5755+3649</f>
        <v>9404</v>
      </c>
      <c r="H111" s="37">
        <f>4809+3649</f>
        <v>8458</v>
      </c>
      <c r="I111" s="19"/>
      <c r="J111" s="20"/>
      <c r="K111" s="20"/>
      <c r="L111" s="21"/>
      <c r="M111" s="21"/>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row>
    <row r="112" spans="1:36" s="58" customFormat="1" x14ac:dyDescent="0.2">
      <c r="A112" s="39" t="s">
        <v>166</v>
      </c>
      <c r="B112" s="40" t="s">
        <v>165</v>
      </c>
      <c r="C112" s="41" t="s">
        <v>23</v>
      </c>
      <c r="D112" s="41" t="s">
        <v>66</v>
      </c>
      <c r="E112" s="41" t="s">
        <v>129</v>
      </c>
      <c r="F112" s="36">
        <f>295.8</f>
        <v>295.8</v>
      </c>
      <c r="G112" s="62">
        <f>295.8</f>
        <v>295.8</v>
      </c>
      <c r="H112" s="63">
        <f>295.8</f>
        <v>295.8</v>
      </c>
      <c r="I112" s="19"/>
      <c r="J112" s="20"/>
      <c r="K112" s="20"/>
      <c r="L112" s="21"/>
      <c r="M112" s="21"/>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row>
    <row r="113" spans="1:36" s="58" customFormat="1" ht="25.5" x14ac:dyDescent="0.2">
      <c r="A113" s="42" t="s">
        <v>167</v>
      </c>
      <c r="B113" s="40" t="s">
        <v>168</v>
      </c>
      <c r="C113" s="61"/>
      <c r="D113" s="41"/>
      <c r="E113" s="41"/>
      <c r="F113" s="36">
        <f>F114</f>
        <v>28451.000000000004</v>
      </c>
      <c r="G113" s="36">
        <f>G114</f>
        <v>28451.000000000004</v>
      </c>
      <c r="H113" s="37">
        <f>H114</f>
        <v>28451.000000000004</v>
      </c>
      <c r="I113" s="19"/>
      <c r="J113" s="20"/>
      <c r="K113" s="20"/>
      <c r="L113" s="21"/>
      <c r="M113" s="21"/>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row>
    <row r="114" spans="1:36" s="58" customFormat="1" x14ac:dyDescent="0.2">
      <c r="A114" s="42" t="s">
        <v>69</v>
      </c>
      <c r="B114" s="40" t="s">
        <v>168</v>
      </c>
      <c r="C114" s="61" t="s">
        <v>23</v>
      </c>
      <c r="D114" s="41" t="s">
        <v>66</v>
      </c>
      <c r="E114" s="41" t="s">
        <v>70</v>
      </c>
      <c r="F114" s="36">
        <f>879.7+25634.9+1936.4</f>
        <v>28451.000000000004</v>
      </c>
      <c r="G114" s="36">
        <f>879.7+25634.9+1936.4</f>
        <v>28451.000000000004</v>
      </c>
      <c r="H114" s="37">
        <f>879.7+25634.9+1936.4</f>
        <v>28451.000000000004</v>
      </c>
      <c r="I114" s="67"/>
      <c r="J114" s="20"/>
      <c r="K114" s="20"/>
      <c r="L114" s="21"/>
      <c r="M114" s="21"/>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row>
    <row r="115" spans="1:36" s="58" customFormat="1" ht="68.25" customHeight="1" x14ac:dyDescent="0.2">
      <c r="A115" s="39" t="s">
        <v>169</v>
      </c>
      <c r="B115" s="40" t="s">
        <v>170</v>
      </c>
      <c r="C115" s="41" t="s">
        <v>23</v>
      </c>
      <c r="D115" s="41" t="s">
        <v>66</v>
      </c>
      <c r="E115" s="41"/>
      <c r="F115" s="36">
        <f>F116</f>
        <v>485.7</v>
      </c>
      <c r="G115" s="36">
        <f>G116</f>
        <v>485.7</v>
      </c>
      <c r="H115" s="37">
        <f>H116</f>
        <v>485.7</v>
      </c>
      <c r="I115" s="19"/>
      <c r="J115" s="20"/>
      <c r="K115" s="20"/>
      <c r="L115" s="21"/>
      <c r="M115" s="21"/>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row>
    <row r="116" spans="1:36" s="58" customFormat="1" x14ac:dyDescent="0.2">
      <c r="A116" s="39" t="s">
        <v>69</v>
      </c>
      <c r="B116" s="40" t="s">
        <v>170</v>
      </c>
      <c r="C116" s="41" t="s">
        <v>23</v>
      </c>
      <c r="D116" s="41" t="s">
        <v>66</v>
      </c>
      <c r="E116" s="41" t="s">
        <v>70</v>
      </c>
      <c r="F116" s="36">
        <v>485.7</v>
      </c>
      <c r="G116" s="36">
        <v>485.7</v>
      </c>
      <c r="H116" s="37">
        <v>485.7</v>
      </c>
      <c r="I116" s="59"/>
      <c r="J116" s="59"/>
      <c r="K116" s="59"/>
      <c r="L116" s="21"/>
      <c r="M116" s="21"/>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row>
    <row r="117" spans="1:36" s="58" customFormat="1" ht="25.5" x14ac:dyDescent="0.2">
      <c r="A117" s="47" t="s">
        <v>171</v>
      </c>
      <c r="B117" s="40" t="s">
        <v>172</v>
      </c>
      <c r="C117" s="41" t="s">
        <v>163</v>
      </c>
      <c r="D117" s="41" t="s">
        <v>46</v>
      </c>
      <c r="E117" s="41"/>
      <c r="F117" s="36">
        <f>F118</f>
        <v>452.2</v>
      </c>
      <c r="G117" s="36">
        <f>G118</f>
        <v>495.5</v>
      </c>
      <c r="H117" s="37">
        <f>H118</f>
        <v>513.5</v>
      </c>
      <c r="I117" s="19"/>
      <c r="J117" s="20"/>
      <c r="K117" s="20"/>
      <c r="L117" s="21"/>
      <c r="M117" s="21"/>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row>
    <row r="118" spans="1:36" s="58" customFormat="1" ht="13.5" customHeight="1" x14ac:dyDescent="0.2">
      <c r="A118" s="39" t="s">
        <v>69</v>
      </c>
      <c r="B118" s="40" t="s">
        <v>172</v>
      </c>
      <c r="C118" s="41" t="s">
        <v>163</v>
      </c>
      <c r="D118" s="41" t="s">
        <v>46</v>
      </c>
      <c r="E118" s="41" t="s">
        <v>70</v>
      </c>
      <c r="F118" s="36">
        <v>452.2</v>
      </c>
      <c r="G118" s="36">
        <v>495.5</v>
      </c>
      <c r="H118" s="37">
        <v>513.5</v>
      </c>
      <c r="I118" s="19"/>
      <c r="J118" s="20"/>
      <c r="K118" s="20"/>
      <c r="L118" s="21"/>
      <c r="M118" s="21"/>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row>
    <row r="119" spans="1:36" s="58" customFormat="1" x14ac:dyDescent="0.2">
      <c r="A119" s="84" t="s">
        <v>173</v>
      </c>
      <c r="B119" s="54" t="s">
        <v>174</v>
      </c>
      <c r="C119" s="41" t="s">
        <v>23</v>
      </c>
      <c r="D119" s="41" t="s">
        <v>24</v>
      </c>
      <c r="E119" s="41"/>
      <c r="F119" s="36">
        <f>F120</f>
        <v>138</v>
      </c>
      <c r="G119" s="36">
        <f>G120</f>
        <v>138</v>
      </c>
      <c r="H119" s="37">
        <f>H120</f>
        <v>138</v>
      </c>
      <c r="I119" s="19"/>
      <c r="J119" s="20"/>
      <c r="K119" s="20"/>
      <c r="L119" s="21"/>
      <c r="M119" s="21"/>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row>
    <row r="120" spans="1:36" s="58" customFormat="1" x14ac:dyDescent="0.2">
      <c r="A120" s="39" t="s">
        <v>166</v>
      </c>
      <c r="B120" s="54" t="s">
        <v>174</v>
      </c>
      <c r="C120" s="41" t="s">
        <v>23</v>
      </c>
      <c r="D120" s="41" t="s">
        <v>24</v>
      </c>
      <c r="E120" s="41" t="s">
        <v>129</v>
      </c>
      <c r="F120" s="36">
        <v>138</v>
      </c>
      <c r="G120" s="36">
        <v>138</v>
      </c>
      <c r="H120" s="37">
        <v>138</v>
      </c>
      <c r="I120" s="19"/>
      <c r="J120" s="20"/>
      <c r="K120" s="20"/>
      <c r="L120" s="21"/>
      <c r="M120" s="21"/>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row>
    <row r="121" spans="1:36" s="58" customFormat="1" x14ac:dyDescent="0.2">
      <c r="A121" s="39" t="s">
        <v>175</v>
      </c>
      <c r="B121" s="54" t="s">
        <v>176</v>
      </c>
      <c r="C121" s="41" t="s">
        <v>23</v>
      </c>
      <c r="D121" s="41" t="s">
        <v>24</v>
      </c>
      <c r="E121" s="41"/>
      <c r="F121" s="36">
        <f>F122</f>
        <v>9</v>
      </c>
      <c r="G121" s="36">
        <f>G122</f>
        <v>9</v>
      </c>
      <c r="H121" s="37">
        <f>H122</f>
        <v>9</v>
      </c>
      <c r="I121" s="19"/>
      <c r="J121" s="20"/>
      <c r="K121" s="20"/>
      <c r="L121" s="21"/>
      <c r="M121" s="21"/>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row>
    <row r="122" spans="1:36" s="58" customFormat="1" x14ac:dyDescent="0.2">
      <c r="A122" s="39" t="s">
        <v>166</v>
      </c>
      <c r="B122" s="54" t="s">
        <v>176</v>
      </c>
      <c r="C122" s="41" t="s">
        <v>23</v>
      </c>
      <c r="D122" s="41" t="s">
        <v>24</v>
      </c>
      <c r="E122" s="41" t="s">
        <v>129</v>
      </c>
      <c r="F122" s="36">
        <v>9</v>
      </c>
      <c r="G122" s="36">
        <v>9</v>
      </c>
      <c r="H122" s="37">
        <v>9</v>
      </c>
      <c r="I122" s="19"/>
      <c r="J122" s="20"/>
      <c r="K122" s="20"/>
      <c r="L122" s="21"/>
      <c r="M122" s="21"/>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row>
    <row r="123" spans="1:36" s="58" customFormat="1" ht="41.25" customHeight="1" x14ac:dyDescent="0.2">
      <c r="A123" s="47" t="s">
        <v>177</v>
      </c>
      <c r="B123" s="40" t="s">
        <v>178</v>
      </c>
      <c r="C123" s="41" t="s">
        <v>23</v>
      </c>
      <c r="D123" s="41" t="s">
        <v>66</v>
      </c>
      <c r="E123" s="41"/>
      <c r="F123" s="36">
        <f t="shared" ref="F123:H124" si="12">F124</f>
        <v>1300.5999999999999</v>
      </c>
      <c r="G123" s="36">
        <f t="shared" si="12"/>
        <v>698.7</v>
      </c>
      <c r="H123" s="37">
        <f t="shared" si="12"/>
        <v>698.7</v>
      </c>
      <c r="I123" s="59"/>
      <c r="J123" s="59"/>
      <c r="K123" s="20"/>
      <c r="L123" s="21"/>
      <c r="M123" s="21"/>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row>
    <row r="124" spans="1:36" s="58" customFormat="1" ht="15.75" customHeight="1" x14ac:dyDescent="0.2">
      <c r="A124" s="47" t="s">
        <v>179</v>
      </c>
      <c r="B124" s="40" t="s">
        <v>180</v>
      </c>
      <c r="C124" s="41" t="s">
        <v>23</v>
      </c>
      <c r="D124" s="41" t="s">
        <v>66</v>
      </c>
      <c r="E124" s="41"/>
      <c r="F124" s="36">
        <f t="shared" si="12"/>
        <v>1300.5999999999999</v>
      </c>
      <c r="G124" s="36">
        <f t="shared" si="12"/>
        <v>698.7</v>
      </c>
      <c r="H124" s="37">
        <f t="shared" si="12"/>
        <v>698.7</v>
      </c>
      <c r="I124" s="59"/>
      <c r="J124" s="20"/>
      <c r="K124" s="20"/>
      <c r="L124" s="21"/>
      <c r="M124" s="79"/>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row>
    <row r="125" spans="1:36" s="58" customFormat="1" ht="26.25" customHeight="1" x14ac:dyDescent="0.2">
      <c r="A125" s="47" t="s">
        <v>31</v>
      </c>
      <c r="B125" s="40" t="s">
        <v>180</v>
      </c>
      <c r="C125" s="41" t="s">
        <v>23</v>
      </c>
      <c r="D125" s="41" t="s">
        <v>66</v>
      </c>
      <c r="E125" s="41" t="s">
        <v>32</v>
      </c>
      <c r="F125" s="36">
        <v>1300.5999999999999</v>
      </c>
      <c r="G125" s="36">
        <v>698.7</v>
      </c>
      <c r="H125" s="37">
        <v>698.7</v>
      </c>
      <c r="I125" s="19"/>
      <c r="J125" s="20"/>
      <c r="K125" s="20"/>
      <c r="L125" s="21"/>
      <c r="M125" s="21"/>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row>
    <row r="126" spans="1:36" s="58" customFormat="1" ht="26.25" customHeight="1" x14ac:dyDescent="0.2">
      <c r="A126" s="71" t="s">
        <v>181</v>
      </c>
      <c r="B126" s="40" t="s">
        <v>182</v>
      </c>
      <c r="C126" s="41"/>
      <c r="D126" s="41"/>
      <c r="E126" s="41"/>
      <c r="F126" s="36">
        <f t="shared" ref="F126:H127" si="13">F127</f>
        <v>140.4</v>
      </c>
      <c r="G126" s="36">
        <f t="shared" si="13"/>
        <v>140.4</v>
      </c>
      <c r="H126" s="37">
        <f t="shared" si="13"/>
        <v>140.4</v>
      </c>
      <c r="I126" s="19"/>
      <c r="J126" s="20"/>
      <c r="K126" s="20"/>
      <c r="L126" s="21"/>
      <c r="M126" s="21"/>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row>
    <row r="127" spans="1:36" s="58" customFormat="1" ht="12.75" customHeight="1" x14ac:dyDescent="0.2">
      <c r="A127" s="64" t="s">
        <v>183</v>
      </c>
      <c r="B127" s="40" t="s">
        <v>184</v>
      </c>
      <c r="C127" s="41" t="s">
        <v>23</v>
      </c>
      <c r="D127" s="41" t="s">
        <v>24</v>
      </c>
      <c r="E127" s="41"/>
      <c r="F127" s="36">
        <f t="shared" si="13"/>
        <v>140.4</v>
      </c>
      <c r="G127" s="36">
        <f t="shared" si="13"/>
        <v>140.4</v>
      </c>
      <c r="H127" s="37">
        <f t="shared" si="13"/>
        <v>140.4</v>
      </c>
      <c r="I127" s="19"/>
      <c r="J127" s="20"/>
      <c r="K127" s="20"/>
      <c r="L127" s="21"/>
      <c r="M127" s="21"/>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row>
    <row r="128" spans="1:36" s="58" customFormat="1" ht="26.25" customHeight="1" x14ac:dyDescent="0.2">
      <c r="A128" s="64" t="s">
        <v>80</v>
      </c>
      <c r="B128" s="40" t="s">
        <v>184</v>
      </c>
      <c r="C128" s="41" t="s">
        <v>23</v>
      </c>
      <c r="D128" s="41" t="s">
        <v>24</v>
      </c>
      <c r="E128" s="41" t="s">
        <v>32</v>
      </c>
      <c r="F128" s="36">
        <v>140.4</v>
      </c>
      <c r="G128" s="36">
        <v>140.4</v>
      </c>
      <c r="H128" s="37">
        <v>140.4</v>
      </c>
      <c r="I128" s="19"/>
      <c r="J128" s="20"/>
      <c r="K128" s="20"/>
      <c r="L128" s="21"/>
      <c r="M128" s="21"/>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row>
    <row r="129" spans="1:36" s="58" customFormat="1" ht="15.75" customHeight="1" x14ac:dyDescent="0.2">
      <c r="A129" s="71" t="s">
        <v>17</v>
      </c>
      <c r="B129" s="40" t="s">
        <v>185</v>
      </c>
      <c r="C129" s="41"/>
      <c r="D129" s="41"/>
      <c r="E129" s="41"/>
      <c r="F129" s="36">
        <f t="shared" ref="F129:H131" si="14">F130</f>
        <v>1311</v>
      </c>
      <c r="G129" s="36">
        <f t="shared" si="14"/>
        <v>800</v>
      </c>
      <c r="H129" s="37">
        <f t="shared" si="14"/>
        <v>800</v>
      </c>
      <c r="I129" s="19"/>
      <c r="J129" s="20"/>
      <c r="K129" s="20"/>
      <c r="L129" s="21"/>
      <c r="M129" s="21"/>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row>
    <row r="130" spans="1:36" s="58" customFormat="1" ht="26.25" customHeight="1" x14ac:dyDescent="0.2">
      <c r="A130" s="71" t="s">
        <v>186</v>
      </c>
      <c r="B130" s="40" t="s">
        <v>187</v>
      </c>
      <c r="C130" s="41" t="s">
        <v>23</v>
      </c>
      <c r="D130" s="41" t="s">
        <v>66</v>
      </c>
      <c r="E130" s="41"/>
      <c r="F130" s="36">
        <f t="shared" si="14"/>
        <v>1311</v>
      </c>
      <c r="G130" s="36">
        <f t="shared" si="14"/>
        <v>800</v>
      </c>
      <c r="H130" s="37">
        <f t="shared" si="14"/>
        <v>800</v>
      </c>
      <c r="I130" s="19"/>
      <c r="J130" s="20"/>
      <c r="K130" s="20"/>
      <c r="L130" s="21"/>
      <c r="M130" s="21"/>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row>
    <row r="131" spans="1:36" s="58" customFormat="1" ht="27" customHeight="1" x14ac:dyDescent="0.2">
      <c r="A131" s="47" t="s">
        <v>188</v>
      </c>
      <c r="B131" s="40" t="s">
        <v>189</v>
      </c>
      <c r="C131" s="41" t="s">
        <v>23</v>
      </c>
      <c r="D131" s="41" t="s">
        <v>66</v>
      </c>
      <c r="E131" s="41"/>
      <c r="F131" s="36">
        <f t="shared" si="14"/>
        <v>1311</v>
      </c>
      <c r="G131" s="36">
        <f t="shared" si="14"/>
        <v>800</v>
      </c>
      <c r="H131" s="37">
        <f t="shared" si="14"/>
        <v>800</v>
      </c>
      <c r="I131" s="19"/>
      <c r="J131" s="20"/>
      <c r="K131" s="20"/>
      <c r="L131" s="21"/>
      <c r="M131" s="21"/>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row>
    <row r="132" spans="1:36" s="58" customFormat="1" ht="27" customHeight="1" x14ac:dyDescent="0.2">
      <c r="A132" s="47" t="s">
        <v>31</v>
      </c>
      <c r="B132" s="40" t="s">
        <v>189</v>
      </c>
      <c r="C132" s="41" t="s">
        <v>23</v>
      </c>
      <c r="D132" s="41" t="s">
        <v>66</v>
      </c>
      <c r="E132" s="41" t="s">
        <v>32</v>
      </c>
      <c r="F132" s="36">
        <f>1911-600</f>
        <v>1311</v>
      </c>
      <c r="G132" s="36">
        <v>800</v>
      </c>
      <c r="H132" s="37">
        <v>800</v>
      </c>
      <c r="I132" s="19"/>
      <c r="J132" s="20"/>
      <c r="K132" s="20"/>
      <c r="L132" s="21"/>
      <c r="M132" s="21"/>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row>
    <row r="133" spans="1:36" s="58" customFormat="1" ht="29.25" customHeight="1" x14ac:dyDescent="0.2">
      <c r="A133" s="156" t="s">
        <v>190</v>
      </c>
      <c r="B133" s="157" t="s">
        <v>191</v>
      </c>
      <c r="C133" s="158"/>
      <c r="D133" s="158"/>
      <c r="E133" s="158"/>
      <c r="F133" s="167">
        <f>F134+F165</f>
        <v>102994.3</v>
      </c>
      <c r="G133" s="167">
        <f>G134+G165</f>
        <v>96968.7</v>
      </c>
      <c r="H133" s="167">
        <f>H134+H165</f>
        <v>94763.400000000009</v>
      </c>
      <c r="I133" s="19"/>
      <c r="J133" s="20"/>
      <c r="K133" s="20"/>
      <c r="L133" s="21"/>
      <c r="M133" s="21"/>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row>
    <row r="134" spans="1:36" s="58" customFormat="1" x14ac:dyDescent="0.2">
      <c r="A134" s="71" t="s">
        <v>17</v>
      </c>
      <c r="B134" s="40" t="s">
        <v>192</v>
      </c>
      <c r="C134" s="41" t="s">
        <v>90</v>
      </c>
      <c r="D134" s="41" t="s">
        <v>23</v>
      </c>
      <c r="E134" s="41"/>
      <c r="F134" s="36">
        <f>F135+F144+F149+F152+F157+F162</f>
        <v>12301.6</v>
      </c>
      <c r="G134" s="36">
        <f>G135+G144+G149+G152+G157+G162</f>
        <v>4091.9000000000005</v>
      </c>
      <c r="H134" s="37">
        <f>H135+H144+H149+H152+H157+H162</f>
        <v>1986.6</v>
      </c>
      <c r="I134" s="19"/>
      <c r="J134" s="20"/>
      <c r="K134" s="20"/>
      <c r="L134" s="21"/>
      <c r="M134" s="21"/>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row>
    <row r="135" spans="1:36" s="58" customFormat="1" ht="25.5" x14ac:dyDescent="0.2">
      <c r="A135" s="71" t="s">
        <v>193</v>
      </c>
      <c r="B135" s="40" t="s">
        <v>194</v>
      </c>
      <c r="C135" s="41" t="s">
        <v>90</v>
      </c>
      <c r="D135" s="41" t="s">
        <v>23</v>
      </c>
      <c r="E135" s="41"/>
      <c r="F135" s="36">
        <f>F136+F140</f>
        <v>10215</v>
      </c>
      <c r="G135" s="36">
        <f>G136+G140</f>
        <v>2105.3000000000002</v>
      </c>
      <c r="H135" s="37">
        <f>H136+H140</f>
        <v>0</v>
      </c>
      <c r="I135" s="19"/>
      <c r="J135" s="20"/>
      <c r="K135" s="20"/>
      <c r="L135" s="21"/>
      <c r="M135" s="21"/>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row>
    <row r="136" spans="1:36" s="58" customFormat="1" ht="26.25" customHeight="1" x14ac:dyDescent="0.2">
      <c r="A136" s="71" t="s">
        <v>195</v>
      </c>
      <c r="B136" s="40" t="s">
        <v>196</v>
      </c>
      <c r="C136" s="41" t="s">
        <v>90</v>
      </c>
      <c r="D136" s="41" t="s">
        <v>23</v>
      </c>
      <c r="E136" s="41"/>
      <c r="F136" s="36">
        <f>F138+F139+F137</f>
        <v>10215</v>
      </c>
      <c r="G136" s="36">
        <f>G138+G139+G137</f>
        <v>2105.3000000000002</v>
      </c>
      <c r="H136" s="37">
        <f>H138+H139+H137</f>
        <v>0</v>
      </c>
      <c r="I136" s="19"/>
      <c r="J136" s="20"/>
      <c r="K136" s="20"/>
      <c r="L136" s="21"/>
      <c r="M136" s="21"/>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row>
    <row r="137" spans="1:36" s="58" customFormat="1" ht="26.25" customHeight="1" x14ac:dyDescent="0.2">
      <c r="A137" s="39" t="s">
        <v>31</v>
      </c>
      <c r="B137" s="40" t="s">
        <v>196</v>
      </c>
      <c r="C137" s="41" t="s">
        <v>90</v>
      </c>
      <c r="D137" s="41" t="s">
        <v>23</v>
      </c>
      <c r="E137" s="41" t="s">
        <v>32</v>
      </c>
      <c r="F137" s="36">
        <f>2500+340+77.3+37.8</f>
        <v>2955.1000000000004</v>
      </c>
      <c r="G137" s="36">
        <v>0</v>
      </c>
      <c r="H137" s="37">
        <v>0</v>
      </c>
      <c r="I137" s="19"/>
      <c r="J137" s="20"/>
      <c r="K137" s="20"/>
      <c r="L137" s="21"/>
      <c r="M137" s="21"/>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row>
    <row r="138" spans="1:36" s="58" customFormat="1" x14ac:dyDescent="0.2">
      <c r="A138" s="43" t="s">
        <v>93</v>
      </c>
      <c r="B138" s="40" t="s">
        <v>196</v>
      </c>
      <c r="C138" s="41" t="s">
        <v>90</v>
      </c>
      <c r="D138" s="41" t="s">
        <v>23</v>
      </c>
      <c r="E138" s="41" t="s">
        <v>34</v>
      </c>
      <c r="F138" s="36">
        <f>2000+105.3</f>
        <v>2105.3000000000002</v>
      </c>
      <c r="G138" s="36">
        <f>2000+105.3</f>
        <v>2105.3000000000002</v>
      </c>
      <c r="H138" s="37">
        <v>0</v>
      </c>
      <c r="I138" s="19"/>
      <c r="J138" s="20"/>
      <c r="K138" s="20"/>
      <c r="L138" s="21"/>
      <c r="M138" s="21"/>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row>
    <row r="139" spans="1:36" s="58" customFormat="1" ht="14.25" customHeight="1" x14ac:dyDescent="0.2">
      <c r="A139" s="85" t="s">
        <v>50</v>
      </c>
      <c r="B139" s="40" t="s">
        <v>196</v>
      </c>
      <c r="C139" s="41" t="s">
        <v>90</v>
      </c>
      <c r="D139" s="41" t="s">
        <v>23</v>
      </c>
      <c r="E139" s="41" t="s">
        <v>51</v>
      </c>
      <c r="F139" s="36">
        <f>5000+154.6</f>
        <v>5154.6000000000004</v>
      </c>
      <c r="G139" s="36">
        <v>0</v>
      </c>
      <c r="H139" s="37">
        <v>0</v>
      </c>
      <c r="I139" s="19"/>
      <c r="J139" s="20"/>
      <c r="K139" s="20"/>
      <c r="L139" s="21"/>
      <c r="M139" s="21"/>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row>
    <row r="140" spans="1:36" s="58" customFormat="1" ht="25.5" hidden="1" x14ac:dyDescent="0.2">
      <c r="A140" s="48" t="s">
        <v>197</v>
      </c>
      <c r="B140" s="40" t="s">
        <v>198</v>
      </c>
      <c r="C140" s="41" t="s">
        <v>90</v>
      </c>
      <c r="D140" s="41" t="s">
        <v>23</v>
      </c>
      <c r="E140" s="41"/>
      <c r="F140" s="36">
        <f>F141+F142+F143</f>
        <v>0</v>
      </c>
      <c r="G140" s="36">
        <f>G141+G142+G143</f>
        <v>0</v>
      </c>
      <c r="H140" s="37">
        <f>H141+H142+H143</f>
        <v>0</v>
      </c>
      <c r="I140" s="19"/>
      <c r="J140" s="20"/>
      <c r="K140" s="20"/>
      <c r="L140" s="21"/>
      <c r="M140" s="21"/>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row>
    <row r="141" spans="1:36" s="58" customFormat="1" ht="25.5" hidden="1" x14ac:dyDescent="0.2">
      <c r="A141" s="39" t="s">
        <v>31</v>
      </c>
      <c r="B141" s="40" t="s">
        <v>198</v>
      </c>
      <c r="C141" s="41" t="s">
        <v>90</v>
      </c>
      <c r="D141" s="41" t="s">
        <v>23</v>
      </c>
      <c r="E141" s="41" t="s">
        <v>32</v>
      </c>
      <c r="F141" s="36">
        <v>0</v>
      </c>
      <c r="G141" s="36"/>
      <c r="H141" s="37">
        <v>0</v>
      </c>
      <c r="I141" s="19"/>
      <c r="J141" s="20"/>
      <c r="K141" s="20"/>
      <c r="L141" s="21"/>
      <c r="M141" s="21"/>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row>
    <row r="142" spans="1:36" s="58" customFormat="1" hidden="1" x14ac:dyDescent="0.2">
      <c r="A142" s="43" t="s">
        <v>93</v>
      </c>
      <c r="B142" s="40" t="s">
        <v>198</v>
      </c>
      <c r="C142" s="41" t="s">
        <v>90</v>
      </c>
      <c r="D142" s="41" t="s">
        <v>23</v>
      </c>
      <c r="E142" s="41" t="s">
        <v>34</v>
      </c>
      <c r="F142" s="36">
        <v>0</v>
      </c>
      <c r="G142" s="36"/>
      <c r="H142" s="37">
        <v>0</v>
      </c>
      <c r="I142" s="19"/>
      <c r="J142" s="20"/>
      <c r="K142" s="20"/>
      <c r="L142" s="21"/>
      <c r="M142" s="21"/>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row>
    <row r="143" spans="1:36" s="58" customFormat="1" hidden="1" x14ac:dyDescent="0.2">
      <c r="A143" s="85" t="s">
        <v>50</v>
      </c>
      <c r="B143" s="40" t="s">
        <v>198</v>
      </c>
      <c r="C143" s="41" t="s">
        <v>90</v>
      </c>
      <c r="D143" s="41" t="s">
        <v>23</v>
      </c>
      <c r="E143" s="41" t="s">
        <v>51</v>
      </c>
      <c r="F143" s="36">
        <v>0</v>
      </c>
      <c r="G143" s="36">
        <v>0</v>
      </c>
      <c r="H143" s="37">
        <v>0</v>
      </c>
      <c r="I143" s="19"/>
      <c r="J143" s="20"/>
      <c r="K143" s="20"/>
      <c r="L143" s="21"/>
      <c r="M143" s="21"/>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row>
    <row r="144" spans="1:36" s="69" customFormat="1" hidden="1" x14ac:dyDescent="0.2">
      <c r="A144" s="71" t="s">
        <v>199</v>
      </c>
      <c r="B144" s="40" t="s">
        <v>200</v>
      </c>
      <c r="C144" s="41"/>
      <c r="D144" s="41"/>
      <c r="E144" s="41"/>
      <c r="F144" s="36">
        <f>F145</f>
        <v>0</v>
      </c>
      <c r="G144" s="36">
        <f>G145</f>
        <v>0</v>
      </c>
      <c r="H144" s="37">
        <f>H145</f>
        <v>0</v>
      </c>
      <c r="I144" s="67"/>
      <c r="J144" s="68"/>
      <c r="K144" s="68"/>
      <c r="L144" s="86"/>
      <c r="M144" s="86"/>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row>
    <row r="145" spans="1:36" s="69" customFormat="1" ht="14.25" hidden="1" customHeight="1" x14ac:dyDescent="0.2">
      <c r="A145" s="71" t="s">
        <v>201</v>
      </c>
      <c r="B145" s="40" t="s">
        <v>202</v>
      </c>
      <c r="C145" s="41" t="s">
        <v>23</v>
      </c>
      <c r="D145" s="41" t="s">
        <v>24</v>
      </c>
      <c r="E145" s="41"/>
      <c r="F145" s="36">
        <f>F146+F147+F148</f>
        <v>0</v>
      </c>
      <c r="G145" s="36">
        <f>G146+G147+G148</f>
        <v>0</v>
      </c>
      <c r="H145" s="37">
        <f>H146+H147+H148</f>
        <v>0</v>
      </c>
      <c r="I145" s="67"/>
      <c r="J145" s="68"/>
      <c r="K145" s="68"/>
      <c r="L145" s="86"/>
      <c r="M145" s="86"/>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row>
    <row r="146" spans="1:36" s="69" customFormat="1" ht="25.5" hidden="1" x14ac:dyDescent="0.2">
      <c r="A146" s="47" t="s">
        <v>31</v>
      </c>
      <c r="B146" s="40" t="s">
        <v>202</v>
      </c>
      <c r="C146" s="41" t="s">
        <v>23</v>
      </c>
      <c r="D146" s="41" t="s">
        <v>24</v>
      </c>
      <c r="E146" s="41" t="s">
        <v>32</v>
      </c>
      <c r="F146" s="36"/>
      <c r="G146" s="36"/>
      <c r="H146" s="37"/>
      <c r="I146" s="67"/>
      <c r="J146" s="68"/>
      <c r="K146" s="68"/>
      <c r="L146" s="86"/>
      <c r="M146" s="86"/>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row>
    <row r="147" spans="1:36" s="69" customFormat="1" hidden="1" x14ac:dyDescent="0.2">
      <c r="A147" s="48" t="s">
        <v>93</v>
      </c>
      <c r="B147" s="40" t="s">
        <v>202</v>
      </c>
      <c r="C147" s="41" t="s">
        <v>23</v>
      </c>
      <c r="D147" s="41" t="s">
        <v>24</v>
      </c>
      <c r="E147" s="41" t="s">
        <v>34</v>
      </c>
      <c r="F147" s="36"/>
      <c r="G147" s="36"/>
      <c r="H147" s="37"/>
      <c r="I147" s="67"/>
      <c r="J147" s="68"/>
      <c r="K147" s="68"/>
      <c r="L147" s="86"/>
      <c r="M147" s="86"/>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row>
    <row r="148" spans="1:36" s="69" customFormat="1" hidden="1" x14ac:dyDescent="0.2">
      <c r="A148" s="85" t="s">
        <v>50</v>
      </c>
      <c r="B148" s="40" t="s">
        <v>202</v>
      </c>
      <c r="C148" s="41" t="s">
        <v>23</v>
      </c>
      <c r="D148" s="41" t="s">
        <v>24</v>
      </c>
      <c r="E148" s="41" t="s">
        <v>51</v>
      </c>
      <c r="F148" s="36"/>
      <c r="G148" s="36"/>
      <c r="H148" s="37"/>
      <c r="I148" s="67"/>
      <c r="J148" s="68"/>
      <c r="K148" s="68"/>
      <c r="L148" s="86"/>
      <c r="M148" s="86"/>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row>
    <row r="149" spans="1:36" s="69" customFormat="1" hidden="1" x14ac:dyDescent="0.2">
      <c r="A149" s="85" t="s">
        <v>203</v>
      </c>
      <c r="B149" s="40" t="s">
        <v>204</v>
      </c>
      <c r="C149" s="41"/>
      <c r="D149" s="41"/>
      <c r="E149" s="41"/>
      <c r="F149" s="36">
        <f t="shared" ref="F149:H150" si="15">F150</f>
        <v>0</v>
      </c>
      <c r="G149" s="36">
        <f t="shared" si="15"/>
        <v>0</v>
      </c>
      <c r="H149" s="37">
        <f t="shared" si="15"/>
        <v>0</v>
      </c>
      <c r="I149" s="67"/>
      <c r="J149" s="68"/>
      <c r="K149" s="68"/>
      <c r="L149" s="86"/>
      <c r="M149" s="86"/>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row>
    <row r="150" spans="1:36" s="69" customFormat="1" ht="25.5" hidden="1" x14ac:dyDescent="0.2">
      <c r="A150" s="87" t="s">
        <v>205</v>
      </c>
      <c r="B150" s="88" t="s">
        <v>206</v>
      </c>
      <c r="C150" s="89" t="s">
        <v>207</v>
      </c>
      <c r="D150" s="89" t="s">
        <v>207</v>
      </c>
      <c r="E150" s="89"/>
      <c r="F150" s="36">
        <f t="shared" si="15"/>
        <v>0</v>
      </c>
      <c r="G150" s="36">
        <f t="shared" si="15"/>
        <v>0</v>
      </c>
      <c r="H150" s="37">
        <f t="shared" si="15"/>
        <v>0</v>
      </c>
      <c r="I150" s="67"/>
      <c r="J150" s="68"/>
      <c r="K150" s="68"/>
      <c r="L150" s="86"/>
      <c r="M150" s="86"/>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row>
    <row r="151" spans="1:36" s="69" customFormat="1" ht="25.5" hidden="1" x14ac:dyDescent="0.2">
      <c r="A151" s="90" t="s">
        <v>31</v>
      </c>
      <c r="B151" s="88" t="s">
        <v>206</v>
      </c>
      <c r="C151" s="89" t="s">
        <v>207</v>
      </c>
      <c r="D151" s="89" t="s">
        <v>207</v>
      </c>
      <c r="E151" s="89" t="s">
        <v>32</v>
      </c>
      <c r="F151" s="36">
        <v>0</v>
      </c>
      <c r="G151" s="36">
        <v>0</v>
      </c>
      <c r="H151" s="37">
        <v>0</v>
      </c>
      <c r="I151" s="67"/>
      <c r="J151" s="68"/>
      <c r="K151" s="68"/>
      <c r="L151" s="86"/>
      <c r="M151" s="86"/>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row>
    <row r="152" spans="1:36" s="69" customFormat="1" ht="25.5" x14ac:dyDescent="0.2">
      <c r="A152" s="39" t="s">
        <v>208</v>
      </c>
      <c r="B152" s="40" t="s">
        <v>209</v>
      </c>
      <c r="C152" s="41"/>
      <c r="D152" s="41"/>
      <c r="E152" s="41"/>
      <c r="F152" s="36">
        <f>F153</f>
        <v>464.4</v>
      </c>
      <c r="G152" s="36">
        <f>G153</f>
        <v>464.4</v>
      </c>
      <c r="H152" s="37">
        <f>H153</f>
        <v>464.4</v>
      </c>
      <c r="I152" s="67"/>
      <c r="J152" s="68"/>
      <c r="K152" s="68"/>
      <c r="L152" s="86"/>
      <c r="M152" s="86"/>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row>
    <row r="153" spans="1:36" s="69" customFormat="1" ht="25.5" x14ac:dyDescent="0.2">
      <c r="A153" s="71" t="s">
        <v>210</v>
      </c>
      <c r="B153" s="40" t="s">
        <v>211</v>
      </c>
      <c r="C153" s="41"/>
      <c r="D153" s="41"/>
      <c r="E153" s="41"/>
      <c r="F153" s="36">
        <f>F154+F155+F156</f>
        <v>464.4</v>
      </c>
      <c r="G153" s="36">
        <f>G154+G155+G156</f>
        <v>464.4</v>
      </c>
      <c r="H153" s="37">
        <f>H154+H155+H156</f>
        <v>464.4</v>
      </c>
      <c r="I153" s="67"/>
      <c r="J153" s="68"/>
      <c r="K153" s="68"/>
      <c r="L153" s="86"/>
      <c r="M153" s="86"/>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row>
    <row r="154" spans="1:36" s="69" customFormat="1" ht="25.5" hidden="1" x14ac:dyDescent="0.2">
      <c r="A154" s="39" t="s">
        <v>31</v>
      </c>
      <c r="B154" s="40" t="s">
        <v>211</v>
      </c>
      <c r="C154" s="41" t="s">
        <v>212</v>
      </c>
      <c r="D154" s="41" t="s">
        <v>112</v>
      </c>
      <c r="E154" s="41" t="s">
        <v>32</v>
      </c>
      <c r="F154" s="36">
        <v>0</v>
      </c>
      <c r="G154" s="36">
        <v>0</v>
      </c>
      <c r="H154" s="37">
        <v>0</v>
      </c>
      <c r="I154" s="67"/>
      <c r="J154" s="68"/>
      <c r="K154" s="68"/>
      <c r="L154" s="86"/>
      <c r="M154" s="86"/>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row>
    <row r="155" spans="1:36" s="69" customFormat="1" hidden="1" x14ac:dyDescent="0.2">
      <c r="A155" s="48" t="s">
        <v>93</v>
      </c>
      <c r="B155" s="40" t="s">
        <v>211</v>
      </c>
      <c r="C155" s="41" t="s">
        <v>207</v>
      </c>
      <c r="D155" s="41" t="s">
        <v>46</v>
      </c>
      <c r="E155" s="41" t="s">
        <v>34</v>
      </c>
      <c r="F155" s="36">
        <v>0</v>
      </c>
      <c r="G155" s="36">
        <v>0</v>
      </c>
      <c r="H155" s="37">
        <v>0</v>
      </c>
      <c r="I155" s="67"/>
      <c r="J155" s="68"/>
      <c r="K155" s="68"/>
      <c r="L155" s="86"/>
      <c r="M155" s="86"/>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row>
    <row r="156" spans="1:36" s="69" customFormat="1" x14ac:dyDescent="0.2">
      <c r="A156" s="85" t="s">
        <v>50</v>
      </c>
      <c r="B156" s="40" t="s">
        <v>211</v>
      </c>
      <c r="C156" s="41" t="s">
        <v>212</v>
      </c>
      <c r="D156" s="41" t="s">
        <v>112</v>
      </c>
      <c r="E156" s="41" t="s">
        <v>51</v>
      </c>
      <c r="F156" s="36">
        <f>418+46.4</f>
        <v>464.4</v>
      </c>
      <c r="G156" s="36">
        <f>418+46.4</f>
        <v>464.4</v>
      </c>
      <c r="H156" s="37">
        <f>418+46.4</f>
        <v>464.4</v>
      </c>
      <c r="I156" s="67"/>
      <c r="J156" s="68"/>
      <c r="K156" s="68"/>
      <c r="L156" s="86"/>
      <c r="M156" s="86"/>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row>
    <row r="157" spans="1:36" s="69" customFormat="1" ht="26.25" customHeight="1" x14ac:dyDescent="0.2">
      <c r="A157" s="48" t="s">
        <v>213</v>
      </c>
      <c r="B157" s="40" t="s">
        <v>214</v>
      </c>
      <c r="C157" s="41" t="s">
        <v>212</v>
      </c>
      <c r="D157" s="41" t="s">
        <v>163</v>
      </c>
      <c r="E157" s="41"/>
      <c r="F157" s="36">
        <f>F158+F160</f>
        <v>1522.2</v>
      </c>
      <c r="G157" s="36">
        <f>G158+G160</f>
        <v>1522.2</v>
      </c>
      <c r="H157" s="37">
        <f>H158+H160</f>
        <v>1522.2</v>
      </c>
      <c r="I157" s="67"/>
      <c r="J157" s="68"/>
      <c r="K157" s="68"/>
      <c r="L157" s="86"/>
      <c r="M157" s="86"/>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row>
    <row r="158" spans="1:36" s="69" customFormat="1" ht="30" customHeight="1" x14ac:dyDescent="0.2">
      <c r="A158" s="47" t="s">
        <v>215</v>
      </c>
      <c r="B158" s="40" t="s">
        <v>216</v>
      </c>
      <c r="C158" s="41" t="s">
        <v>212</v>
      </c>
      <c r="D158" s="41" t="s">
        <v>163</v>
      </c>
      <c r="E158" s="41"/>
      <c r="F158" s="36">
        <f>F159</f>
        <v>522.20000000000005</v>
      </c>
      <c r="G158" s="36">
        <f>G159</f>
        <v>522.20000000000005</v>
      </c>
      <c r="H158" s="37">
        <f>H159</f>
        <v>522.20000000000005</v>
      </c>
      <c r="I158" s="67"/>
      <c r="J158" s="68"/>
      <c r="K158" s="68"/>
      <c r="L158" s="86"/>
      <c r="M158" s="86"/>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row>
    <row r="159" spans="1:36" s="69" customFormat="1" ht="25.5" x14ac:dyDescent="0.2">
      <c r="A159" s="39" t="s">
        <v>31</v>
      </c>
      <c r="B159" s="40" t="s">
        <v>216</v>
      </c>
      <c r="C159" s="41" t="s">
        <v>212</v>
      </c>
      <c r="D159" s="41" t="s">
        <v>163</v>
      </c>
      <c r="E159" s="41" t="s">
        <v>32</v>
      </c>
      <c r="F159" s="36">
        <f>470+52.2</f>
        <v>522.20000000000005</v>
      </c>
      <c r="G159" s="36">
        <f>470+52.2</f>
        <v>522.20000000000005</v>
      </c>
      <c r="H159" s="37">
        <f>470+52.2</f>
        <v>522.20000000000005</v>
      </c>
      <c r="I159" s="67"/>
      <c r="J159" s="68"/>
      <c r="K159" s="68"/>
      <c r="L159" s="86"/>
      <c r="M159" s="86"/>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row>
    <row r="160" spans="1:36" s="69" customFormat="1" ht="38.25" x14ac:dyDescent="0.2">
      <c r="A160" s="48" t="s">
        <v>217</v>
      </c>
      <c r="B160" s="40" t="s">
        <v>218</v>
      </c>
      <c r="C160" s="41" t="s">
        <v>212</v>
      </c>
      <c r="D160" s="41" t="s">
        <v>163</v>
      </c>
      <c r="E160" s="41"/>
      <c r="F160" s="36">
        <f>F161</f>
        <v>1000</v>
      </c>
      <c r="G160" s="36">
        <f>G161</f>
        <v>1000</v>
      </c>
      <c r="H160" s="37">
        <f>H161</f>
        <v>1000</v>
      </c>
      <c r="I160" s="67"/>
      <c r="J160" s="68"/>
      <c r="K160" s="68"/>
      <c r="L160" s="86"/>
      <c r="M160" s="86"/>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row>
    <row r="161" spans="1:36" s="69" customFormat="1" ht="25.5" x14ac:dyDescent="0.2">
      <c r="A161" s="39" t="s">
        <v>31</v>
      </c>
      <c r="B161" s="40" t="s">
        <v>218</v>
      </c>
      <c r="C161" s="41" t="s">
        <v>212</v>
      </c>
      <c r="D161" s="41" t="s">
        <v>163</v>
      </c>
      <c r="E161" s="41" t="s">
        <v>32</v>
      </c>
      <c r="F161" s="36">
        <f>900+100</f>
        <v>1000</v>
      </c>
      <c r="G161" s="36">
        <f>900+100</f>
        <v>1000</v>
      </c>
      <c r="H161" s="37">
        <f>900+100</f>
        <v>1000</v>
      </c>
      <c r="I161" s="67"/>
      <c r="J161" s="68"/>
      <c r="K161" s="68"/>
      <c r="L161" s="86"/>
      <c r="M161" s="86"/>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row>
    <row r="162" spans="1:36" s="69" customFormat="1" x14ac:dyDescent="0.2">
      <c r="A162" s="39" t="s">
        <v>219</v>
      </c>
      <c r="B162" s="40" t="s">
        <v>220</v>
      </c>
      <c r="C162" s="41" t="s">
        <v>90</v>
      </c>
      <c r="D162" s="41" t="s">
        <v>23</v>
      </c>
      <c r="E162" s="41"/>
      <c r="F162" s="36">
        <f t="shared" ref="F162:H163" si="16">F163</f>
        <v>100</v>
      </c>
      <c r="G162" s="36">
        <f t="shared" si="16"/>
        <v>0</v>
      </c>
      <c r="H162" s="37">
        <f t="shared" si="16"/>
        <v>0</v>
      </c>
      <c r="I162" s="67"/>
      <c r="J162" s="68"/>
      <c r="K162" s="68"/>
      <c r="L162" s="86"/>
      <c r="M162" s="86"/>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row>
    <row r="163" spans="1:36" s="69" customFormat="1" ht="27" customHeight="1" x14ac:dyDescent="0.2">
      <c r="A163" s="47" t="s">
        <v>221</v>
      </c>
      <c r="B163" s="40" t="s">
        <v>222</v>
      </c>
      <c r="C163" s="41" t="s">
        <v>90</v>
      </c>
      <c r="D163" s="41" t="s">
        <v>23</v>
      </c>
      <c r="E163" s="41"/>
      <c r="F163" s="36">
        <f t="shared" si="16"/>
        <v>100</v>
      </c>
      <c r="G163" s="36">
        <f t="shared" si="16"/>
        <v>0</v>
      </c>
      <c r="H163" s="37">
        <f t="shared" si="16"/>
        <v>0</v>
      </c>
      <c r="I163" s="67"/>
      <c r="J163" s="68"/>
      <c r="K163" s="68"/>
      <c r="L163" s="86"/>
      <c r="M163" s="86"/>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row>
    <row r="164" spans="1:36" s="69" customFormat="1" x14ac:dyDescent="0.2">
      <c r="A164" s="48" t="s">
        <v>93</v>
      </c>
      <c r="B164" s="40" t="s">
        <v>222</v>
      </c>
      <c r="C164" s="41" t="s">
        <v>90</v>
      </c>
      <c r="D164" s="41" t="s">
        <v>23</v>
      </c>
      <c r="E164" s="41" t="s">
        <v>34</v>
      </c>
      <c r="F164" s="36">
        <f>100</f>
        <v>100</v>
      </c>
      <c r="G164" s="36">
        <v>0</v>
      </c>
      <c r="H164" s="37">
        <v>0</v>
      </c>
      <c r="I164" s="67"/>
      <c r="J164" s="68"/>
      <c r="K164" s="68"/>
      <c r="L164" s="86"/>
      <c r="M164" s="86"/>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row>
    <row r="165" spans="1:36" s="58" customFormat="1" x14ac:dyDescent="0.2">
      <c r="A165" s="91" t="s">
        <v>38</v>
      </c>
      <c r="B165" s="40" t="s">
        <v>223</v>
      </c>
      <c r="C165" s="41"/>
      <c r="D165" s="41"/>
      <c r="E165" s="41"/>
      <c r="F165" s="36">
        <f>F166+F171+F184+F188+F192</f>
        <v>90692.7</v>
      </c>
      <c r="G165" s="36">
        <f>G166+G171+G184+G188+G192</f>
        <v>92876.800000000003</v>
      </c>
      <c r="H165" s="37">
        <f>H166+H171+H184+H188+H192</f>
        <v>92776.8</v>
      </c>
      <c r="I165" s="19"/>
      <c r="J165" s="20"/>
      <c r="K165" s="20"/>
      <c r="L165" s="21"/>
      <c r="M165" s="21"/>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row>
    <row r="166" spans="1:36" s="58" customFormat="1" ht="25.5" x14ac:dyDescent="0.2">
      <c r="A166" s="71" t="s">
        <v>224</v>
      </c>
      <c r="B166" s="40" t="s">
        <v>225</v>
      </c>
      <c r="C166" s="41"/>
      <c r="D166" s="41"/>
      <c r="E166" s="41"/>
      <c r="F166" s="36">
        <f>F167</f>
        <v>530</v>
      </c>
      <c r="G166" s="36">
        <f>G167</f>
        <v>504.9</v>
      </c>
      <c r="H166" s="37">
        <f>H167</f>
        <v>504.9</v>
      </c>
      <c r="I166" s="19"/>
      <c r="J166" s="20"/>
      <c r="K166" s="20"/>
      <c r="L166" s="21"/>
      <c r="M166" s="21"/>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row>
    <row r="167" spans="1:36" s="58" customFormat="1" x14ac:dyDescent="0.2">
      <c r="A167" s="43" t="s">
        <v>226</v>
      </c>
      <c r="B167" s="40" t="s">
        <v>227</v>
      </c>
      <c r="C167" s="41"/>
      <c r="D167" s="41"/>
      <c r="E167" s="41"/>
      <c r="F167" s="36">
        <f>F168+F169+F170</f>
        <v>530</v>
      </c>
      <c r="G167" s="36">
        <f>G168+G169+G170</f>
        <v>504.9</v>
      </c>
      <c r="H167" s="36">
        <f>H168+H169+H170</f>
        <v>504.9</v>
      </c>
      <c r="I167" s="19"/>
      <c r="J167" s="20"/>
      <c r="K167" s="20"/>
      <c r="L167" s="21"/>
      <c r="M167" s="21"/>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row>
    <row r="168" spans="1:36" s="58" customFormat="1" ht="25.5" x14ac:dyDescent="0.2">
      <c r="A168" s="39" t="s">
        <v>31</v>
      </c>
      <c r="B168" s="40" t="s">
        <v>227</v>
      </c>
      <c r="C168" s="41" t="s">
        <v>90</v>
      </c>
      <c r="D168" s="41" t="s">
        <v>23</v>
      </c>
      <c r="E168" s="41" t="s">
        <v>32</v>
      </c>
      <c r="F168" s="36">
        <v>320</v>
      </c>
      <c r="G168" s="36">
        <v>319.89999999999998</v>
      </c>
      <c r="H168" s="36">
        <v>319.89999999999998</v>
      </c>
      <c r="I168" s="19"/>
      <c r="J168" s="20"/>
      <c r="K168" s="20"/>
      <c r="L168" s="21"/>
      <c r="M168" s="21"/>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row>
    <row r="169" spans="1:36" s="69" customFormat="1" x14ac:dyDescent="0.2">
      <c r="A169" s="43" t="s">
        <v>93</v>
      </c>
      <c r="B169" s="40" t="s">
        <v>227</v>
      </c>
      <c r="C169" s="41" t="s">
        <v>90</v>
      </c>
      <c r="D169" s="41" t="s">
        <v>23</v>
      </c>
      <c r="E169" s="41" t="s">
        <v>34</v>
      </c>
      <c r="F169" s="36">
        <v>160</v>
      </c>
      <c r="G169" s="36">
        <v>135</v>
      </c>
      <c r="H169" s="37">
        <v>135</v>
      </c>
      <c r="I169" s="67"/>
      <c r="J169" s="68"/>
      <c r="K169" s="68"/>
      <c r="L169" s="86"/>
      <c r="M169" s="86"/>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row>
    <row r="170" spans="1:36" s="69" customFormat="1" x14ac:dyDescent="0.2">
      <c r="A170" s="85" t="s">
        <v>50</v>
      </c>
      <c r="B170" s="40" t="s">
        <v>227</v>
      </c>
      <c r="C170" s="41" t="s">
        <v>90</v>
      </c>
      <c r="D170" s="41" t="s">
        <v>23</v>
      </c>
      <c r="E170" s="41" t="s">
        <v>51</v>
      </c>
      <c r="F170" s="36">
        <v>50</v>
      </c>
      <c r="G170" s="36">
        <v>50</v>
      </c>
      <c r="H170" s="37">
        <v>50</v>
      </c>
      <c r="I170" s="67"/>
      <c r="J170" s="68"/>
      <c r="K170" s="68"/>
      <c r="L170" s="86"/>
      <c r="M170" s="86"/>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row>
    <row r="171" spans="1:36" s="69" customFormat="1" ht="25.5" x14ac:dyDescent="0.2">
      <c r="A171" s="71" t="s">
        <v>228</v>
      </c>
      <c r="B171" s="40" t="s">
        <v>229</v>
      </c>
      <c r="C171" s="41"/>
      <c r="D171" s="41"/>
      <c r="E171" s="41"/>
      <c r="F171" s="36">
        <f>F172+F179+F177</f>
        <v>74035.899999999994</v>
      </c>
      <c r="G171" s="36">
        <f>G172+G179+G177</f>
        <v>75625.100000000006</v>
      </c>
      <c r="H171" s="37">
        <f>H172+H179+H177</f>
        <v>75525.100000000006</v>
      </c>
      <c r="I171" s="67"/>
      <c r="J171" s="68"/>
      <c r="K171" s="68"/>
      <c r="L171" s="86"/>
      <c r="M171" s="86"/>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row>
    <row r="172" spans="1:36" s="69" customFormat="1" ht="25.5" x14ac:dyDescent="0.2">
      <c r="A172" s="71" t="s">
        <v>96</v>
      </c>
      <c r="B172" s="40" t="s">
        <v>230</v>
      </c>
      <c r="C172" s="41" t="s">
        <v>90</v>
      </c>
      <c r="D172" s="41" t="s">
        <v>23</v>
      </c>
      <c r="E172" s="41"/>
      <c r="F172" s="36">
        <f>F173+F174+F175+F176</f>
        <v>37503.800000000003</v>
      </c>
      <c r="G172" s="36">
        <f>G173+G174+G175+G176</f>
        <v>39038.600000000006</v>
      </c>
      <c r="H172" s="37">
        <f>H173+H174+H175+H176</f>
        <v>38938.600000000006</v>
      </c>
      <c r="I172" s="67"/>
      <c r="J172" s="92"/>
      <c r="K172" s="68"/>
      <c r="L172" s="86"/>
      <c r="M172" s="86"/>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row>
    <row r="173" spans="1:36" s="69" customFormat="1" x14ac:dyDescent="0.2">
      <c r="A173" s="39" t="s">
        <v>44</v>
      </c>
      <c r="B173" s="40" t="s">
        <v>230</v>
      </c>
      <c r="C173" s="41" t="s">
        <v>90</v>
      </c>
      <c r="D173" s="41" t="s">
        <v>23</v>
      </c>
      <c r="E173" s="41" t="s">
        <v>47</v>
      </c>
      <c r="F173" s="36">
        <v>45.2</v>
      </c>
      <c r="G173" s="36">
        <v>45.2</v>
      </c>
      <c r="H173" s="37">
        <v>45.2</v>
      </c>
      <c r="I173" s="67"/>
      <c r="J173" s="68"/>
      <c r="K173" s="68"/>
      <c r="L173" s="86"/>
      <c r="M173" s="86"/>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row>
    <row r="174" spans="1:36" s="69" customFormat="1" ht="25.5" x14ac:dyDescent="0.2">
      <c r="A174" s="39" t="s">
        <v>31</v>
      </c>
      <c r="B174" s="40" t="s">
        <v>230</v>
      </c>
      <c r="C174" s="41" t="s">
        <v>90</v>
      </c>
      <c r="D174" s="41" t="s">
        <v>23</v>
      </c>
      <c r="E174" s="41" t="s">
        <v>32</v>
      </c>
      <c r="F174" s="36">
        <v>3800</v>
      </c>
      <c r="G174" s="36">
        <v>3800</v>
      </c>
      <c r="H174" s="36">
        <v>3800</v>
      </c>
      <c r="I174" s="67"/>
      <c r="J174" s="92"/>
      <c r="K174" s="68"/>
      <c r="L174" s="86"/>
      <c r="M174" s="86"/>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row>
    <row r="175" spans="1:36" s="69" customFormat="1" x14ac:dyDescent="0.2">
      <c r="A175" s="43" t="s">
        <v>93</v>
      </c>
      <c r="B175" s="40" t="s">
        <v>230</v>
      </c>
      <c r="C175" s="41" t="s">
        <v>90</v>
      </c>
      <c r="D175" s="41" t="s">
        <v>23</v>
      </c>
      <c r="E175" s="41" t="s">
        <v>34</v>
      </c>
      <c r="F175" s="36">
        <f>6060.6-250+1154.5+1666.5</f>
        <v>8631.6</v>
      </c>
      <c r="G175" s="36">
        <f>5330+1154.5+1666.5</f>
        <v>8151</v>
      </c>
      <c r="H175" s="37">
        <f>5330+1154.5+1666.5</f>
        <v>8151</v>
      </c>
      <c r="I175" s="67"/>
      <c r="J175" s="68"/>
      <c r="K175" s="68"/>
      <c r="L175" s="86"/>
      <c r="M175" s="86"/>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row>
    <row r="176" spans="1:36" s="69" customFormat="1" x14ac:dyDescent="0.2">
      <c r="A176" s="85" t="s">
        <v>50</v>
      </c>
      <c r="B176" s="40" t="s">
        <v>230</v>
      </c>
      <c r="C176" s="41" t="s">
        <v>90</v>
      </c>
      <c r="D176" s="41" t="s">
        <v>23</v>
      </c>
      <c r="E176" s="41" t="s">
        <v>51</v>
      </c>
      <c r="F176" s="36">
        <f>26242.4+150+267.2-266-1300-66.6</f>
        <v>25027.000000000004</v>
      </c>
      <c r="G176" s="36">
        <f>26242.4+800</f>
        <v>27042.400000000001</v>
      </c>
      <c r="H176" s="36">
        <f>26242.4+700</f>
        <v>26942.400000000001</v>
      </c>
      <c r="I176" s="67"/>
      <c r="J176" s="68"/>
      <c r="K176" s="92"/>
      <c r="L176" s="86"/>
      <c r="M176" s="86"/>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row>
    <row r="177" spans="1:36" s="69" customFormat="1" x14ac:dyDescent="0.2">
      <c r="A177" s="39" t="s">
        <v>231</v>
      </c>
      <c r="B177" s="40" t="s">
        <v>232</v>
      </c>
      <c r="C177" s="41" t="s">
        <v>207</v>
      </c>
      <c r="D177" s="41" t="s">
        <v>46</v>
      </c>
      <c r="E177" s="41"/>
      <c r="F177" s="36">
        <f>F178</f>
        <v>6997.4</v>
      </c>
      <c r="G177" s="36">
        <f>G178</f>
        <v>6997.4</v>
      </c>
      <c r="H177" s="37">
        <f>H178</f>
        <v>6997.4</v>
      </c>
      <c r="I177" s="67"/>
      <c r="J177" s="68"/>
      <c r="K177" s="68"/>
      <c r="L177" s="86"/>
      <c r="M177" s="86"/>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row>
    <row r="178" spans="1:36" s="69" customFormat="1" x14ac:dyDescent="0.2">
      <c r="A178" s="43" t="s">
        <v>93</v>
      </c>
      <c r="B178" s="40" t="s">
        <v>232</v>
      </c>
      <c r="C178" s="41" t="s">
        <v>207</v>
      </c>
      <c r="D178" s="41" t="s">
        <v>46</v>
      </c>
      <c r="E178" s="41" t="s">
        <v>34</v>
      </c>
      <c r="F178" s="36">
        <v>6997.4</v>
      </c>
      <c r="G178" s="36">
        <v>6997.4</v>
      </c>
      <c r="H178" s="36">
        <v>6997.4</v>
      </c>
      <c r="I178" s="67"/>
      <c r="J178" s="68"/>
      <c r="K178" s="68"/>
      <c r="L178" s="86"/>
      <c r="M178" s="86"/>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row>
    <row r="179" spans="1:36" s="69" customFormat="1" ht="25.5" x14ac:dyDescent="0.2">
      <c r="A179" s="48" t="s">
        <v>167</v>
      </c>
      <c r="B179" s="40" t="s">
        <v>233</v>
      </c>
      <c r="C179" s="41"/>
      <c r="D179" s="41"/>
      <c r="E179" s="41"/>
      <c r="F179" s="36">
        <f>F181+F182+F183+F180</f>
        <v>29534.7</v>
      </c>
      <c r="G179" s="36">
        <f>G181+G182+G183+G180</f>
        <v>29589.1</v>
      </c>
      <c r="H179" s="37">
        <f>H181+H182+H183+H180</f>
        <v>29589.1</v>
      </c>
      <c r="I179" s="67"/>
      <c r="J179" s="68"/>
      <c r="K179" s="68"/>
      <c r="L179" s="86"/>
      <c r="M179" s="86"/>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row>
    <row r="180" spans="1:36" s="69" customFormat="1" hidden="1" x14ac:dyDescent="0.2">
      <c r="A180" s="43" t="s">
        <v>93</v>
      </c>
      <c r="B180" s="40" t="s">
        <v>233</v>
      </c>
      <c r="C180" s="41" t="s">
        <v>207</v>
      </c>
      <c r="D180" s="41" t="s">
        <v>46</v>
      </c>
      <c r="E180" s="41" t="s">
        <v>34</v>
      </c>
      <c r="F180" s="36"/>
      <c r="G180" s="36"/>
      <c r="H180" s="37"/>
      <c r="I180" s="67"/>
      <c r="J180" s="68"/>
      <c r="K180" s="68"/>
      <c r="L180" s="86"/>
      <c r="M180" s="86"/>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row>
    <row r="181" spans="1:36" s="69" customFormat="1" x14ac:dyDescent="0.2">
      <c r="A181" s="39" t="s">
        <v>44</v>
      </c>
      <c r="B181" s="40" t="s">
        <v>233</v>
      </c>
      <c r="C181" s="41" t="s">
        <v>90</v>
      </c>
      <c r="D181" s="41" t="s">
        <v>23</v>
      </c>
      <c r="E181" s="41" t="s">
        <v>47</v>
      </c>
      <c r="F181" s="36">
        <f>16192-1300</f>
        <v>14892</v>
      </c>
      <c r="G181" s="36">
        <v>16192</v>
      </c>
      <c r="H181" s="37">
        <v>16192</v>
      </c>
      <c r="I181" s="93"/>
      <c r="J181" s="68"/>
      <c r="K181" s="68"/>
      <c r="L181" s="86"/>
      <c r="M181" s="86"/>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row>
    <row r="182" spans="1:36" s="69" customFormat="1" x14ac:dyDescent="0.2">
      <c r="A182" s="43" t="s">
        <v>93</v>
      </c>
      <c r="B182" s="40" t="s">
        <v>233</v>
      </c>
      <c r="C182" s="41" t="s">
        <v>90</v>
      </c>
      <c r="D182" s="41" t="s">
        <v>23</v>
      </c>
      <c r="E182" s="41" t="s">
        <v>34</v>
      </c>
      <c r="F182" s="36">
        <f>9122.2+4939.3-718.8</f>
        <v>13342.7</v>
      </c>
      <c r="G182" s="36">
        <f>9122.2+4939.3+54.4-718.8</f>
        <v>13397.1</v>
      </c>
      <c r="H182" s="37">
        <f>9122.2+4939.3+54.4-718.8</f>
        <v>13397.1</v>
      </c>
      <c r="I182" s="93"/>
      <c r="J182" s="68"/>
      <c r="K182" s="68"/>
      <c r="L182" s="86"/>
      <c r="M182" s="86"/>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row>
    <row r="183" spans="1:36" s="69" customFormat="1" x14ac:dyDescent="0.2">
      <c r="A183" s="85" t="s">
        <v>50</v>
      </c>
      <c r="B183" s="40" t="s">
        <v>233</v>
      </c>
      <c r="C183" s="41" t="s">
        <v>90</v>
      </c>
      <c r="D183" s="41" t="s">
        <v>23</v>
      </c>
      <c r="E183" s="41" t="s">
        <v>51</v>
      </c>
      <c r="F183" s="36">
        <v>1300</v>
      </c>
      <c r="G183" s="36">
        <v>0</v>
      </c>
      <c r="H183" s="37">
        <v>0</v>
      </c>
      <c r="I183" s="67"/>
      <c r="J183" s="68"/>
      <c r="K183" s="68"/>
      <c r="L183" s="86"/>
      <c r="M183" s="86"/>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row>
    <row r="184" spans="1:36" s="69" customFormat="1" ht="25.5" x14ac:dyDescent="0.2">
      <c r="A184" s="71" t="s">
        <v>234</v>
      </c>
      <c r="B184" s="40" t="s">
        <v>235</v>
      </c>
      <c r="C184" s="41"/>
      <c r="D184" s="41"/>
      <c r="E184" s="41"/>
      <c r="F184" s="36">
        <f>F185</f>
        <v>240</v>
      </c>
      <c r="G184" s="36">
        <f>G185</f>
        <v>840</v>
      </c>
      <c r="H184" s="37">
        <f>H185</f>
        <v>840</v>
      </c>
      <c r="I184" s="67"/>
      <c r="J184" s="68"/>
      <c r="K184" s="68"/>
      <c r="L184" s="86"/>
      <c r="M184" s="86"/>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row>
    <row r="185" spans="1:36" s="69" customFormat="1" x14ac:dyDescent="0.2">
      <c r="A185" s="71" t="s">
        <v>201</v>
      </c>
      <c r="B185" s="40" t="s">
        <v>236</v>
      </c>
      <c r="C185" s="41" t="s">
        <v>23</v>
      </c>
      <c r="D185" s="41" t="s">
        <v>24</v>
      </c>
      <c r="E185" s="41"/>
      <c r="F185" s="36">
        <f>F186+F187</f>
        <v>240</v>
      </c>
      <c r="G185" s="36">
        <f>G186+G187</f>
        <v>840</v>
      </c>
      <c r="H185" s="36">
        <f>H186+H187</f>
        <v>840</v>
      </c>
      <c r="I185" s="67"/>
      <c r="J185" s="68"/>
      <c r="K185" s="68"/>
      <c r="L185" s="86"/>
      <c r="M185" s="86"/>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row>
    <row r="186" spans="1:36" s="69" customFormat="1" x14ac:dyDescent="0.2">
      <c r="A186" s="48" t="s">
        <v>93</v>
      </c>
      <c r="B186" s="40" t="s">
        <v>236</v>
      </c>
      <c r="C186" s="41" t="s">
        <v>23</v>
      </c>
      <c r="D186" s="41" t="s">
        <v>24</v>
      </c>
      <c r="E186" s="41" t="s">
        <v>34</v>
      </c>
      <c r="F186" s="36">
        <f>340-200</f>
        <v>140</v>
      </c>
      <c r="G186" s="36">
        <v>340</v>
      </c>
      <c r="H186" s="37">
        <v>340</v>
      </c>
      <c r="I186" s="67"/>
      <c r="J186" s="68"/>
      <c r="K186" s="68"/>
      <c r="L186" s="86"/>
      <c r="M186" s="86"/>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row>
    <row r="187" spans="1:36" s="69" customFormat="1" x14ac:dyDescent="0.2">
      <c r="A187" s="85" t="s">
        <v>50</v>
      </c>
      <c r="B187" s="40" t="s">
        <v>236</v>
      </c>
      <c r="C187" s="41" t="s">
        <v>23</v>
      </c>
      <c r="D187" s="41" t="s">
        <v>24</v>
      </c>
      <c r="E187" s="41" t="s">
        <v>51</v>
      </c>
      <c r="F187" s="36">
        <f>500-500+100</f>
        <v>100</v>
      </c>
      <c r="G187" s="36">
        <v>500</v>
      </c>
      <c r="H187" s="37">
        <v>500</v>
      </c>
      <c r="I187" s="67"/>
      <c r="J187" s="68"/>
      <c r="K187" s="68"/>
      <c r="L187" s="86"/>
      <c r="M187" s="86"/>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row>
    <row r="188" spans="1:36" s="69" customFormat="1" ht="25.5" x14ac:dyDescent="0.2">
      <c r="A188" s="48" t="s">
        <v>237</v>
      </c>
      <c r="B188" s="40" t="s">
        <v>238</v>
      </c>
      <c r="C188" s="41" t="s">
        <v>207</v>
      </c>
      <c r="D188" s="41" t="s">
        <v>207</v>
      </c>
      <c r="E188" s="41"/>
      <c r="F188" s="36">
        <f>F189</f>
        <v>385</v>
      </c>
      <c r="G188" s="36">
        <f>G189</f>
        <v>385</v>
      </c>
      <c r="H188" s="37">
        <f>H189</f>
        <v>385</v>
      </c>
      <c r="I188" s="67"/>
      <c r="J188" s="68"/>
      <c r="K188" s="68"/>
      <c r="L188" s="86"/>
      <c r="M188" s="86"/>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row>
    <row r="189" spans="1:36" s="69" customFormat="1" x14ac:dyDescent="0.2">
      <c r="A189" s="47" t="s">
        <v>239</v>
      </c>
      <c r="B189" s="40" t="s">
        <v>240</v>
      </c>
      <c r="C189" s="41" t="s">
        <v>207</v>
      </c>
      <c r="D189" s="41" t="s">
        <v>207</v>
      </c>
      <c r="E189" s="41"/>
      <c r="F189" s="36">
        <f>F190+F191</f>
        <v>385</v>
      </c>
      <c r="G189" s="36">
        <f>G190+G191</f>
        <v>385</v>
      </c>
      <c r="H189" s="37">
        <f>H190+H191</f>
        <v>385</v>
      </c>
      <c r="I189" s="67"/>
      <c r="J189" s="68"/>
      <c r="K189" s="68"/>
      <c r="L189" s="86"/>
      <c r="M189" s="86"/>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row>
    <row r="190" spans="1:36" s="69" customFormat="1" x14ac:dyDescent="0.2">
      <c r="A190" s="47" t="s">
        <v>69</v>
      </c>
      <c r="B190" s="40" t="s">
        <v>240</v>
      </c>
      <c r="C190" s="41" t="s">
        <v>207</v>
      </c>
      <c r="D190" s="41" t="s">
        <v>207</v>
      </c>
      <c r="E190" s="41" t="s">
        <v>70</v>
      </c>
      <c r="F190" s="36">
        <v>90</v>
      </c>
      <c r="G190" s="36">
        <v>90</v>
      </c>
      <c r="H190" s="37">
        <v>90</v>
      </c>
      <c r="I190" s="67"/>
      <c r="J190" s="68"/>
      <c r="K190" s="68"/>
      <c r="L190" s="86"/>
      <c r="M190" s="86"/>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row>
    <row r="191" spans="1:36" s="69" customFormat="1" ht="25.5" x14ac:dyDescent="0.2">
      <c r="A191" s="47" t="s">
        <v>31</v>
      </c>
      <c r="B191" s="40" t="s">
        <v>240</v>
      </c>
      <c r="C191" s="41" t="s">
        <v>207</v>
      </c>
      <c r="D191" s="41" t="s">
        <v>207</v>
      </c>
      <c r="E191" s="41" t="s">
        <v>32</v>
      </c>
      <c r="F191" s="36">
        <v>295</v>
      </c>
      <c r="G191" s="36">
        <v>295</v>
      </c>
      <c r="H191" s="37">
        <v>295</v>
      </c>
      <c r="I191" s="67"/>
      <c r="J191" s="68"/>
      <c r="K191" s="68"/>
      <c r="L191" s="86"/>
      <c r="M191" s="86"/>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row>
    <row r="192" spans="1:36" s="69" customFormat="1" ht="25.5" x14ac:dyDescent="0.2">
      <c r="A192" s="48" t="s">
        <v>241</v>
      </c>
      <c r="B192" s="40" t="s">
        <v>242</v>
      </c>
      <c r="C192" s="41"/>
      <c r="D192" s="41"/>
      <c r="E192" s="41"/>
      <c r="F192" s="36">
        <f>F193+F197+F195</f>
        <v>15501.8</v>
      </c>
      <c r="G192" s="36">
        <f>G193+G197+G195</f>
        <v>15521.8</v>
      </c>
      <c r="H192" s="37">
        <f>H193+H197+H195</f>
        <v>15521.8</v>
      </c>
      <c r="I192" s="67"/>
      <c r="J192" s="68"/>
      <c r="K192" s="68"/>
      <c r="L192" s="86"/>
      <c r="M192" s="86"/>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row>
    <row r="193" spans="1:36" s="69" customFormat="1" ht="25.5" x14ac:dyDescent="0.2">
      <c r="A193" s="94" t="s">
        <v>243</v>
      </c>
      <c r="B193" s="40" t="s">
        <v>244</v>
      </c>
      <c r="C193" s="41" t="s">
        <v>212</v>
      </c>
      <c r="D193" s="41" t="s">
        <v>23</v>
      </c>
      <c r="E193" s="41"/>
      <c r="F193" s="36">
        <f>F194</f>
        <v>5134.5</v>
      </c>
      <c r="G193" s="36">
        <f>G194</f>
        <v>5134.5</v>
      </c>
      <c r="H193" s="37">
        <f>H194</f>
        <v>5134.5</v>
      </c>
      <c r="I193" s="67"/>
      <c r="J193" s="68"/>
      <c r="K193" s="68"/>
      <c r="L193" s="86"/>
      <c r="M193" s="86"/>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row>
    <row r="194" spans="1:36" s="69" customFormat="1" x14ac:dyDescent="0.2">
      <c r="A194" s="94" t="s">
        <v>245</v>
      </c>
      <c r="B194" s="40" t="s">
        <v>244</v>
      </c>
      <c r="C194" s="41" t="s">
        <v>212</v>
      </c>
      <c r="D194" s="41" t="s">
        <v>23</v>
      </c>
      <c r="E194" s="41" t="s">
        <v>51</v>
      </c>
      <c r="F194" s="36">
        <v>5134.5</v>
      </c>
      <c r="G194" s="36">
        <v>5134.5</v>
      </c>
      <c r="H194" s="37">
        <v>5134.5</v>
      </c>
      <c r="I194" s="67"/>
      <c r="J194" s="68"/>
      <c r="K194" s="68"/>
      <c r="L194" s="86"/>
      <c r="M194" s="86"/>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row>
    <row r="195" spans="1:36" s="69" customFormat="1" ht="25.5" x14ac:dyDescent="0.2">
      <c r="A195" s="48" t="s">
        <v>167</v>
      </c>
      <c r="B195" s="40" t="s">
        <v>246</v>
      </c>
      <c r="C195" s="41" t="s">
        <v>212</v>
      </c>
      <c r="D195" s="41" t="s">
        <v>23</v>
      </c>
      <c r="E195" s="41"/>
      <c r="F195" s="36">
        <f>F196</f>
        <v>9735.2999999999993</v>
      </c>
      <c r="G195" s="36">
        <f>G196</f>
        <v>9735.2999999999993</v>
      </c>
      <c r="H195" s="37">
        <f>H196</f>
        <v>9735.2999999999993</v>
      </c>
      <c r="I195" s="67"/>
      <c r="J195" s="68"/>
      <c r="K195" s="68"/>
      <c r="L195" s="86"/>
      <c r="M195" s="86"/>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row>
    <row r="196" spans="1:36" s="69" customFormat="1" x14ac:dyDescent="0.2">
      <c r="A196" s="85" t="s">
        <v>50</v>
      </c>
      <c r="B196" s="40" t="s">
        <v>246</v>
      </c>
      <c r="C196" s="41" t="s">
        <v>212</v>
      </c>
      <c r="D196" s="41" t="s">
        <v>23</v>
      </c>
      <c r="E196" s="41" t="s">
        <v>51</v>
      </c>
      <c r="F196" s="36">
        <f>8966.5+50+718.8</f>
        <v>9735.2999999999993</v>
      </c>
      <c r="G196" s="36">
        <f>8966.5+50+718.8</f>
        <v>9735.2999999999993</v>
      </c>
      <c r="H196" s="37">
        <f>8966.5+50+718.8</f>
        <v>9735.2999999999993</v>
      </c>
      <c r="I196" s="67"/>
      <c r="J196" s="68"/>
      <c r="K196" s="68"/>
      <c r="L196" s="86"/>
      <c r="M196" s="86"/>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row>
    <row r="197" spans="1:36" s="69" customFormat="1" x14ac:dyDescent="0.2">
      <c r="A197" s="44" t="s">
        <v>247</v>
      </c>
      <c r="B197" s="40" t="s">
        <v>248</v>
      </c>
      <c r="C197" s="41" t="s">
        <v>212</v>
      </c>
      <c r="D197" s="41" t="s">
        <v>23</v>
      </c>
      <c r="E197" s="41"/>
      <c r="F197" s="36">
        <f>F198+F199+F200+F201</f>
        <v>632</v>
      </c>
      <c r="G197" s="36">
        <f>G198+G199+G200+G201</f>
        <v>652</v>
      </c>
      <c r="H197" s="36">
        <f>H198+H199+H200+H201</f>
        <v>652</v>
      </c>
      <c r="I197" s="67"/>
      <c r="J197" s="68"/>
      <c r="K197" s="68"/>
      <c r="L197" s="86"/>
      <c r="M197" s="86"/>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row>
    <row r="198" spans="1:36" s="69" customFormat="1" x14ac:dyDescent="0.2">
      <c r="A198" s="95" t="s">
        <v>69</v>
      </c>
      <c r="B198" s="40" t="s">
        <v>248</v>
      </c>
      <c r="C198" s="41" t="s">
        <v>212</v>
      </c>
      <c r="D198" s="41" t="s">
        <v>23</v>
      </c>
      <c r="E198" s="41" t="s">
        <v>70</v>
      </c>
      <c r="F198" s="36">
        <v>50</v>
      </c>
      <c r="G198" s="36">
        <v>50</v>
      </c>
      <c r="H198" s="37">
        <v>50</v>
      </c>
      <c r="I198" s="67"/>
      <c r="J198" s="68"/>
      <c r="K198" s="68"/>
      <c r="L198" s="86"/>
      <c r="M198" s="86"/>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row>
    <row r="199" spans="1:36" s="69" customFormat="1" ht="25.5" x14ac:dyDescent="0.2">
      <c r="A199" s="47" t="s">
        <v>31</v>
      </c>
      <c r="B199" s="40" t="s">
        <v>248</v>
      </c>
      <c r="C199" s="41" t="s">
        <v>212</v>
      </c>
      <c r="D199" s="41" t="s">
        <v>23</v>
      </c>
      <c r="E199" s="41" t="s">
        <v>32</v>
      </c>
      <c r="F199" s="36">
        <v>522</v>
      </c>
      <c r="G199" s="36">
        <v>602</v>
      </c>
      <c r="H199" s="37">
        <v>602</v>
      </c>
      <c r="I199" s="67"/>
      <c r="J199" s="68"/>
      <c r="K199" s="68"/>
      <c r="L199" s="86"/>
      <c r="M199" s="86"/>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row>
    <row r="200" spans="1:36" s="69" customFormat="1" x14ac:dyDescent="0.2">
      <c r="A200" s="48" t="s">
        <v>93</v>
      </c>
      <c r="B200" s="40" t="s">
        <v>248</v>
      </c>
      <c r="C200" s="41" t="s">
        <v>212</v>
      </c>
      <c r="D200" s="41" t="s">
        <v>23</v>
      </c>
      <c r="E200" s="41" t="s">
        <v>34</v>
      </c>
      <c r="F200" s="36">
        <v>60</v>
      </c>
      <c r="G200" s="36">
        <v>0</v>
      </c>
      <c r="H200" s="37">
        <v>0</v>
      </c>
      <c r="I200" s="67"/>
      <c r="J200" s="68"/>
      <c r="K200" s="68"/>
      <c r="L200" s="86"/>
      <c r="M200" s="86"/>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row>
    <row r="201" spans="1:36" s="69" customFormat="1" hidden="1" x14ac:dyDescent="0.2">
      <c r="A201" s="85" t="s">
        <v>50</v>
      </c>
      <c r="B201" s="40" t="s">
        <v>248</v>
      </c>
      <c r="C201" s="41" t="s">
        <v>212</v>
      </c>
      <c r="D201" s="41" t="s">
        <v>23</v>
      </c>
      <c r="E201" s="41" t="s">
        <v>51</v>
      </c>
      <c r="F201" s="36">
        <v>0</v>
      </c>
      <c r="G201" s="36">
        <v>0</v>
      </c>
      <c r="H201" s="37">
        <v>0</v>
      </c>
      <c r="I201" s="67"/>
      <c r="J201" s="68"/>
      <c r="K201" s="68"/>
      <c r="L201" s="86"/>
      <c r="M201" s="86"/>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row>
    <row r="202" spans="1:36" s="58" customFormat="1" ht="16.5" customHeight="1" x14ac:dyDescent="0.2">
      <c r="A202" s="156" t="s">
        <v>249</v>
      </c>
      <c r="B202" s="157" t="s">
        <v>250</v>
      </c>
      <c r="C202" s="158"/>
      <c r="D202" s="158"/>
      <c r="E202" s="158"/>
      <c r="F202" s="159">
        <f>F203+F214+F233</f>
        <v>341799.1</v>
      </c>
      <c r="G202" s="159">
        <f>G203+G214+G233</f>
        <v>327130.89999999997</v>
      </c>
      <c r="H202" s="160">
        <f>H203+H214+H233</f>
        <v>316304.2</v>
      </c>
      <c r="I202" s="19"/>
      <c r="J202" s="20"/>
      <c r="K202" s="20"/>
      <c r="L202" s="21"/>
      <c r="M202" s="21"/>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row>
    <row r="203" spans="1:36" s="58" customFormat="1" x14ac:dyDescent="0.2">
      <c r="A203" s="96" t="s">
        <v>251</v>
      </c>
      <c r="B203" s="34" t="s">
        <v>252</v>
      </c>
      <c r="C203" s="35"/>
      <c r="D203" s="35"/>
      <c r="E203" s="35"/>
      <c r="F203" s="36">
        <f>F204+F211</f>
        <v>17162.599999999999</v>
      </c>
      <c r="G203" s="36">
        <f>G204+G211</f>
        <v>9212.1999999999989</v>
      </c>
      <c r="H203" s="37">
        <f>H204+H211</f>
        <v>330.5</v>
      </c>
      <c r="I203" s="19"/>
      <c r="J203" s="20"/>
      <c r="K203" s="20"/>
      <c r="L203" s="21"/>
      <c r="M203" s="21"/>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row>
    <row r="204" spans="1:36" s="58" customFormat="1" ht="25.5" x14ac:dyDescent="0.2">
      <c r="A204" s="96" t="s">
        <v>253</v>
      </c>
      <c r="B204" s="34" t="s">
        <v>254</v>
      </c>
      <c r="C204" s="35"/>
      <c r="D204" s="35"/>
      <c r="E204" s="35"/>
      <c r="F204" s="36">
        <f>F205+F207+F209</f>
        <v>17131.3</v>
      </c>
      <c r="G204" s="36">
        <f>G205+G207+G209</f>
        <v>8881.6999999999989</v>
      </c>
      <c r="H204" s="37">
        <f>H205+H207+H209</f>
        <v>0</v>
      </c>
      <c r="I204" s="59"/>
      <c r="J204" s="20"/>
      <c r="K204" s="20"/>
      <c r="L204" s="21"/>
      <c r="M204" s="21"/>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row>
    <row r="205" spans="1:36" x14ac:dyDescent="0.2">
      <c r="A205" s="96" t="s">
        <v>255</v>
      </c>
      <c r="B205" s="34" t="s">
        <v>256</v>
      </c>
      <c r="C205" s="35" t="s">
        <v>207</v>
      </c>
      <c r="D205" s="35" t="s">
        <v>163</v>
      </c>
      <c r="E205" s="35"/>
      <c r="F205" s="36">
        <f>F206</f>
        <v>12297</v>
      </c>
      <c r="G205" s="36">
        <f>G206</f>
        <v>4303.8999999999996</v>
      </c>
      <c r="H205" s="37">
        <f>H206</f>
        <v>0</v>
      </c>
      <c r="I205" s="59"/>
      <c r="J205" s="60"/>
      <c r="K205" s="60"/>
    </row>
    <row r="206" spans="1:36" x14ac:dyDescent="0.2">
      <c r="A206" s="97" t="s">
        <v>33</v>
      </c>
      <c r="B206" s="34" t="s">
        <v>256</v>
      </c>
      <c r="C206" s="35" t="s">
        <v>207</v>
      </c>
      <c r="D206" s="35" t="s">
        <v>163</v>
      </c>
      <c r="E206" s="35" t="s">
        <v>34</v>
      </c>
      <c r="F206" s="36">
        <f>12294.5+2.5</f>
        <v>12297</v>
      </c>
      <c r="G206" s="36">
        <f>4303+0.9</f>
        <v>4303.8999999999996</v>
      </c>
      <c r="H206" s="37">
        <v>0</v>
      </c>
      <c r="I206" s="59"/>
    </row>
    <row r="207" spans="1:36" ht="51" x14ac:dyDescent="0.2">
      <c r="A207" s="96" t="s">
        <v>257</v>
      </c>
      <c r="B207" s="34" t="s">
        <v>258</v>
      </c>
      <c r="C207" s="35" t="s">
        <v>207</v>
      </c>
      <c r="D207" s="35" t="s">
        <v>163</v>
      </c>
      <c r="E207" s="35"/>
      <c r="F207" s="36">
        <f>F208</f>
        <v>2833.9</v>
      </c>
      <c r="G207" s="36">
        <f>G208</f>
        <v>4577.7999999999993</v>
      </c>
      <c r="H207" s="37">
        <f>H208</f>
        <v>0</v>
      </c>
      <c r="L207" s="79"/>
    </row>
    <row r="208" spans="1:36" s="21" customFormat="1" x14ac:dyDescent="0.2">
      <c r="A208" s="97" t="s">
        <v>33</v>
      </c>
      <c r="B208" s="34" t="s">
        <v>258</v>
      </c>
      <c r="C208" s="35" t="s">
        <v>207</v>
      </c>
      <c r="D208" s="35" t="s">
        <v>163</v>
      </c>
      <c r="E208" s="35" t="s">
        <v>34</v>
      </c>
      <c r="F208" s="36">
        <f>2833.3+0.6</f>
        <v>2833.9</v>
      </c>
      <c r="G208" s="36">
        <f>4576.9+0.9</f>
        <v>4577.7999999999993</v>
      </c>
      <c r="H208" s="37">
        <v>0</v>
      </c>
      <c r="I208" s="19"/>
      <c r="J208" s="20"/>
      <c r="K208" s="20"/>
    </row>
    <row r="209" spans="1:11" s="21" customFormat="1" ht="63.75" x14ac:dyDescent="0.2">
      <c r="A209" s="98" t="s">
        <v>259</v>
      </c>
      <c r="B209" s="34" t="s">
        <v>260</v>
      </c>
      <c r="C209" s="35" t="s">
        <v>207</v>
      </c>
      <c r="D209" s="35" t="s">
        <v>163</v>
      </c>
      <c r="E209" s="35"/>
      <c r="F209" s="36">
        <f>F210</f>
        <v>2000.4</v>
      </c>
      <c r="G209" s="36">
        <f>G210</f>
        <v>0</v>
      </c>
      <c r="H209" s="37">
        <f>H210</f>
        <v>0</v>
      </c>
      <c r="I209" s="19"/>
      <c r="J209" s="20"/>
      <c r="K209" s="20"/>
    </row>
    <row r="210" spans="1:11" s="21" customFormat="1" x14ac:dyDescent="0.2">
      <c r="A210" s="99" t="s">
        <v>33</v>
      </c>
      <c r="B210" s="34" t="s">
        <v>260</v>
      </c>
      <c r="C210" s="35" t="s">
        <v>207</v>
      </c>
      <c r="D210" s="35" t="s">
        <v>163</v>
      </c>
      <c r="E210" s="35" t="s">
        <v>34</v>
      </c>
      <c r="F210" s="36">
        <f>2000+0.4</f>
        <v>2000.4</v>
      </c>
      <c r="G210" s="36">
        <v>0</v>
      </c>
      <c r="H210" s="37">
        <v>0</v>
      </c>
      <c r="I210" s="19"/>
      <c r="J210" s="20"/>
      <c r="K210" s="20"/>
    </row>
    <row r="211" spans="1:11" s="21" customFormat="1" x14ac:dyDescent="0.2">
      <c r="A211" s="99" t="s">
        <v>261</v>
      </c>
      <c r="B211" s="34" t="s">
        <v>262</v>
      </c>
      <c r="C211" s="35"/>
      <c r="D211" s="35"/>
      <c r="E211" s="35"/>
      <c r="F211" s="36">
        <f t="shared" ref="F211:H212" si="17">F212</f>
        <v>31.3</v>
      </c>
      <c r="G211" s="36">
        <f t="shared" si="17"/>
        <v>330.5</v>
      </c>
      <c r="H211" s="37">
        <f t="shared" si="17"/>
        <v>330.5</v>
      </c>
      <c r="I211" s="19"/>
      <c r="J211" s="20"/>
      <c r="K211" s="20"/>
    </row>
    <row r="212" spans="1:11" s="21" customFormat="1" ht="38.25" x14ac:dyDescent="0.2">
      <c r="A212" s="99" t="s">
        <v>263</v>
      </c>
      <c r="B212" s="34" t="s">
        <v>264</v>
      </c>
      <c r="C212" s="35" t="s">
        <v>207</v>
      </c>
      <c r="D212" s="35" t="s">
        <v>163</v>
      </c>
      <c r="E212" s="35"/>
      <c r="F212" s="36">
        <f t="shared" si="17"/>
        <v>31.3</v>
      </c>
      <c r="G212" s="36">
        <f t="shared" si="17"/>
        <v>330.5</v>
      </c>
      <c r="H212" s="37">
        <f t="shared" si="17"/>
        <v>330.5</v>
      </c>
      <c r="I212" s="19"/>
      <c r="J212" s="20"/>
      <c r="K212" s="20"/>
    </row>
    <row r="213" spans="1:11" s="21" customFormat="1" x14ac:dyDescent="0.2">
      <c r="A213" s="99" t="s">
        <v>33</v>
      </c>
      <c r="B213" s="34" t="s">
        <v>264</v>
      </c>
      <c r="C213" s="35" t="s">
        <v>207</v>
      </c>
      <c r="D213" s="35" t="s">
        <v>163</v>
      </c>
      <c r="E213" s="35" t="s">
        <v>34</v>
      </c>
      <c r="F213" s="36">
        <v>31.3</v>
      </c>
      <c r="G213" s="36">
        <v>330.5</v>
      </c>
      <c r="H213" s="37">
        <v>330.5</v>
      </c>
      <c r="I213" s="19"/>
      <c r="J213" s="20"/>
      <c r="K213" s="20"/>
    </row>
    <row r="214" spans="1:11" s="21" customFormat="1" x14ac:dyDescent="0.2">
      <c r="A214" s="100" t="s">
        <v>17</v>
      </c>
      <c r="B214" s="34" t="s">
        <v>265</v>
      </c>
      <c r="C214" s="35" t="s">
        <v>207</v>
      </c>
      <c r="D214" s="35" t="s">
        <v>163</v>
      </c>
      <c r="E214" s="35"/>
      <c r="F214" s="36">
        <f>F215+F230</f>
        <v>12830.4</v>
      </c>
      <c r="G214" s="36">
        <f>G215+G230</f>
        <v>10218.400000000001</v>
      </c>
      <c r="H214" s="37">
        <f>H215+H230</f>
        <v>8273.4</v>
      </c>
      <c r="I214" s="19"/>
      <c r="J214" s="20"/>
      <c r="K214" s="20"/>
    </row>
    <row r="215" spans="1:11" s="21" customFormat="1" ht="25.5" x14ac:dyDescent="0.2">
      <c r="A215" s="45" t="s">
        <v>266</v>
      </c>
      <c r="B215" s="34" t="s">
        <v>267</v>
      </c>
      <c r="C215" s="35"/>
      <c r="D215" s="35"/>
      <c r="E215" s="35"/>
      <c r="F215" s="36">
        <f>F218+F226+F216+F222+F224+F228+F220</f>
        <v>11691.199999999999</v>
      </c>
      <c r="G215" s="36">
        <f>G218+G226+G216+G222+G224+G228+G220</f>
        <v>9079.2000000000007</v>
      </c>
      <c r="H215" s="37">
        <f>H218+H226+H216+H222+H224+H228+H220</f>
        <v>7134.2</v>
      </c>
      <c r="I215" s="19"/>
      <c r="J215" s="20"/>
      <c r="K215" s="20"/>
    </row>
    <row r="216" spans="1:11" s="21" customFormat="1" x14ac:dyDescent="0.2">
      <c r="A216" s="101" t="s">
        <v>268</v>
      </c>
      <c r="B216" s="34" t="s">
        <v>269</v>
      </c>
      <c r="C216" s="35" t="s">
        <v>207</v>
      </c>
      <c r="D216" s="35" t="s">
        <v>163</v>
      </c>
      <c r="E216" s="35"/>
      <c r="F216" s="36">
        <f>F217</f>
        <v>1000.2</v>
      </c>
      <c r="G216" s="36">
        <f>G217</f>
        <v>0</v>
      </c>
      <c r="H216" s="37">
        <f>H217</f>
        <v>0</v>
      </c>
      <c r="I216" s="19"/>
      <c r="J216" s="20"/>
      <c r="K216" s="20"/>
    </row>
    <row r="217" spans="1:11" s="21" customFormat="1" x14ac:dyDescent="0.2">
      <c r="A217" s="102" t="s">
        <v>33</v>
      </c>
      <c r="B217" s="103" t="s">
        <v>269</v>
      </c>
      <c r="C217" s="104" t="s">
        <v>207</v>
      </c>
      <c r="D217" s="104" t="s">
        <v>163</v>
      </c>
      <c r="E217" s="104" t="s">
        <v>34</v>
      </c>
      <c r="F217" s="105">
        <f>1000+0.2</f>
        <v>1000.2</v>
      </c>
      <c r="G217" s="105">
        <v>0</v>
      </c>
      <c r="H217" s="106">
        <v>0</v>
      </c>
      <c r="I217" s="19"/>
      <c r="J217" s="20"/>
      <c r="K217" s="20"/>
    </row>
    <row r="218" spans="1:11" s="21" customFormat="1" ht="25.5" x14ac:dyDescent="0.2">
      <c r="A218" s="100" t="s">
        <v>270</v>
      </c>
      <c r="B218" s="34" t="s">
        <v>271</v>
      </c>
      <c r="C218" s="35" t="s">
        <v>207</v>
      </c>
      <c r="D218" s="35" t="s">
        <v>163</v>
      </c>
      <c r="E218" s="35"/>
      <c r="F218" s="36">
        <f>F219</f>
        <v>4592.7999999999993</v>
      </c>
      <c r="G218" s="36">
        <f>G219</f>
        <v>5561.3</v>
      </c>
      <c r="H218" s="37">
        <f>H219</f>
        <v>3616.2999999999997</v>
      </c>
      <c r="I218" s="19"/>
      <c r="J218" s="20"/>
      <c r="K218" s="20"/>
    </row>
    <row r="219" spans="1:11" s="21" customFormat="1" x14ac:dyDescent="0.2">
      <c r="A219" s="102" t="s">
        <v>33</v>
      </c>
      <c r="B219" s="34" t="s">
        <v>271</v>
      </c>
      <c r="C219" s="35" t="s">
        <v>207</v>
      </c>
      <c r="D219" s="35" t="s">
        <v>163</v>
      </c>
      <c r="E219" s="35" t="s">
        <v>34</v>
      </c>
      <c r="F219" s="36">
        <f>4591.9+0.9</f>
        <v>4592.7999999999993</v>
      </c>
      <c r="G219" s="36">
        <f>5560.2+1.1</f>
        <v>5561.3</v>
      </c>
      <c r="H219" s="37">
        <f>3615.6+0.7</f>
        <v>3616.2999999999997</v>
      </c>
      <c r="I219" s="19"/>
      <c r="J219" s="20"/>
      <c r="K219" s="20"/>
    </row>
    <row r="220" spans="1:11" s="21" customFormat="1" ht="51" x14ac:dyDescent="0.2">
      <c r="A220" s="50" t="s">
        <v>272</v>
      </c>
      <c r="B220" s="103" t="s">
        <v>273</v>
      </c>
      <c r="C220" s="35" t="s">
        <v>207</v>
      </c>
      <c r="D220" s="35" t="s">
        <v>23</v>
      </c>
      <c r="E220" s="35"/>
      <c r="F220" s="105">
        <f>F221</f>
        <v>252.6</v>
      </c>
      <c r="G220" s="105">
        <f>G221</f>
        <v>0</v>
      </c>
      <c r="H220" s="106">
        <f>H221</f>
        <v>0</v>
      </c>
      <c r="I220" s="19"/>
      <c r="J220" s="20"/>
      <c r="K220" s="20"/>
    </row>
    <row r="221" spans="1:11" s="21" customFormat="1" x14ac:dyDescent="0.2">
      <c r="A221" s="102" t="s">
        <v>33</v>
      </c>
      <c r="B221" s="103" t="s">
        <v>273</v>
      </c>
      <c r="C221" s="35" t="s">
        <v>207</v>
      </c>
      <c r="D221" s="35" t="s">
        <v>23</v>
      </c>
      <c r="E221" s="35" t="s">
        <v>34</v>
      </c>
      <c r="F221" s="105">
        <f>245+7.6</f>
        <v>252.6</v>
      </c>
      <c r="G221" s="105">
        <v>0</v>
      </c>
      <c r="H221" s="106">
        <v>0</v>
      </c>
      <c r="I221" s="107"/>
    </row>
    <row r="222" spans="1:11" s="21" customFormat="1" ht="51" x14ac:dyDescent="0.2">
      <c r="A222" s="50" t="s">
        <v>274</v>
      </c>
      <c r="B222" s="103" t="s">
        <v>275</v>
      </c>
      <c r="C222" s="35" t="s">
        <v>207</v>
      </c>
      <c r="D222" s="35" t="s">
        <v>23</v>
      </c>
      <c r="E222" s="35"/>
      <c r="F222" s="105">
        <f>F223</f>
        <v>96.3</v>
      </c>
      <c r="G222" s="105">
        <f>G223</f>
        <v>96.3</v>
      </c>
      <c r="H222" s="106">
        <f>H223</f>
        <v>96.3</v>
      </c>
      <c r="I222" s="107"/>
    </row>
    <row r="223" spans="1:11" s="21" customFormat="1" x14ac:dyDescent="0.2">
      <c r="A223" s="102" t="s">
        <v>33</v>
      </c>
      <c r="B223" s="103" t="s">
        <v>275</v>
      </c>
      <c r="C223" s="35" t="s">
        <v>207</v>
      </c>
      <c r="D223" s="35" t="s">
        <v>23</v>
      </c>
      <c r="E223" s="35" t="s">
        <v>34</v>
      </c>
      <c r="F223" s="105">
        <f>77+19.3</f>
        <v>96.3</v>
      </c>
      <c r="G223" s="105">
        <f>77+19.3</f>
        <v>96.3</v>
      </c>
      <c r="H223" s="106">
        <f>77+19.3</f>
        <v>96.3</v>
      </c>
      <c r="I223" s="107"/>
    </row>
    <row r="224" spans="1:11" s="21" customFormat="1" ht="51" x14ac:dyDescent="0.2">
      <c r="A224" s="50" t="s">
        <v>274</v>
      </c>
      <c r="B224" s="103" t="s">
        <v>275</v>
      </c>
      <c r="C224" s="35" t="s">
        <v>207</v>
      </c>
      <c r="D224" s="35" t="s">
        <v>163</v>
      </c>
      <c r="E224" s="35"/>
      <c r="F224" s="105">
        <f>F225</f>
        <v>1385.6</v>
      </c>
      <c r="G224" s="105">
        <f>G225</f>
        <v>1385.6</v>
      </c>
      <c r="H224" s="106">
        <f>H225</f>
        <v>1385.6</v>
      </c>
      <c r="I224" s="108"/>
    </row>
    <row r="225" spans="1:11" s="21" customFormat="1" x14ac:dyDescent="0.2">
      <c r="A225" s="109" t="s">
        <v>33</v>
      </c>
      <c r="B225" s="103" t="s">
        <v>275</v>
      </c>
      <c r="C225" s="35" t="s">
        <v>207</v>
      </c>
      <c r="D225" s="35" t="s">
        <v>163</v>
      </c>
      <c r="E225" s="35" t="s">
        <v>34</v>
      </c>
      <c r="F225" s="105">
        <f>1108.5+277.1</f>
        <v>1385.6</v>
      </c>
      <c r="G225" s="105">
        <f>1108.5+277.1</f>
        <v>1385.6</v>
      </c>
      <c r="H225" s="106">
        <f>1108.5+277.1</f>
        <v>1385.6</v>
      </c>
      <c r="I225" s="107"/>
    </row>
    <row r="226" spans="1:11" s="21" customFormat="1" ht="38.25" x14ac:dyDescent="0.2">
      <c r="A226" s="110" t="s">
        <v>276</v>
      </c>
      <c r="B226" s="34" t="s">
        <v>277</v>
      </c>
      <c r="C226" s="35" t="s">
        <v>207</v>
      </c>
      <c r="D226" s="35" t="s">
        <v>163</v>
      </c>
      <c r="E226" s="35"/>
      <c r="F226" s="36">
        <f>F227</f>
        <v>2866.9</v>
      </c>
      <c r="G226" s="36">
        <f>G227</f>
        <v>0</v>
      </c>
      <c r="H226" s="37">
        <f>H227</f>
        <v>0</v>
      </c>
      <c r="I226" s="107"/>
    </row>
    <row r="227" spans="1:11" s="21" customFormat="1" x14ac:dyDescent="0.2">
      <c r="A227" s="109" t="s">
        <v>33</v>
      </c>
      <c r="B227" s="34" t="s">
        <v>277</v>
      </c>
      <c r="C227" s="35" t="s">
        <v>207</v>
      </c>
      <c r="D227" s="35" t="s">
        <v>163</v>
      </c>
      <c r="E227" s="35" t="s">
        <v>34</v>
      </c>
      <c r="F227" s="36">
        <f>2866.3+0.6</f>
        <v>2866.9</v>
      </c>
      <c r="G227" s="36">
        <v>0</v>
      </c>
      <c r="H227" s="37">
        <v>0</v>
      </c>
      <c r="I227" s="107"/>
    </row>
    <row r="228" spans="1:11" s="21" customFormat="1" ht="38.25" x14ac:dyDescent="0.2">
      <c r="A228" s="50" t="s">
        <v>278</v>
      </c>
      <c r="B228" s="103" t="s">
        <v>279</v>
      </c>
      <c r="C228" s="35" t="s">
        <v>207</v>
      </c>
      <c r="D228" s="35" t="s">
        <v>163</v>
      </c>
      <c r="E228" s="35"/>
      <c r="F228" s="105">
        <f>F229</f>
        <v>1496.8000000000002</v>
      </c>
      <c r="G228" s="105">
        <f>G229</f>
        <v>2036</v>
      </c>
      <c r="H228" s="106">
        <f>H229</f>
        <v>2036</v>
      </c>
      <c r="I228" s="107"/>
    </row>
    <row r="229" spans="1:11" s="21" customFormat="1" x14ac:dyDescent="0.2">
      <c r="A229" s="102" t="s">
        <v>33</v>
      </c>
      <c r="B229" s="103" t="s">
        <v>279</v>
      </c>
      <c r="C229" s="104" t="s">
        <v>207</v>
      </c>
      <c r="D229" s="104" t="s">
        <v>163</v>
      </c>
      <c r="E229" s="104" t="s">
        <v>34</v>
      </c>
      <c r="F229" s="105">
        <f>1466.9+29.9</f>
        <v>1496.8000000000002</v>
      </c>
      <c r="G229" s="105">
        <f>1995.3+40.7</f>
        <v>2036</v>
      </c>
      <c r="H229" s="106">
        <f>1995.3+40.7</f>
        <v>2036</v>
      </c>
      <c r="I229" s="107"/>
    </row>
    <row r="230" spans="1:11" s="21" customFormat="1" ht="25.5" x14ac:dyDescent="0.2">
      <c r="A230" s="50" t="s">
        <v>280</v>
      </c>
      <c r="B230" s="103" t="s">
        <v>281</v>
      </c>
      <c r="C230" s="104"/>
      <c r="D230" s="104"/>
      <c r="E230" s="104"/>
      <c r="F230" s="105">
        <f t="shared" ref="F230:H231" si="18">F231</f>
        <v>1139.2</v>
      </c>
      <c r="G230" s="105">
        <f t="shared" si="18"/>
        <v>1139.2</v>
      </c>
      <c r="H230" s="106">
        <f t="shared" si="18"/>
        <v>1139.2</v>
      </c>
      <c r="I230" s="107"/>
    </row>
    <row r="231" spans="1:11" s="21" customFormat="1" ht="25.5" x14ac:dyDescent="0.2">
      <c r="A231" s="50" t="s">
        <v>282</v>
      </c>
      <c r="B231" s="103" t="s">
        <v>283</v>
      </c>
      <c r="C231" s="104" t="s">
        <v>207</v>
      </c>
      <c r="D231" s="104" t="s">
        <v>46</v>
      </c>
      <c r="E231" s="104"/>
      <c r="F231" s="105">
        <f t="shared" si="18"/>
        <v>1139.2</v>
      </c>
      <c r="G231" s="105">
        <f t="shared" si="18"/>
        <v>1139.2</v>
      </c>
      <c r="H231" s="106">
        <f t="shared" si="18"/>
        <v>1139.2</v>
      </c>
      <c r="I231" s="107"/>
    </row>
    <row r="232" spans="1:11" s="21" customFormat="1" x14ac:dyDescent="0.2">
      <c r="A232" s="102" t="s">
        <v>33</v>
      </c>
      <c r="B232" s="103" t="s">
        <v>283</v>
      </c>
      <c r="C232" s="104" t="s">
        <v>207</v>
      </c>
      <c r="D232" s="104" t="s">
        <v>46</v>
      </c>
      <c r="E232" s="104" t="s">
        <v>34</v>
      </c>
      <c r="F232" s="105">
        <f>569.6+569.6</f>
        <v>1139.2</v>
      </c>
      <c r="G232" s="105">
        <f>569.6+569.6</f>
        <v>1139.2</v>
      </c>
      <c r="H232" s="106">
        <f>569.6+569.6</f>
        <v>1139.2</v>
      </c>
      <c r="I232" s="107"/>
    </row>
    <row r="233" spans="1:11" s="21" customFormat="1" x14ac:dyDescent="0.2">
      <c r="A233" s="39" t="s">
        <v>284</v>
      </c>
      <c r="B233" s="40" t="s">
        <v>285</v>
      </c>
      <c r="C233" s="35"/>
      <c r="D233" s="35"/>
      <c r="E233" s="35"/>
      <c r="F233" s="36">
        <f>F234+F248+F252+F260+F263</f>
        <v>311806.09999999998</v>
      </c>
      <c r="G233" s="36">
        <f>G234+G248+G252+G260+G263</f>
        <v>307700.3</v>
      </c>
      <c r="H233" s="36">
        <f>H234+H248+H252+H260+H263</f>
        <v>307700.3</v>
      </c>
      <c r="I233" s="107"/>
    </row>
    <row r="234" spans="1:11" s="21" customFormat="1" ht="25.5" x14ac:dyDescent="0.2">
      <c r="A234" s="39" t="s">
        <v>286</v>
      </c>
      <c r="B234" s="40" t="s">
        <v>287</v>
      </c>
      <c r="C234" s="35"/>
      <c r="D234" s="35"/>
      <c r="E234" s="35"/>
      <c r="F234" s="36">
        <f>F235+F238+F240+F246+F242+F244</f>
        <v>300669</v>
      </c>
      <c r="G234" s="36">
        <f>G235+G238+G240+G246+G242+G244</f>
        <v>296591.2</v>
      </c>
      <c r="H234" s="36">
        <f>H235+H238+H240+H246+H242+H244</f>
        <v>296591.2</v>
      </c>
      <c r="I234" s="107"/>
    </row>
    <row r="235" spans="1:11" s="21" customFormat="1" ht="25.5" x14ac:dyDescent="0.2">
      <c r="A235" s="96" t="s">
        <v>288</v>
      </c>
      <c r="B235" s="40" t="s">
        <v>289</v>
      </c>
      <c r="C235" s="35"/>
      <c r="D235" s="35"/>
      <c r="E235" s="35"/>
      <c r="F235" s="36">
        <f>F236+F237</f>
        <v>196518.90000000002</v>
      </c>
      <c r="G235" s="36">
        <f>G236+G237</f>
        <v>193387</v>
      </c>
      <c r="H235" s="37">
        <f>H236+H237</f>
        <v>193387</v>
      </c>
      <c r="I235" s="107"/>
    </row>
    <row r="236" spans="1:11" s="21" customFormat="1" x14ac:dyDescent="0.2">
      <c r="A236" s="97" t="s">
        <v>33</v>
      </c>
      <c r="B236" s="40" t="s">
        <v>289</v>
      </c>
      <c r="C236" s="35" t="s">
        <v>207</v>
      </c>
      <c r="D236" s="35" t="s">
        <v>23</v>
      </c>
      <c r="E236" s="35" t="s">
        <v>34</v>
      </c>
      <c r="F236" s="36">
        <v>66981.8</v>
      </c>
      <c r="G236" s="36">
        <v>66981.8</v>
      </c>
      <c r="H236" s="37">
        <v>66981.8</v>
      </c>
      <c r="I236" s="107"/>
    </row>
    <row r="237" spans="1:11" s="21" customFormat="1" x14ac:dyDescent="0.2">
      <c r="A237" s="97" t="s">
        <v>33</v>
      </c>
      <c r="B237" s="40" t="s">
        <v>289</v>
      </c>
      <c r="C237" s="35" t="s">
        <v>207</v>
      </c>
      <c r="D237" s="35" t="s">
        <v>163</v>
      </c>
      <c r="E237" s="35" t="s">
        <v>34</v>
      </c>
      <c r="F237" s="36">
        <v>129537.1</v>
      </c>
      <c r="G237" s="36">
        <v>126405.2</v>
      </c>
      <c r="H237" s="37">
        <v>126405.2</v>
      </c>
      <c r="I237" s="19"/>
      <c r="J237" s="20"/>
      <c r="K237" s="20"/>
    </row>
    <row r="238" spans="1:11" s="21" customFormat="1" x14ac:dyDescent="0.2">
      <c r="A238" s="96" t="s">
        <v>290</v>
      </c>
      <c r="B238" s="34" t="s">
        <v>291</v>
      </c>
      <c r="C238" s="35" t="s">
        <v>207</v>
      </c>
      <c r="D238" s="35" t="s">
        <v>23</v>
      </c>
      <c r="E238" s="35"/>
      <c r="F238" s="36">
        <f>F239</f>
        <v>25010.300000000003</v>
      </c>
      <c r="G238" s="36">
        <f>G239</f>
        <v>25777.7</v>
      </c>
      <c r="H238" s="37">
        <f>H239</f>
        <v>25777.7</v>
      </c>
      <c r="I238" s="19"/>
      <c r="J238" s="20"/>
      <c r="K238" s="20"/>
    </row>
    <row r="239" spans="1:11" s="21" customFormat="1" ht="15.75" customHeight="1" x14ac:dyDescent="0.2">
      <c r="A239" s="97" t="s">
        <v>33</v>
      </c>
      <c r="B239" s="34" t="s">
        <v>291</v>
      </c>
      <c r="C239" s="35" t="s">
        <v>207</v>
      </c>
      <c r="D239" s="35" t="s">
        <v>23</v>
      </c>
      <c r="E239" s="35" t="s">
        <v>34</v>
      </c>
      <c r="F239" s="36">
        <f>27912.4-243-2659.1</f>
        <v>25010.300000000003</v>
      </c>
      <c r="G239" s="36">
        <f>27912.4-2134.7</f>
        <v>25777.7</v>
      </c>
      <c r="H239" s="36">
        <f>27912.4-2134.7</f>
        <v>25777.7</v>
      </c>
      <c r="I239" s="19"/>
      <c r="J239" s="20"/>
      <c r="K239" s="20"/>
    </row>
    <row r="240" spans="1:11" x14ac:dyDescent="0.2">
      <c r="A240" s="111" t="s">
        <v>292</v>
      </c>
      <c r="B240" s="34" t="s">
        <v>293</v>
      </c>
      <c r="C240" s="35" t="s">
        <v>207</v>
      </c>
      <c r="D240" s="35" t="s">
        <v>163</v>
      </c>
      <c r="E240" s="35"/>
      <c r="F240" s="36">
        <f>F241</f>
        <v>56447.000000000007</v>
      </c>
      <c r="G240" s="36">
        <f>G241</f>
        <v>57281.700000000004</v>
      </c>
      <c r="H240" s="37">
        <f>H241</f>
        <v>57281.700000000004</v>
      </c>
    </row>
    <row r="241" spans="1:36" ht="15.75" customHeight="1" x14ac:dyDescent="0.2">
      <c r="A241" s="112" t="s">
        <v>33</v>
      </c>
      <c r="B241" s="34" t="s">
        <v>293</v>
      </c>
      <c r="C241" s="35" t="s">
        <v>207</v>
      </c>
      <c r="D241" s="35" t="s">
        <v>163</v>
      </c>
      <c r="E241" s="35" t="s">
        <v>34</v>
      </c>
      <c r="F241" s="36">
        <f>63111.8-1830.1-770-4064.7</f>
        <v>56447.000000000007</v>
      </c>
      <c r="G241" s="36">
        <f>63111.8-1830.1-4000</f>
        <v>57281.700000000004</v>
      </c>
      <c r="H241" s="36">
        <f>63111.8-1830.1-4000</f>
        <v>57281.700000000004</v>
      </c>
    </row>
    <row r="242" spans="1:36" ht="15.75" customHeight="1" x14ac:dyDescent="0.2">
      <c r="A242" s="47" t="s">
        <v>294</v>
      </c>
      <c r="B242" s="34" t="s">
        <v>295</v>
      </c>
      <c r="C242" s="35" t="s">
        <v>207</v>
      </c>
      <c r="D242" s="35" t="s">
        <v>46</v>
      </c>
      <c r="E242" s="35"/>
      <c r="F242" s="36">
        <f>F243</f>
        <v>17562.7</v>
      </c>
      <c r="G242" s="36">
        <f>G243</f>
        <v>18314.7</v>
      </c>
      <c r="H242" s="36">
        <f>H243</f>
        <v>18314.7</v>
      </c>
    </row>
    <row r="243" spans="1:36" ht="15.75" customHeight="1" x14ac:dyDescent="0.2">
      <c r="A243" s="112" t="s">
        <v>33</v>
      </c>
      <c r="B243" s="34" t="s">
        <v>295</v>
      </c>
      <c r="C243" s="35" t="s">
        <v>207</v>
      </c>
      <c r="D243" s="35" t="s">
        <v>46</v>
      </c>
      <c r="E243" s="35" t="s">
        <v>34</v>
      </c>
      <c r="F243" s="36">
        <f>18314.7-280-472</f>
        <v>17562.7</v>
      </c>
      <c r="G243" s="36">
        <f>18314.7</f>
        <v>18314.7</v>
      </c>
      <c r="H243" s="36">
        <f>18314.7</f>
        <v>18314.7</v>
      </c>
    </row>
    <row r="244" spans="1:36" ht="24.75" customHeight="1" x14ac:dyDescent="0.2">
      <c r="A244" s="47" t="s">
        <v>296</v>
      </c>
      <c r="B244" s="34" t="s">
        <v>297</v>
      </c>
      <c r="C244" s="35" t="s">
        <v>207</v>
      </c>
      <c r="D244" s="35" t="s">
        <v>46</v>
      </c>
      <c r="E244" s="35"/>
      <c r="F244" s="36">
        <f>F245</f>
        <v>3300</v>
      </c>
      <c r="G244" s="36">
        <f>G245</f>
        <v>0</v>
      </c>
      <c r="H244" s="36">
        <f>H245</f>
        <v>0</v>
      </c>
    </row>
    <row r="245" spans="1:36" ht="15.75" customHeight="1" x14ac:dyDescent="0.2">
      <c r="A245" s="112" t="s">
        <v>33</v>
      </c>
      <c r="B245" s="34" t="s">
        <v>297</v>
      </c>
      <c r="C245" s="35" t="s">
        <v>207</v>
      </c>
      <c r="D245" s="35" t="s">
        <v>46</v>
      </c>
      <c r="E245" s="35" t="s">
        <v>34</v>
      </c>
      <c r="F245" s="36">
        <v>3300</v>
      </c>
      <c r="G245" s="36">
        <v>0</v>
      </c>
      <c r="H245" s="37">
        <v>0</v>
      </c>
    </row>
    <row r="246" spans="1:36" s="58" customFormat="1" ht="25.5" x14ac:dyDescent="0.2">
      <c r="A246" s="43" t="s">
        <v>167</v>
      </c>
      <c r="B246" s="40" t="s">
        <v>298</v>
      </c>
      <c r="C246" s="41" t="s">
        <v>207</v>
      </c>
      <c r="D246" s="41" t="s">
        <v>163</v>
      </c>
      <c r="E246" s="41"/>
      <c r="F246" s="36">
        <f>F247</f>
        <v>1830.1</v>
      </c>
      <c r="G246" s="36">
        <f>G247</f>
        <v>1830.1</v>
      </c>
      <c r="H246" s="37">
        <f>H247</f>
        <v>1830.1</v>
      </c>
      <c r="I246" s="19"/>
      <c r="J246" s="20"/>
      <c r="K246" s="20"/>
      <c r="L246" s="21"/>
      <c r="M246" s="21"/>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row>
    <row r="247" spans="1:36" s="58" customFormat="1" ht="12" customHeight="1" x14ac:dyDescent="0.2">
      <c r="A247" s="43" t="s">
        <v>93</v>
      </c>
      <c r="B247" s="40" t="s">
        <v>298</v>
      </c>
      <c r="C247" s="41" t="s">
        <v>207</v>
      </c>
      <c r="D247" s="41" t="s">
        <v>163</v>
      </c>
      <c r="E247" s="41" t="s">
        <v>34</v>
      </c>
      <c r="F247" s="36">
        <v>1830.1</v>
      </c>
      <c r="G247" s="36">
        <v>1830.1</v>
      </c>
      <c r="H247" s="37">
        <v>1830.1</v>
      </c>
      <c r="I247" s="19"/>
      <c r="J247" s="20"/>
      <c r="K247" s="20"/>
      <c r="L247" s="21"/>
      <c r="M247" s="21"/>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row>
    <row r="248" spans="1:36" ht="25.5" customHeight="1" x14ac:dyDescent="0.2">
      <c r="A248" s="39" t="s">
        <v>299</v>
      </c>
      <c r="B248" s="113" t="s">
        <v>300</v>
      </c>
      <c r="C248" s="114"/>
      <c r="D248" s="114"/>
      <c r="E248" s="114"/>
      <c r="F248" s="115">
        <f>F249</f>
        <v>4858.6000000000004</v>
      </c>
      <c r="G248" s="115">
        <f>G249</f>
        <v>4858.6000000000004</v>
      </c>
      <c r="H248" s="116">
        <f>H249</f>
        <v>4858.6000000000004</v>
      </c>
    </row>
    <row r="249" spans="1:36" ht="25.5" x14ac:dyDescent="0.2">
      <c r="A249" s="97" t="s">
        <v>301</v>
      </c>
      <c r="B249" s="40" t="s">
        <v>302</v>
      </c>
      <c r="C249" s="35"/>
      <c r="D249" s="35"/>
      <c r="E249" s="35"/>
      <c r="F249" s="36">
        <f>F250+F251</f>
        <v>4858.6000000000004</v>
      </c>
      <c r="G249" s="36">
        <f>G250+G251</f>
        <v>4858.6000000000004</v>
      </c>
      <c r="H249" s="37">
        <f>H250+H251</f>
        <v>4858.6000000000004</v>
      </c>
    </row>
    <row r="250" spans="1:36" x14ac:dyDescent="0.2">
      <c r="A250" s="97" t="s">
        <v>33</v>
      </c>
      <c r="B250" s="40" t="s">
        <v>302</v>
      </c>
      <c r="C250" s="35" t="s">
        <v>207</v>
      </c>
      <c r="D250" s="35" t="s">
        <v>163</v>
      </c>
      <c r="E250" s="35" t="s">
        <v>34</v>
      </c>
      <c r="F250" s="36">
        <v>3397</v>
      </c>
      <c r="G250" s="36">
        <v>3397</v>
      </c>
      <c r="H250" s="37">
        <v>3397</v>
      </c>
    </row>
    <row r="251" spans="1:36" x14ac:dyDescent="0.2">
      <c r="A251" s="97" t="s">
        <v>54</v>
      </c>
      <c r="B251" s="40" t="s">
        <v>302</v>
      </c>
      <c r="C251" s="35" t="s">
        <v>45</v>
      </c>
      <c r="D251" s="35" t="s">
        <v>46</v>
      </c>
      <c r="E251" s="35" t="s">
        <v>55</v>
      </c>
      <c r="F251" s="36">
        <v>1461.6</v>
      </c>
      <c r="G251" s="36">
        <v>1461.6</v>
      </c>
      <c r="H251" s="37">
        <v>1461.6</v>
      </c>
    </row>
    <row r="252" spans="1:36" ht="25.5" customHeight="1" x14ac:dyDescent="0.2">
      <c r="A252" s="39" t="s">
        <v>303</v>
      </c>
      <c r="B252" s="113" t="s">
        <v>304</v>
      </c>
      <c r="C252" s="114"/>
      <c r="D252" s="114"/>
      <c r="E252" s="114"/>
      <c r="F252" s="115">
        <f>F253+F258</f>
        <v>882.5</v>
      </c>
      <c r="G252" s="115">
        <f>G253+G258</f>
        <v>882.5</v>
      </c>
      <c r="H252" s="116">
        <f>H253+H258</f>
        <v>882.5</v>
      </c>
    </row>
    <row r="253" spans="1:36" ht="25.5" customHeight="1" x14ac:dyDescent="0.2">
      <c r="A253" s="39" t="s">
        <v>305</v>
      </c>
      <c r="B253" s="113" t="s">
        <v>306</v>
      </c>
      <c r="C253" s="114"/>
      <c r="D253" s="114"/>
      <c r="E253" s="114"/>
      <c r="F253" s="115">
        <f>F254+F255+F257+F256</f>
        <v>382.5</v>
      </c>
      <c r="G253" s="115">
        <f>G254+G255+G257+G256</f>
        <v>382.5</v>
      </c>
      <c r="H253" s="116">
        <f>H254+H255+H257+H256</f>
        <v>382.5</v>
      </c>
    </row>
    <row r="254" spans="1:36" ht="13.5" customHeight="1" x14ac:dyDescent="0.2">
      <c r="A254" s="112" t="s">
        <v>33</v>
      </c>
      <c r="B254" s="113" t="s">
        <v>306</v>
      </c>
      <c r="C254" s="114" t="s">
        <v>207</v>
      </c>
      <c r="D254" s="114" t="s">
        <v>163</v>
      </c>
      <c r="E254" s="114" t="s">
        <v>34</v>
      </c>
      <c r="F254" s="115">
        <v>50</v>
      </c>
      <c r="G254" s="115">
        <v>50</v>
      </c>
      <c r="H254" s="116">
        <v>50</v>
      </c>
    </row>
    <row r="255" spans="1:36" ht="15" customHeight="1" x14ac:dyDescent="0.2">
      <c r="A255" s="112" t="s">
        <v>33</v>
      </c>
      <c r="B255" s="113" t="s">
        <v>306</v>
      </c>
      <c r="C255" s="114" t="s">
        <v>207</v>
      </c>
      <c r="D255" s="114" t="s">
        <v>46</v>
      </c>
      <c r="E255" s="114" t="s">
        <v>34</v>
      </c>
      <c r="F255" s="115">
        <v>50</v>
      </c>
      <c r="G255" s="115">
        <v>50</v>
      </c>
      <c r="H255" s="116">
        <v>50</v>
      </c>
    </row>
    <row r="256" spans="1:36" ht="15" customHeight="1" x14ac:dyDescent="0.2">
      <c r="A256" s="77" t="s">
        <v>69</v>
      </c>
      <c r="B256" s="113" t="s">
        <v>306</v>
      </c>
      <c r="C256" s="114" t="s">
        <v>207</v>
      </c>
      <c r="D256" s="114" t="s">
        <v>77</v>
      </c>
      <c r="E256" s="54" t="s">
        <v>70</v>
      </c>
      <c r="F256" s="105">
        <v>62</v>
      </c>
      <c r="G256" s="105">
        <v>62</v>
      </c>
      <c r="H256" s="106">
        <v>62</v>
      </c>
    </row>
    <row r="257" spans="1:36" ht="24.75" customHeight="1" x14ac:dyDescent="0.2">
      <c r="A257" s="47" t="s">
        <v>31</v>
      </c>
      <c r="B257" s="113" t="s">
        <v>306</v>
      </c>
      <c r="C257" s="114" t="s">
        <v>207</v>
      </c>
      <c r="D257" s="114" t="s">
        <v>77</v>
      </c>
      <c r="E257" s="54" t="s">
        <v>32</v>
      </c>
      <c r="F257" s="36">
        <v>220.5</v>
      </c>
      <c r="G257" s="36">
        <v>220.5</v>
      </c>
      <c r="H257" s="37">
        <v>220.5</v>
      </c>
    </row>
    <row r="258" spans="1:36" ht="15.75" customHeight="1" x14ac:dyDescent="0.2">
      <c r="A258" s="48" t="s">
        <v>307</v>
      </c>
      <c r="B258" s="40" t="s">
        <v>308</v>
      </c>
      <c r="C258" s="114" t="s">
        <v>207</v>
      </c>
      <c r="D258" s="114" t="s">
        <v>77</v>
      </c>
      <c r="E258" s="114"/>
      <c r="F258" s="115">
        <f>F259</f>
        <v>500</v>
      </c>
      <c r="G258" s="115">
        <f>G259</f>
        <v>500</v>
      </c>
      <c r="H258" s="116">
        <f>H259</f>
        <v>500</v>
      </c>
    </row>
    <row r="259" spans="1:36" ht="15.75" customHeight="1" x14ac:dyDescent="0.2">
      <c r="A259" s="112" t="s">
        <v>33</v>
      </c>
      <c r="B259" s="40" t="s">
        <v>308</v>
      </c>
      <c r="C259" s="114" t="s">
        <v>207</v>
      </c>
      <c r="D259" s="114" t="s">
        <v>77</v>
      </c>
      <c r="E259" s="114" t="s">
        <v>34</v>
      </c>
      <c r="F259" s="115">
        <v>500</v>
      </c>
      <c r="G259" s="115">
        <v>500</v>
      </c>
      <c r="H259" s="116">
        <v>500</v>
      </c>
    </row>
    <row r="260" spans="1:36" ht="25.5" customHeight="1" x14ac:dyDescent="0.2">
      <c r="A260" s="111" t="s">
        <v>309</v>
      </c>
      <c r="B260" s="40" t="s">
        <v>310</v>
      </c>
      <c r="C260" s="114" t="s">
        <v>66</v>
      </c>
      <c r="D260" s="114" t="s">
        <v>23</v>
      </c>
      <c r="E260" s="114"/>
      <c r="F260" s="115">
        <f t="shared" ref="F260:H261" si="19">F261</f>
        <v>565</v>
      </c>
      <c r="G260" s="115">
        <f t="shared" si="19"/>
        <v>565</v>
      </c>
      <c r="H260" s="115">
        <f t="shared" si="19"/>
        <v>565</v>
      </c>
    </row>
    <row r="261" spans="1:36" ht="15.75" customHeight="1" x14ac:dyDescent="0.2">
      <c r="A261" s="47" t="s">
        <v>311</v>
      </c>
      <c r="B261" s="113" t="s">
        <v>312</v>
      </c>
      <c r="C261" s="114" t="s">
        <v>66</v>
      </c>
      <c r="D261" s="114" t="s">
        <v>23</v>
      </c>
      <c r="E261" s="114"/>
      <c r="F261" s="115">
        <f t="shared" si="19"/>
        <v>565</v>
      </c>
      <c r="G261" s="115">
        <f t="shared" si="19"/>
        <v>565</v>
      </c>
      <c r="H261" s="116">
        <f t="shared" si="19"/>
        <v>565</v>
      </c>
    </row>
    <row r="262" spans="1:36" ht="25.5" customHeight="1" x14ac:dyDescent="0.2">
      <c r="A262" s="47" t="s">
        <v>31</v>
      </c>
      <c r="B262" s="34" t="s">
        <v>312</v>
      </c>
      <c r="C262" s="41" t="s">
        <v>66</v>
      </c>
      <c r="D262" s="41" t="s">
        <v>23</v>
      </c>
      <c r="E262" s="41" t="s">
        <v>32</v>
      </c>
      <c r="F262" s="115">
        <v>565</v>
      </c>
      <c r="G262" s="115">
        <v>565</v>
      </c>
      <c r="H262" s="116">
        <v>565</v>
      </c>
    </row>
    <row r="263" spans="1:36" ht="27.75" customHeight="1" x14ac:dyDescent="0.2">
      <c r="A263" s="47" t="s">
        <v>313</v>
      </c>
      <c r="B263" s="34" t="s">
        <v>314</v>
      </c>
      <c r="C263" s="35" t="s">
        <v>207</v>
      </c>
      <c r="D263" s="35" t="s">
        <v>77</v>
      </c>
      <c r="E263" s="35"/>
      <c r="F263" s="36">
        <f>F264+F267</f>
        <v>4831</v>
      </c>
      <c r="G263" s="36">
        <f>G264+G267</f>
        <v>4803</v>
      </c>
      <c r="H263" s="36">
        <f>H264+H267</f>
        <v>4803</v>
      </c>
    </row>
    <row r="264" spans="1:36" ht="13.5" customHeight="1" x14ac:dyDescent="0.2">
      <c r="A264" s="47" t="s">
        <v>315</v>
      </c>
      <c r="B264" s="34" t="s">
        <v>316</v>
      </c>
      <c r="C264" s="35" t="s">
        <v>207</v>
      </c>
      <c r="D264" s="35" t="s">
        <v>77</v>
      </c>
      <c r="E264" s="35"/>
      <c r="F264" s="36">
        <f>F265+F266</f>
        <v>4631</v>
      </c>
      <c r="G264" s="36">
        <f>G265+G266</f>
        <v>4553</v>
      </c>
      <c r="H264" s="36">
        <f>H265+H266</f>
        <v>4553</v>
      </c>
    </row>
    <row r="265" spans="1:36" ht="13.5" customHeight="1" x14ac:dyDescent="0.2">
      <c r="A265" s="77" t="s">
        <v>69</v>
      </c>
      <c r="B265" s="34" t="s">
        <v>316</v>
      </c>
      <c r="C265" s="35" t="s">
        <v>207</v>
      </c>
      <c r="D265" s="35" t="s">
        <v>77</v>
      </c>
      <c r="E265" s="35" t="s">
        <v>70</v>
      </c>
      <c r="F265" s="36">
        <f>2358.4+1812.6+22+78</f>
        <v>4271</v>
      </c>
      <c r="G265" s="36">
        <f>2358.4+1812.6+22</f>
        <v>4193</v>
      </c>
      <c r="H265" s="36">
        <f>2358.4+1812.6+22</f>
        <v>4193</v>
      </c>
    </row>
    <row r="266" spans="1:36" ht="27" customHeight="1" x14ac:dyDescent="0.2">
      <c r="A266" s="47" t="s">
        <v>31</v>
      </c>
      <c r="B266" s="34" t="s">
        <v>316</v>
      </c>
      <c r="C266" s="35" t="s">
        <v>207</v>
      </c>
      <c r="D266" s="35" t="s">
        <v>77</v>
      </c>
      <c r="E266" s="35" t="s">
        <v>32</v>
      </c>
      <c r="F266" s="36">
        <v>360</v>
      </c>
      <c r="G266" s="36">
        <v>360</v>
      </c>
      <c r="H266" s="37">
        <v>360</v>
      </c>
    </row>
    <row r="267" spans="1:36" ht="27.75" customHeight="1" x14ac:dyDescent="0.2">
      <c r="A267" s="47" t="s">
        <v>317</v>
      </c>
      <c r="B267" s="34" t="s">
        <v>318</v>
      </c>
      <c r="C267" s="35" t="s">
        <v>207</v>
      </c>
      <c r="D267" s="35" t="s">
        <v>77</v>
      </c>
      <c r="E267" s="35"/>
      <c r="F267" s="36">
        <f>F268</f>
        <v>200</v>
      </c>
      <c r="G267" s="36">
        <f>G268</f>
        <v>250</v>
      </c>
      <c r="H267" s="36">
        <f>H268</f>
        <v>250</v>
      </c>
    </row>
    <row r="268" spans="1:36" ht="25.5" customHeight="1" x14ac:dyDescent="0.2">
      <c r="A268" s="47" t="s">
        <v>31</v>
      </c>
      <c r="B268" s="34" t="s">
        <v>318</v>
      </c>
      <c r="C268" s="35" t="s">
        <v>207</v>
      </c>
      <c r="D268" s="35" t="s">
        <v>77</v>
      </c>
      <c r="E268" s="35" t="s">
        <v>32</v>
      </c>
      <c r="F268" s="36">
        <f>250-50</f>
        <v>200</v>
      </c>
      <c r="G268" s="36">
        <v>250</v>
      </c>
      <c r="H268" s="37">
        <v>250</v>
      </c>
    </row>
    <row r="269" spans="1:36" s="58" customFormat="1" ht="26.25" customHeight="1" x14ac:dyDescent="0.2">
      <c r="A269" s="156" t="s">
        <v>319</v>
      </c>
      <c r="B269" s="157" t="s">
        <v>320</v>
      </c>
      <c r="C269" s="158"/>
      <c r="D269" s="158"/>
      <c r="E269" s="158"/>
      <c r="F269" s="159">
        <f>F270+F284</f>
        <v>14127.8</v>
      </c>
      <c r="G269" s="159">
        <f>G270+G284</f>
        <v>9808.7000000000007</v>
      </c>
      <c r="H269" s="160">
        <f>H270+H284</f>
        <v>23612.5</v>
      </c>
      <c r="I269" s="19"/>
      <c r="J269" s="20"/>
      <c r="K269" s="20"/>
      <c r="L269" s="21"/>
      <c r="M269" s="21"/>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row>
    <row r="270" spans="1:36" s="58" customFormat="1" x14ac:dyDescent="0.2">
      <c r="A270" s="117" t="s">
        <v>73</v>
      </c>
      <c r="B270" s="40" t="s">
        <v>321</v>
      </c>
      <c r="C270" s="41"/>
      <c r="D270" s="41"/>
      <c r="E270" s="41"/>
      <c r="F270" s="36">
        <f>F271+F276+F281</f>
        <v>5684.3</v>
      </c>
      <c r="G270" s="36">
        <f>G271+G276+G281</f>
        <v>2045.2</v>
      </c>
      <c r="H270" s="37">
        <f>H271+H276+H281</f>
        <v>15349</v>
      </c>
      <c r="I270" s="19"/>
      <c r="J270" s="20"/>
      <c r="K270" s="20"/>
      <c r="L270" s="21"/>
      <c r="M270" s="21"/>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row>
    <row r="271" spans="1:36" s="58" customFormat="1" ht="25.5" x14ac:dyDescent="0.2">
      <c r="A271" s="117" t="s">
        <v>322</v>
      </c>
      <c r="B271" s="40" t="s">
        <v>323</v>
      </c>
      <c r="C271" s="41"/>
      <c r="D271" s="41"/>
      <c r="E271" s="41"/>
      <c r="F271" s="36">
        <f>F272+F274</f>
        <v>1317.3</v>
      </c>
      <c r="G271" s="36">
        <f>G272+G274</f>
        <v>60.2</v>
      </c>
      <c r="H271" s="37">
        <f>H272+H274</f>
        <v>60.2</v>
      </c>
      <c r="I271" s="19"/>
      <c r="J271" s="20"/>
      <c r="K271" s="20"/>
      <c r="L271" s="21"/>
      <c r="M271" s="21"/>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row>
    <row r="272" spans="1:36" s="58" customFormat="1" ht="25.5" x14ac:dyDescent="0.2">
      <c r="A272" s="77" t="s">
        <v>324</v>
      </c>
      <c r="B272" s="40" t="s">
        <v>325</v>
      </c>
      <c r="C272" s="41" t="s">
        <v>46</v>
      </c>
      <c r="D272" s="41" t="s">
        <v>104</v>
      </c>
      <c r="E272" s="41"/>
      <c r="F272" s="36">
        <f>F273</f>
        <v>417.3</v>
      </c>
      <c r="G272" s="36">
        <f>G273</f>
        <v>60.2</v>
      </c>
      <c r="H272" s="37">
        <f>H273</f>
        <v>60.2</v>
      </c>
      <c r="I272" s="19"/>
      <c r="J272" s="20"/>
      <c r="K272" s="20"/>
      <c r="L272" s="21"/>
      <c r="M272" s="21"/>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row>
    <row r="273" spans="1:36" s="58" customFormat="1" ht="25.5" x14ac:dyDescent="0.2">
      <c r="A273" s="77" t="s">
        <v>31</v>
      </c>
      <c r="B273" s="40" t="s">
        <v>325</v>
      </c>
      <c r="C273" s="41" t="s">
        <v>46</v>
      </c>
      <c r="D273" s="41" t="s">
        <v>104</v>
      </c>
      <c r="E273" s="41" t="s">
        <v>32</v>
      </c>
      <c r="F273" s="36">
        <f>177.9+9.4+230</f>
        <v>417.3</v>
      </c>
      <c r="G273" s="36">
        <f>57.2+3</f>
        <v>60.2</v>
      </c>
      <c r="H273" s="37">
        <f>57.2+3</f>
        <v>60.2</v>
      </c>
      <c r="I273" s="19"/>
      <c r="J273" s="20"/>
      <c r="K273" s="20"/>
      <c r="L273" s="21"/>
      <c r="M273" s="21"/>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row>
    <row r="274" spans="1:36" s="58" customFormat="1" ht="25.5" x14ac:dyDescent="0.2">
      <c r="A274" s="117" t="s">
        <v>326</v>
      </c>
      <c r="B274" s="40" t="s">
        <v>327</v>
      </c>
      <c r="C274" s="41" t="s">
        <v>46</v>
      </c>
      <c r="D274" s="41" t="s">
        <v>104</v>
      </c>
      <c r="E274" s="41"/>
      <c r="F274" s="36">
        <f>F275</f>
        <v>900</v>
      </c>
      <c r="G274" s="36">
        <f>G275</f>
        <v>0</v>
      </c>
      <c r="H274" s="37">
        <f>H275</f>
        <v>0</v>
      </c>
      <c r="I274" s="19"/>
      <c r="J274" s="20"/>
      <c r="K274" s="20"/>
      <c r="L274" s="21"/>
      <c r="M274" s="21"/>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row>
    <row r="275" spans="1:36" s="58" customFormat="1" ht="25.5" x14ac:dyDescent="0.2">
      <c r="A275" s="77" t="s">
        <v>31</v>
      </c>
      <c r="B275" s="40" t="s">
        <v>327</v>
      </c>
      <c r="C275" s="41" t="s">
        <v>46</v>
      </c>
      <c r="D275" s="41" t="s">
        <v>104</v>
      </c>
      <c r="E275" s="41" t="s">
        <v>32</v>
      </c>
      <c r="F275" s="36">
        <f>855+45</f>
        <v>900</v>
      </c>
      <c r="G275" s="36">
        <v>0</v>
      </c>
      <c r="H275" s="37">
        <v>0</v>
      </c>
      <c r="I275" s="19"/>
      <c r="J275" s="20"/>
      <c r="K275" s="20"/>
      <c r="L275" s="21"/>
      <c r="M275" s="21"/>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row>
    <row r="276" spans="1:36" s="58" customFormat="1" ht="25.5" x14ac:dyDescent="0.2">
      <c r="A276" s="77" t="s">
        <v>328</v>
      </c>
      <c r="B276" s="40" t="s">
        <v>329</v>
      </c>
      <c r="C276" s="41"/>
      <c r="D276" s="41"/>
      <c r="E276" s="41"/>
      <c r="F276" s="36">
        <f>F277+F279</f>
        <v>4367</v>
      </c>
      <c r="G276" s="36">
        <f>G277+G279</f>
        <v>1985</v>
      </c>
      <c r="H276" s="37">
        <f>H277+H279</f>
        <v>2988.8</v>
      </c>
      <c r="I276" s="19"/>
      <c r="J276" s="20"/>
      <c r="K276" s="20"/>
      <c r="L276" s="21"/>
      <c r="M276" s="21"/>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row>
    <row r="277" spans="1:36" s="58" customFormat="1" ht="25.5" x14ac:dyDescent="0.2">
      <c r="A277" s="77" t="s">
        <v>330</v>
      </c>
      <c r="B277" s="40" t="s">
        <v>331</v>
      </c>
      <c r="C277" s="41" t="s">
        <v>332</v>
      </c>
      <c r="D277" s="41" t="s">
        <v>45</v>
      </c>
      <c r="E277" s="41"/>
      <c r="F277" s="36">
        <f>F278</f>
        <v>4367</v>
      </c>
      <c r="G277" s="36">
        <f>G278</f>
        <v>1985</v>
      </c>
      <c r="H277" s="37">
        <f>H278</f>
        <v>2988.8</v>
      </c>
      <c r="I277" s="19"/>
      <c r="J277" s="20"/>
      <c r="K277" s="20"/>
      <c r="L277" s="21"/>
      <c r="M277" s="21"/>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row>
    <row r="278" spans="1:36" s="58" customFormat="1" ht="25.5" x14ac:dyDescent="0.2">
      <c r="A278" s="77" t="s">
        <v>31</v>
      </c>
      <c r="B278" s="40" t="s">
        <v>331</v>
      </c>
      <c r="C278" s="41" t="s">
        <v>46</v>
      </c>
      <c r="D278" s="41" t="s">
        <v>45</v>
      </c>
      <c r="E278" s="41" t="s">
        <v>32</v>
      </c>
      <c r="F278" s="36">
        <f>2183.5+2183.5</f>
        <v>4367</v>
      </c>
      <c r="G278" s="36">
        <f>992.5+992.5</f>
        <v>1985</v>
      </c>
      <c r="H278" s="37">
        <v>2988.8</v>
      </c>
      <c r="I278" s="19"/>
      <c r="J278" s="20"/>
      <c r="K278" s="20"/>
      <c r="L278" s="21"/>
      <c r="M278" s="21"/>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row>
    <row r="279" spans="1:36" s="58" customFormat="1" ht="25.5" hidden="1" x14ac:dyDescent="0.2">
      <c r="A279" s="47" t="s">
        <v>333</v>
      </c>
      <c r="B279" s="40" t="s">
        <v>334</v>
      </c>
      <c r="C279" s="41" t="s">
        <v>332</v>
      </c>
      <c r="D279" s="41" t="s">
        <v>45</v>
      </c>
      <c r="E279" s="41"/>
      <c r="F279" s="36">
        <f>F280</f>
        <v>0</v>
      </c>
      <c r="G279" s="36">
        <f>G280</f>
        <v>0</v>
      </c>
      <c r="H279" s="37">
        <f>H280</f>
        <v>0</v>
      </c>
      <c r="I279" s="19"/>
      <c r="J279" s="20"/>
      <c r="K279" s="20"/>
      <c r="L279" s="21"/>
      <c r="M279" s="21"/>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row>
    <row r="280" spans="1:36" s="58" customFormat="1" ht="25.5" hidden="1" x14ac:dyDescent="0.2">
      <c r="A280" s="95" t="s">
        <v>31</v>
      </c>
      <c r="B280" s="40" t="s">
        <v>334</v>
      </c>
      <c r="C280" s="41" t="s">
        <v>46</v>
      </c>
      <c r="D280" s="41" t="s">
        <v>45</v>
      </c>
      <c r="E280" s="41" t="s">
        <v>32</v>
      </c>
      <c r="F280" s="36">
        <v>0</v>
      </c>
      <c r="G280" s="36">
        <v>0</v>
      </c>
      <c r="H280" s="37">
        <v>0</v>
      </c>
      <c r="I280" s="19"/>
      <c r="J280" s="20"/>
      <c r="K280" s="20"/>
      <c r="L280" s="21"/>
      <c r="M280" s="21"/>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row>
    <row r="281" spans="1:36" s="58" customFormat="1" ht="25.5" x14ac:dyDescent="0.2">
      <c r="A281" s="95" t="s">
        <v>335</v>
      </c>
      <c r="B281" s="40" t="s">
        <v>336</v>
      </c>
      <c r="C281" s="41" t="s">
        <v>46</v>
      </c>
      <c r="D281" s="41" t="s">
        <v>104</v>
      </c>
      <c r="E281" s="41"/>
      <c r="F281" s="36">
        <f t="shared" ref="F281:H282" si="20">F282</f>
        <v>0</v>
      </c>
      <c r="G281" s="36">
        <f t="shared" si="20"/>
        <v>0</v>
      </c>
      <c r="H281" s="37">
        <f t="shared" si="20"/>
        <v>12300</v>
      </c>
      <c r="I281" s="19"/>
      <c r="J281" s="20"/>
      <c r="K281" s="20"/>
      <c r="L281" s="21"/>
      <c r="M281" s="21"/>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row>
    <row r="282" spans="1:36" s="58" customFormat="1" x14ac:dyDescent="0.2">
      <c r="A282" s="95" t="s">
        <v>337</v>
      </c>
      <c r="B282" s="40" t="s">
        <v>338</v>
      </c>
      <c r="C282" s="41" t="s">
        <v>46</v>
      </c>
      <c r="D282" s="41" t="s">
        <v>104</v>
      </c>
      <c r="E282" s="41"/>
      <c r="F282" s="36">
        <f t="shared" si="20"/>
        <v>0</v>
      </c>
      <c r="G282" s="36">
        <f t="shared" si="20"/>
        <v>0</v>
      </c>
      <c r="H282" s="37">
        <f t="shared" si="20"/>
        <v>12300</v>
      </c>
      <c r="I282" s="19"/>
      <c r="J282" s="20"/>
      <c r="K282" s="20"/>
      <c r="L282" s="21"/>
      <c r="M282" s="21"/>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row>
    <row r="283" spans="1:36" s="58" customFormat="1" ht="25.5" x14ac:dyDescent="0.2">
      <c r="A283" s="77" t="s">
        <v>31</v>
      </c>
      <c r="B283" s="40" t="s">
        <v>338</v>
      </c>
      <c r="C283" s="41" t="s">
        <v>46</v>
      </c>
      <c r="D283" s="41" t="s">
        <v>104</v>
      </c>
      <c r="E283" s="41" t="s">
        <v>32</v>
      </c>
      <c r="F283" s="36">
        <v>0</v>
      </c>
      <c r="G283" s="36">
        <v>0</v>
      </c>
      <c r="H283" s="37">
        <v>12300</v>
      </c>
      <c r="I283" s="19"/>
      <c r="J283" s="20"/>
      <c r="K283" s="20"/>
      <c r="L283" s="21"/>
      <c r="M283" s="21"/>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row>
    <row r="284" spans="1:36" s="58" customFormat="1" x14ac:dyDescent="0.2">
      <c r="A284" s="95" t="s">
        <v>284</v>
      </c>
      <c r="B284" s="40" t="s">
        <v>339</v>
      </c>
      <c r="C284" s="41"/>
      <c r="D284" s="41"/>
      <c r="E284" s="41"/>
      <c r="F284" s="36">
        <f>F285+F289+F308+F311</f>
        <v>8443.5</v>
      </c>
      <c r="G284" s="36">
        <f>G285+G289+G308+G311</f>
        <v>7763.5</v>
      </c>
      <c r="H284" s="37">
        <f>H285+H289+H308+H311</f>
        <v>8263.5</v>
      </c>
      <c r="I284" s="19"/>
      <c r="J284" s="20"/>
      <c r="K284" s="20"/>
      <c r="L284" s="21"/>
      <c r="M284" s="21"/>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row>
    <row r="285" spans="1:36" s="58" customFormat="1" ht="25.5" x14ac:dyDescent="0.2">
      <c r="A285" s="95" t="s">
        <v>340</v>
      </c>
      <c r="B285" s="40" t="s">
        <v>341</v>
      </c>
      <c r="C285" s="41"/>
      <c r="D285" s="41"/>
      <c r="E285" s="41"/>
      <c r="F285" s="36">
        <f>F286</f>
        <v>852.8</v>
      </c>
      <c r="G285" s="36">
        <f>G286</f>
        <v>852.8</v>
      </c>
      <c r="H285" s="37">
        <f>H286</f>
        <v>852.8</v>
      </c>
      <c r="I285" s="19"/>
      <c r="J285" s="20"/>
      <c r="K285" s="20"/>
      <c r="L285" s="21"/>
      <c r="M285" s="21"/>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row>
    <row r="286" spans="1:36" s="58" customFormat="1" ht="63.75" x14ac:dyDescent="0.2">
      <c r="A286" s="38" t="s">
        <v>342</v>
      </c>
      <c r="B286" s="34" t="s">
        <v>343</v>
      </c>
      <c r="C286" s="41" t="s">
        <v>23</v>
      </c>
      <c r="D286" s="41" t="s">
        <v>66</v>
      </c>
      <c r="E286" s="41"/>
      <c r="F286" s="36">
        <f>F287+F288</f>
        <v>852.8</v>
      </c>
      <c r="G286" s="36">
        <f>G287+G288</f>
        <v>852.8</v>
      </c>
      <c r="H286" s="37">
        <f>H287+H288</f>
        <v>852.8</v>
      </c>
      <c r="I286" s="19"/>
      <c r="J286" s="20"/>
      <c r="K286" s="20"/>
      <c r="L286" s="21"/>
      <c r="M286" s="21"/>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row>
    <row r="287" spans="1:36" s="58" customFormat="1" x14ac:dyDescent="0.2">
      <c r="A287" s="38" t="s">
        <v>69</v>
      </c>
      <c r="B287" s="34" t="s">
        <v>343</v>
      </c>
      <c r="C287" s="41" t="s">
        <v>23</v>
      </c>
      <c r="D287" s="41" t="s">
        <v>66</v>
      </c>
      <c r="E287" s="41" t="s">
        <v>70</v>
      </c>
      <c r="F287" s="36">
        <v>676.1</v>
      </c>
      <c r="G287" s="36">
        <v>676.1</v>
      </c>
      <c r="H287" s="37">
        <v>676.1</v>
      </c>
      <c r="I287" s="19"/>
      <c r="J287" s="20"/>
      <c r="K287" s="20"/>
      <c r="L287" s="21"/>
      <c r="M287" s="21"/>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row>
    <row r="288" spans="1:36" s="58" customFormat="1" ht="25.5" x14ac:dyDescent="0.2">
      <c r="A288" s="38" t="s">
        <v>31</v>
      </c>
      <c r="B288" s="34" t="s">
        <v>343</v>
      </c>
      <c r="C288" s="41" t="s">
        <v>23</v>
      </c>
      <c r="D288" s="41" t="s">
        <v>66</v>
      </c>
      <c r="E288" s="41" t="s">
        <v>32</v>
      </c>
      <c r="F288" s="36">
        <f>176.7</f>
        <v>176.7</v>
      </c>
      <c r="G288" s="36">
        <f>176.7</f>
        <v>176.7</v>
      </c>
      <c r="H288" s="37">
        <f>176.7</f>
        <v>176.7</v>
      </c>
      <c r="I288" s="19"/>
      <c r="J288" s="20"/>
      <c r="K288" s="20"/>
      <c r="L288" s="21"/>
      <c r="M288" s="21"/>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row>
    <row r="289" spans="1:36" s="58" customFormat="1" ht="25.5" x14ac:dyDescent="0.2">
      <c r="A289" s="39" t="s">
        <v>344</v>
      </c>
      <c r="B289" s="40" t="s">
        <v>345</v>
      </c>
      <c r="C289" s="41"/>
      <c r="D289" s="41"/>
      <c r="E289" s="41"/>
      <c r="F289" s="36">
        <f>F301+F296+F298+F294+F290+F292+F306</f>
        <v>2154.1</v>
      </c>
      <c r="G289" s="36">
        <f>G301+G296+G298+G294+G290+G292+G306</f>
        <v>1484.1</v>
      </c>
      <c r="H289" s="37">
        <f>H301+H296+H298+H294+H290+H292+H306</f>
        <v>1984.1</v>
      </c>
      <c r="I289" s="19"/>
      <c r="J289" s="20"/>
      <c r="K289" s="20"/>
      <c r="L289" s="21"/>
      <c r="M289" s="21"/>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row>
    <row r="290" spans="1:36" s="58" customFormat="1" x14ac:dyDescent="0.2">
      <c r="A290" s="39" t="s">
        <v>346</v>
      </c>
      <c r="B290" s="40" t="s">
        <v>347</v>
      </c>
      <c r="C290" s="41" t="s">
        <v>46</v>
      </c>
      <c r="D290" s="41" t="s">
        <v>77</v>
      </c>
      <c r="E290" s="41"/>
      <c r="F290" s="36">
        <f>F291</f>
        <v>140.30000000000001</v>
      </c>
      <c r="G290" s="36">
        <f>G291</f>
        <v>140.30000000000001</v>
      </c>
      <c r="H290" s="37">
        <f>H291</f>
        <v>140.30000000000001</v>
      </c>
      <c r="I290" s="19"/>
      <c r="J290" s="20"/>
      <c r="K290" s="20"/>
      <c r="L290" s="21"/>
      <c r="M290" s="21"/>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row>
    <row r="291" spans="1:36" s="58" customFormat="1" ht="25.5" x14ac:dyDescent="0.2">
      <c r="A291" s="39" t="s">
        <v>31</v>
      </c>
      <c r="B291" s="40" t="s">
        <v>347</v>
      </c>
      <c r="C291" s="41" t="s">
        <v>46</v>
      </c>
      <c r="D291" s="41" t="s">
        <v>77</v>
      </c>
      <c r="E291" s="41" t="s">
        <v>32</v>
      </c>
      <c r="F291" s="36">
        <v>140.30000000000001</v>
      </c>
      <c r="G291" s="36">
        <v>140.30000000000001</v>
      </c>
      <c r="H291" s="37">
        <v>140.30000000000001</v>
      </c>
      <c r="I291" s="19"/>
      <c r="J291" s="20"/>
      <c r="K291" s="20"/>
      <c r="L291" s="21"/>
      <c r="M291" s="21"/>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row>
    <row r="292" spans="1:36" s="58" customFormat="1" x14ac:dyDescent="0.2">
      <c r="A292" s="76" t="s">
        <v>348</v>
      </c>
      <c r="B292" s="40" t="s">
        <v>349</v>
      </c>
      <c r="C292" s="41" t="s">
        <v>46</v>
      </c>
      <c r="D292" s="41" t="s">
        <v>77</v>
      </c>
      <c r="E292" s="41"/>
      <c r="F292" s="36">
        <f>F293</f>
        <v>883.8</v>
      </c>
      <c r="G292" s="36">
        <f>G293</f>
        <v>883.8</v>
      </c>
      <c r="H292" s="37">
        <f>H293</f>
        <v>883.8</v>
      </c>
      <c r="I292" s="19"/>
      <c r="J292" s="20"/>
      <c r="K292" s="20"/>
      <c r="L292" s="21"/>
      <c r="M292" s="21"/>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row>
    <row r="293" spans="1:36" s="58" customFormat="1" ht="25.5" x14ac:dyDescent="0.2">
      <c r="A293" s="39" t="s">
        <v>31</v>
      </c>
      <c r="B293" s="40" t="s">
        <v>349</v>
      </c>
      <c r="C293" s="41" t="s">
        <v>46</v>
      </c>
      <c r="D293" s="41" t="s">
        <v>77</v>
      </c>
      <c r="E293" s="41" t="s">
        <v>32</v>
      </c>
      <c r="F293" s="36">
        <v>883.8</v>
      </c>
      <c r="G293" s="36">
        <v>883.8</v>
      </c>
      <c r="H293" s="37">
        <v>883.8</v>
      </c>
      <c r="I293" s="19"/>
      <c r="J293" s="20"/>
      <c r="K293" s="20"/>
      <c r="L293" s="21"/>
      <c r="M293" s="21"/>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row>
    <row r="294" spans="1:36" s="58" customFormat="1" ht="38.25" x14ac:dyDescent="0.2">
      <c r="A294" s="39" t="s">
        <v>350</v>
      </c>
      <c r="B294" s="40" t="s">
        <v>351</v>
      </c>
      <c r="C294" s="41" t="s">
        <v>46</v>
      </c>
      <c r="D294" s="41" t="s">
        <v>77</v>
      </c>
      <c r="E294" s="41"/>
      <c r="F294" s="36">
        <f>F295</f>
        <v>500</v>
      </c>
      <c r="G294" s="36">
        <f>G295</f>
        <v>0</v>
      </c>
      <c r="H294" s="37">
        <f>H295</f>
        <v>500</v>
      </c>
      <c r="I294" s="19"/>
      <c r="J294" s="20"/>
      <c r="K294" s="20"/>
      <c r="L294" s="21"/>
      <c r="M294" s="21"/>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row>
    <row r="295" spans="1:36" s="58" customFormat="1" ht="30.75" customHeight="1" x14ac:dyDescent="0.2">
      <c r="A295" s="55" t="s">
        <v>31</v>
      </c>
      <c r="B295" s="40" t="s">
        <v>351</v>
      </c>
      <c r="C295" s="41" t="s">
        <v>46</v>
      </c>
      <c r="D295" s="41" t="s">
        <v>77</v>
      </c>
      <c r="E295" s="41" t="s">
        <v>32</v>
      </c>
      <c r="F295" s="36">
        <v>500</v>
      </c>
      <c r="G295" s="36">
        <v>0</v>
      </c>
      <c r="H295" s="37">
        <v>500</v>
      </c>
      <c r="I295" s="118"/>
      <c r="J295" s="118"/>
      <c r="K295" s="118"/>
      <c r="L295" s="118"/>
      <c r="M295" s="118"/>
      <c r="N295" s="118"/>
      <c r="O295" s="20"/>
      <c r="P295" s="20"/>
      <c r="Q295" s="20"/>
      <c r="R295" s="20"/>
      <c r="S295" s="20"/>
      <c r="T295" s="20"/>
      <c r="U295" s="20"/>
      <c r="V295" s="20"/>
      <c r="W295" s="20"/>
      <c r="X295" s="20"/>
      <c r="Y295" s="20"/>
      <c r="Z295" s="20"/>
      <c r="AA295" s="20"/>
      <c r="AB295" s="20"/>
      <c r="AC295" s="20"/>
      <c r="AD295" s="20"/>
      <c r="AE295" s="20"/>
      <c r="AF295" s="20"/>
      <c r="AG295" s="20"/>
      <c r="AH295" s="20"/>
      <c r="AI295" s="20"/>
      <c r="AJ295" s="20"/>
    </row>
    <row r="296" spans="1:36" s="58" customFormat="1" ht="51" x14ac:dyDescent="0.2">
      <c r="A296" s="39" t="s">
        <v>352</v>
      </c>
      <c r="B296" s="40" t="s">
        <v>353</v>
      </c>
      <c r="C296" s="41" t="s">
        <v>46</v>
      </c>
      <c r="D296" s="41" t="s">
        <v>104</v>
      </c>
      <c r="E296" s="41"/>
      <c r="F296" s="36">
        <f>F297</f>
        <v>80</v>
      </c>
      <c r="G296" s="36">
        <f>G297</f>
        <v>20</v>
      </c>
      <c r="H296" s="37">
        <f>H297</f>
        <v>20</v>
      </c>
      <c r="I296" s="19"/>
      <c r="J296" s="20"/>
      <c r="K296" s="20"/>
      <c r="L296" s="21"/>
      <c r="M296" s="21"/>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row>
    <row r="297" spans="1:36" s="58" customFormat="1" ht="25.5" x14ac:dyDescent="0.2">
      <c r="A297" s="55" t="s">
        <v>31</v>
      </c>
      <c r="B297" s="40" t="s">
        <v>353</v>
      </c>
      <c r="C297" s="41" t="s">
        <v>46</v>
      </c>
      <c r="D297" s="41" t="s">
        <v>104</v>
      </c>
      <c r="E297" s="41" t="s">
        <v>32</v>
      </c>
      <c r="F297" s="36">
        <v>80</v>
      </c>
      <c r="G297" s="36">
        <v>20</v>
      </c>
      <c r="H297" s="37">
        <v>20</v>
      </c>
      <c r="I297" s="19"/>
      <c r="J297" s="20"/>
      <c r="K297" s="20"/>
      <c r="L297" s="21"/>
      <c r="M297" s="21"/>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row>
    <row r="298" spans="1:36" s="58" customFormat="1" ht="25.5" x14ac:dyDescent="0.2">
      <c r="A298" s="39" t="s">
        <v>354</v>
      </c>
      <c r="B298" s="40" t="s">
        <v>355</v>
      </c>
      <c r="C298" s="41"/>
      <c r="D298" s="41"/>
      <c r="E298" s="41"/>
      <c r="F298" s="36">
        <f>F299+F300</f>
        <v>250</v>
      </c>
      <c r="G298" s="36">
        <f>G299+G300</f>
        <v>250</v>
      </c>
      <c r="H298" s="37">
        <f>H299+H300</f>
        <v>250</v>
      </c>
      <c r="I298" s="19"/>
      <c r="J298" s="20"/>
      <c r="K298" s="20"/>
      <c r="L298" s="21"/>
      <c r="M298" s="21"/>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row>
    <row r="299" spans="1:36" s="58" customFormat="1" ht="28.5" customHeight="1" x14ac:dyDescent="0.2">
      <c r="A299" s="55" t="s">
        <v>31</v>
      </c>
      <c r="B299" s="40" t="s">
        <v>355</v>
      </c>
      <c r="C299" s="41" t="s">
        <v>46</v>
      </c>
      <c r="D299" s="41" t="s">
        <v>104</v>
      </c>
      <c r="E299" s="41" t="s">
        <v>32</v>
      </c>
      <c r="F299" s="36">
        <v>250</v>
      </c>
      <c r="G299" s="36">
        <v>250</v>
      </c>
      <c r="H299" s="37">
        <v>250</v>
      </c>
      <c r="I299" s="118"/>
      <c r="J299" s="118"/>
      <c r="K299" s="118"/>
      <c r="L299" s="118"/>
      <c r="M299" s="118"/>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row>
    <row r="300" spans="1:36" s="58" customFormat="1" ht="25.5" x14ac:dyDescent="0.2">
      <c r="A300" s="55" t="s">
        <v>31</v>
      </c>
      <c r="B300" s="40" t="s">
        <v>355</v>
      </c>
      <c r="C300" s="41" t="s">
        <v>66</v>
      </c>
      <c r="D300" s="41" t="s">
        <v>77</v>
      </c>
      <c r="E300" s="41" t="s">
        <v>32</v>
      </c>
      <c r="F300" s="36">
        <f>1050-1050</f>
        <v>0</v>
      </c>
      <c r="G300" s="36">
        <v>0</v>
      </c>
      <c r="H300" s="37">
        <v>0</v>
      </c>
      <c r="I300" s="19"/>
      <c r="J300" s="20"/>
      <c r="K300" s="20"/>
      <c r="L300" s="21"/>
      <c r="M300" s="21"/>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row>
    <row r="301" spans="1:36" s="58" customFormat="1" ht="55.5" customHeight="1" x14ac:dyDescent="0.2">
      <c r="A301" s="39" t="s">
        <v>356</v>
      </c>
      <c r="B301" s="40" t="s">
        <v>357</v>
      </c>
      <c r="C301" s="41"/>
      <c r="D301" s="41"/>
      <c r="E301" s="41"/>
      <c r="F301" s="36">
        <f>F302+F305+F303+F304</f>
        <v>200</v>
      </c>
      <c r="G301" s="36">
        <f>G302+G305+G303+G304</f>
        <v>90</v>
      </c>
      <c r="H301" s="37">
        <f>H302+H305+H303+H304</f>
        <v>90</v>
      </c>
      <c r="I301" s="19"/>
      <c r="J301" s="20"/>
      <c r="K301" s="20"/>
      <c r="L301" s="21"/>
      <c r="M301" s="21"/>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row>
    <row r="302" spans="1:36" s="58" customFormat="1" ht="25.5" x14ac:dyDescent="0.2">
      <c r="A302" s="39" t="s">
        <v>31</v>
      </c>
      <c r="B302" s="40" t="s">
        <v>357</v>
      </c>
      <c r="C302" s="41" t="s">
        <v>23</v>
      </c>
      <c r="D302" s="41" t="s">
        <v>24</v>
      </c>
      <c r="E302" s="41" t="s">
        <v>32</v>
      </c>
      <c r="F302" s="36">
        <f>10+20</f>
        <v>30</v>
      </c>
      <c r="G302" s="36">
        <f>10+20</f>
        <v>30</v>
      </c>
      <c r="H302" s="37">
        <f>10+20</f>
        <v>30</v>
      </c>
      <c r="I302" s="19"/>
      <c r="J302" s="20"/>
      <c r="K302" s="20"/>
      <c r="L302" s="21"/>
      <c r="M302" s="21"/>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row>
    <row r="303" spans="1:36" s="58" customFormat="1" ht="25.5" x14ac:dyDescent="0.2">
      <c r="A303" s="55" t="s">
        <v>31</v>
      </c>
      <c r="B303" s="40" t="s">
        <v>357</v>
      </c>
      <c r="C303" s="41" t="s">
        <v>46</v>
      </c>
      <c r="D303" s="41" t="s">
        <v>77</v>
      </c>
      <c r="E303" s="41" t="s">
        <v>32</v>
      </c>
      <c r="F303" s="36">
        <v>90</v>
      </c>
      <c r="G303" s="36">
        <v>20</v>
      </c>
      <c r="H303" s="37">
        <v>20</v>
      </c>
      <c r="I303" s="19"/>
      <c r="J303" s="20"/>
      <c r="K303" s="20"/>
      <c r="L303" s="21"/>
      <c r="M303" s="21"/>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row>
    <row r="304" spans="1:36" s="58" customFormat="1" ht="25.5" x14ac:dyDescent="0.2">
      <c r="A304" s="55" t="s">
        <v>31</v>
      </c>
      <c r="B304" s="40" t="s">
        <v>357</v>
      </c>
      <c r="C304" s="41" t="s">
        <v>46</v>
      </c>
      <c r="D304" s="41" t="s">
        <v>104</v>
      </c>
      <c r="E304" s="41" t="s">
        <v>32</v>
      </c>
      <c r="F304" s="36">
        <v>55</v>
      </c>
      <c r="G304" s="36">
        <v>15</v>
      </c>
      <c r="H304" s="37">
        <v>15</v>
      </c>
      <c r="I304" s="19"/>
      <c r="J304" s="20"/>
      <c r="K304" s="20"/>
      <c r="L304" s="21"/>
      <c r="M304" s="21"/>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row>
    <row r="305" spans="1:36" s="58" customFormat="1" x14ac:dyDescent="0.2">
      <c r="A305" s="77" t="s">
        <v>358</v>
      </c>
      <c r="B305" s="40" t="s">
        <v>357</v>
      </c>
      <c r="C305" s="41" t="s">
        <v>46</v>
      </c>
      <c r="D305" s="41" t="s">
        <v>104</v>
      </c>
      <c r="E305" s="41" t="s">
        <v>359</v>
      </c>
      <c r="F305" s="36">
        <f>5+20</f>
        <v>25</v>
      </c>
      <c r="G305" s="36">
        <f>5+20</f>
        <v>25</v>
      </c>
      <c r="H305" s="37">
        <f>5+20</f>
        <v>25</v>
      </c>
      <c r="I305" s="19"/>
      <c r="J305" s="20"/>
      <c r="K305" s="20"/>
      <c r="L305" s="21"/>
      <c r="M305" s="21"/>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row>
    <row r="306" spans="1:36" s="58" customFormat="1" ht="25.5" x14ac:dyDescent="0.2">
      <c r="A306" s="55" t="s">
        <v>360</v>
      </c>
      <c r="B306" s="40" t="s">
        <v>361</v>
      </c>
      <c r="C306" s="41" t="s">
        <v>46</v>
      </c>
      <c r="D306" s="41" t="s">
        <v>77</v>
      </c>
      <c r="E306" s="41"/>
      <c r="F306" s="36">
        <f>F307</f>
        <v>100</v>
      </c>
      <c r="G306" s="36">
        <f>G307</f>
        <v>100</v>
      </c>
      <c r="H306" s="37">
        <f>H307</f>
        <v>100</v>
      </c>
      <c r="I306" s="19"/>
      <c r="J306" s="20"/>
      <c r="K306" s="20"/>
      <c r="L306" s="21"/>
      <c r="M306" s="21"/>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row>
    <row r="307" spans="1:36" s="58" customFormat="1" ht="25.5" x14ac:dyDescent="0.2">
      <c r="A307" s="55" t="s">
        <v>31</v>
      </c>
      <c r="B307" s="40" t="s">
        <v>361</v>
      </c>
      <c r="C307" s="41" t="s">
        <v>46</v>
      </c>
      <c r="D307" s="41" t="s">
        <v>77</v>
      </c>
      <c r="E307" s="41" t="s">
        <v>32</v>
      </c>
      <c r="F307" s="36">
        <v>100</v>
      </c>
      <c r="G307" s="36">
        <v>100</v>
      </c>
      <c r="H307" s="37">
        <v>100</v>
      </c>
      <c r="I307" s="19"/>
      <c r="J307" s="20"/>
      <c r="K307" s="20"/>
      <c r="L307" s="21"/>
      <c r="M307" s="21"/>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row>
    <row r="308" spans="1:36" s="58" customFormat="1" ht="25.5" x14ac:dyDescent="0.2">
      <c r="A308" s="55" t="s">
        <v>362</v>
      </c>
      <c r="B308" s="40" t="s">
        <v>363</v>
      </c>
      <c r="C308" s="41"/>
      <c r="D308" s="41"/>
      <c r="E308" s="41"/>
      <c r="F308" s="36">
        <f t="shared" ref="F308:H309" si="21">F309</f>
        <v>1400</v>
      </c>
      <c r="G308" s="36">
        <f t="shared" si="21"/>
        <v>1400</v>
      </c>
      <c r="H308" s="37">
        <f t="shared" si="21"/>
        <v>1400</v>
      </c>
      <c r="I308" s="19"/>
      <c r="J308" s="20"/>
      <c r="K308" s="20"/>
      <c r="L308" s="21"/>
      <c r="M308" s="21"/>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row>
    <row r="309" spans="1:36" s="58" customFormat="1" x14ac:dyDescent="0.2">
      <c r="A309" s="55" t="s">
        <v>364</v>
      </c>
      <c r="B309" s="40" t="s">
        <v>365</v>
      </c>
      <c r="C309" s="41" t="s">
        <v>46</v>
      </c>
      <c r="D309" s="41" t="s">
        <v>45</v>
      </c>
      <c r="E309" s="41"/>
      <c r="F309" s="36">
        <f t="shared" si="21"/>
        <v>1400</v>
      </c>
      <c r="G309" s="36">
        <f t="shared" si="21"/>
        <v>1400</v>
      </c>
      <c r="H309" s="37">
        <f t="shared" si="21"/>
        <v>1400</v>
      </c>
      <c r="I309" s="19"/>
      <c r="J309" s="20"/>
      <c r="K309" s="20"/>
      <c r="L309" s="21"/>
      <c r="M309" s="21"/>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row>
    <row r="310" spans="1:36" s="58" customFormat="1" ht="25.5" x14ac:dyDescent="0.2">
      <c r="A310" s="55" t="s">
        <v>31</v>
      </c>
      <c r="B310" s="40" t="s">
        <v>365</v>
      </c>
      <c r="C310" s="41" t="s">
        <v>46</v>
      </c>
      <c r="D310" s="41" t="s">
        <v>45</v>
      </c>
      <c r="E310" s="41" t="s">
        <v>32</v>
      </c>
      <c r="F310" s="36">
        <v>1400</v>
      </c>
      <c r="G310" s="36">
        <v>1400</v>
      </c>
      <c r="H310" s="37">
        <v>1400</v>
      </c>
      <c r="I310" s="19"/>
      <c r="J310" s="20"/>
      <c r="K310" s="20"/>
      <c r="L310" s="21"/>
      <c r="M310" s="21"/>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row>
    <row r="311" spans="1:36" s="58" customFormat="1" x14ac:dyDescent="0.2">
      <c r="A311" s="38" t="s">
        <v>366</v>
      </c>
      <c r="B311" s="40" t="s">
        <v>367</v>
      </c>
      <c r="C311" s="41"/>
      <c r="D311" s="41"/>
      <c r="E311" s="41"/>
      <c r="F311" s="36">
        <f>F312</f>
        <v>4036.6000000000004</v>
      </c>
      <c r="G311" s="36">
        <f>G312</f>
        <v>4026.6000000000004</v>
      </c>
      <c r="H311" s="37">
        <f>H312</f>
        <v>4026.6000000000004</v>
      </c>
      <c r="I311" s="19"/>
      <c r="J311" s="20"/>
      <c r="K311" s="20"/>
      <c r="L311" s="21"/>
      <c r="M311" s="21"/>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row>
    <row r="312" spans="1:36" s="58" customFormat="1" ht="25.5" x14ac:dyDescent="0.2">
      <c r="A312" s="117" t="s">
        <v>368</v>
      </c>
      <c r="B312" s="40" t="s">
        <v>369</v>
      </c>
      <c r="C312" s="41" t="s">
        <v>46</v>
      </c>
      <c r="D312" s="41" t="s">
        <v>77</v>
      </c>
      <c r="E312" s="41"/>
      <c r="F312" s="36">
        <f>F313+F314</f>
        <v>4036.6000000000004</v>
      </c>
      <c r="G312" s="36">
        <f>G313+G314</f>
        <v>4026.6000000000004</v>
      </c>
      <c r="H312" s="37">
        <f>H313+H314</f>
        <v>4026.6000000000004</v>
      </c>
      <c r="I312" s="19"/>
      <c r="J312" s="20"/>
      <c r="K312" s="20"/>
      <c r="L312" s="21"/>
      <c r="M312" s="21"/>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row>
    <row r="313" spans="1:36" s="58" customFormat="1" x14ac:dyDescent="0.2">
      <c r="A313" s="39" t="s">
        <v>69</v>
      </c>
      <c r="B313" s="40" t="s">
        <v>369</v>
      </c>
      <c r="C313" s="41" t="s">
        <v>46</v>
      </c>
      <c r="D313" s="41" t="s">
        <v>77</v>
      </c>
      <c r="E313" s="41" t="s">
        <v>70</v>
      </c>
      <c r="F313" s="36">
        <f>3887.8+34.5</f>
        <v>3922.3</v>
      </c>
      <c r="G313" s="36">
        <f>3887.8+34.5</f>
        <v>3922.3</v>
      </c>
      <c r="H313" s="37">
        <f>3887.8+34.5</f>
        <v>3922.3</v>
      </c>
      <c r="I313" s="19"/>
      <c r="J313" s="20"/>
      <c r="K313" s="20"/>
      <c r="L313" s="21"/>
      <c r="M313" s="21"/>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row>
    <row r="314" spans="1:36" s="58" customFormat="1" ht="25.5" x14ac:dyDescent="0.2">
      <c r="A314" s="39" t="s">
        <v>31</v>
      </c>
      <c r="B314" s="40" t="s">
        <v>369</v>
      </c>
      <c r="C314" s="41" t="s">
        <v>46</v>
      </c>
      <c r="D314" s="41" t="s">
        <v>77</v>
      </c>
      <c r="E314" s="41" t="s">
        <v>32</v>
      </c>
      <c r="F314" s="36">
        <v>114.3</v>
      </c>
      <c r="G314" s="36">
        <v>104.3</v>
      </c>
      <c r="H314" s="37">
        <v>104.3</v>
      </c>
      <c r="I314" s="19"/>
      <c r="J314" s="20"/>
      <c r="K314" s="20"/>
      <c r="L314" s="21"/>
      <c r="M314" s="21"/>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row>
    <row r="315" spans="1:36" s="58" customFormat="1" ht="28.5" customHeight="1" x14ac:dyDescent="0.2">
      <c r="A315" s="156" t="s">
        <v>370</v>
      </c>
      <c r="B315" s="157" t="s">
        <v>371</v>
      </c>
      <c r="C315" s="158"/>
      <c r="D315" s="158"/>
      <c r="E315" s="158"/>
      <c r="F315" s="159">
        <f>F316+F327</f>
        <v>7387.0999999999995</v>
      </c>
      <c r="G315" s="159">
        <f>G316+G327</f>
        <v>5072.6000000000004</v>
      </c>
      <c r="H315" s="160">
        <f>H316+H327</f>
        <v>4705.7</v>
      </c>
      <c r="I315" s="19"/>
      <c r="J315" s="20"/>
      <c r="K315" s="20"/>
      <c r="L315" s="21"/>
      <c r="M315" s="21"/>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row>
    <row r="316" spans="1:36" s="58" customFormat="1" x14ac:dyDescent="0.2">
      <c r="A316" s="119" t="s">
        <v>73</v>
      </c>
      <c r="B316" s="40" t="s">
        <v>372</v>
      </c>
      <c r="C316" s="41"/>
      <c r="D316" s="41"/>
      <c r="E316" s="41"/>
      <c r="F316" s="36">
        <f>F317+F320</f>
        <v>4828.8999999999996</v>
      </c>
      <c r="G316" s="36">
        <f>G317+G320</f>
        <v>2516.9</v>
      </c>
      <c r="H316" s="37">
        <f>H317+H320</f>
        <v>2150</v>
      </c>
      <c r="I316" s="19"/>
      <c r="J316" s="20"/>
      <c r="K316" s="20"/>
      <c r="L316" s="21"/>
      <c r="M316" s="21"/>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row>
    <row r="317" spans="1:36" s="58" customFormat="1" ht="25.5" x14ac:dyDescent="0.2">
      <c r="A317" s="39" t="s">
        <v>373</v>
      </c>
      <c r="B317" s="40" t="s">
        <v>374</v>
      </c>
      <c r="C317" s="41" t="s">
        <v>56</v>
      </c>
      <c r="D317" s="41" t="s">
        <v>112</v>
      </c>
      <c r="E317" s="41"/>
      <c r="F317" s="36">
        <f t="shared" ref="F317:H318" si="22">F318</f>
        <v>549</v>
      </c>
      <c r="G317" s="36">
        <f t="shared" si="22"/>
        <v>150</v>
      </c>
      <c r="H317" s="37">
        <f t="shared" si="22"/>
        <v>150</v>
      </c>
      <c r="I317" s="19"/>
      <c r="J317" s="20"/>
      <c r="K317" s="20"/>
      <c r="L317" s="21"/>
      <c r="M317" s="21"/>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row>
    <row r="318" spans="1:36" s="58" customFormat="1" x14ac:dyDescent="0.2">
      <c r="A318" s="39" t="s">
        <v>375</v>
      </c>
      <c r="B318" s="40" t="s">
        <v>376</v>
      </c>
      <c r="C318" s="41" t="s">
        <v>56</v>
      </c>
      <c r="D318" s="41" t="s">
        <v>112</v>
      </c>
      <c r="E318" s="41"/>
      <c r="F318" s="36">
        <f t="shared" si="22"/>
        <v>549</v>
      </c>
      <c r="G318" s="36">
        <f t="shared" si="22"/>
        <v>150</v>
      </c>
      <c r="H318" s="37">
        <f t="shared" si="22"/>
        <v>150</v>
      </c>
      <c r="I318" s="19"/>
      <c r="J318" s="20"/>
      <c r="K318" s="20"/>
      <c r="L318" s="21"/>
      <c r="M318" s="21"/>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row>
    <row r="319" spans="1:36" s="58" customFormat="1" ht="25.5" x14ac:dyDescent="0.2">
      <c r="A319" s="39" t="s">
        <v>31</v>
      </c>
      <c r="B319" s="40" t="s">
        <v>376</v>
      </c>
      <c r="C319" s="41" t="s">
        <v>56</v>
      </c>
      <c r="D319" s="41" t="s">
        <v>112</v>
      </c>
      <c r="E319" s="41" t="s">
        <v>32</v>
      </c>
      <c r="F319" s="36">
        <f>249+300</f>
        <v>549</v>
      </c>
      <c r="G319" s="36">
        <v>150</v>
      </c>
      <c r="H319" s="37">
        <v>150</v>
      </c>
      <c r="I319" s="19"/>
      <c r="J319" s="20"/>
      <c r="K319" s="20"/>
      <c r="L319" s="21"/>
      <c r="M319" s="21"/>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row>
    <row r="320" spans="1:36" s="58" customFormat="1" ht="25.5" x14ac:dyDescent="0.2">
      <c r="A320" s="39" t="s">
        <v>377</v>
      </c>
      <c r="B320" s="40" t="s">
        <v>378</v>
      </c>
      <c r="C320" s="41" t="s">
        <v>56</v>
      </c>
      <c r="D320" s="41" t="s">
        <v>112</v>
      </c>
      <c r="E320" s="41"/>
      <c r="F320" s="36">
        <f>F323+F321+F325</f>
        <v>4279.8999999999996</v>
      </c>
      <c r="G320" s="36">
        <f>G323+G321+G325</f>
        <v>2366.9</v>
      </c>
      <c r="H320" s="37">
        <f>H323+H321+H325</f>
        <v>2000</v>
      </c>
      <c r="I320" s="19"/>
      <c r="J320" s="20"/>
      <c r="K320" s="20"/>
      <c r="L320" s="21"/>
      <c r="M320" s="21"/>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row>
    <row r="321" spans="1:36" s="58" customFormat="1" x14ac:dyDescent="0.2">
      <c r="A321" s="47" t="s">
        <v>379</v>
      </c>
      <c r="B321" s="40" t="s">
        <v>380</v>
      </c>
      <c r="C321" s="41" t="s">
        <v>56</v>
      </c>
      <c r="D321" s="41" t="s">
        <v>112</v>
      </c>
      <c r="E321" s="41"/>
      <c r="F321" s="36">
        <f>F322</f>
        <v>2164.9</v>
      </c>
      <c r="G321" s="36">
        <f>G322</f>
        <v>1030.9000000000001</v>
      </c>
      <c r="H321" s="37">
        <f>H322</f>
        <v>0</v>
      </c>
      <c r="I321" s="19"/>
      <c r="J321" s="20"/>
      <c r="K321" s="20"/>
      <c r="L321" s="21"/>
      <c r="M321" s="21"/>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row>
    <row r="322" spans="1:36" s="58" customFormat="1" ht="25.5" x14ac:dyDescent="0.2">
      <c r="A322" s="47" t="s">
        <v>31</v>
      </c>
      <c r="B322" s="40" t="s">
        <v>380</v>
      </c>
      <c r="C322" s="41" t="s">
        <v>56</v>
      </c>
      <c r="D322" s="41" t="s">
        <v>112</v>
      </c>
      <c r="E322" s="41" t="s">
        <v>32</v>
      </c>
      <c r="F322" s="36">
        <f>2100+64.9</f>
        <v>2164.9</v>
      </c>
      <c r="G322" s="36">
        <f>1000+30.9</f>
        <v>1030.9000000000001</v>
      </c>
      <c r="H322" s="37">
        <v>0</v>
      </c>
      <c r="I322" s="19"/>
      <c r="J322" s="20"/>
      <c r="K322" s="20"/>
      <c r="L322" s="21"/>
      <c r="M322" s="21"/>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row>
    <row r="323" spans="1:36" s="58" customFormat="1" ht="25.5" x14ac:dyDescent="0.2">
      <c r="A323" s="47" t="s">
        <v>381</v>
      </c>
      <c r="B323" s="40" t="s">
        <v>382</v>
      </c>
      <c r="C323" s="41" t="s">
        <v>56</v>
      </c>
      <c r="D323" s="41" t="s">
        <v>112</v>
      </c>
      <c r="E323" s="41"/>
      <c r="F323" s="36">
        <f>F324</f>
        <v>1632</v>
      </c>
      <c r="G323" s="36">
        <f>G324</f>
        <v>336</v>
      </c>
      <c r="H323" s="37">
        <f>H324</f>
        <v>1000</v>
      </c>
      <c r="I323" s="19"/>
      <c r="J323" s="20"/>
      <c r="K323" s="20"/>
      <c r="L323" s="21"/>
      <c r="M323" s="21"/>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row>
    <row r="324" spans="1:36" s="58" customFormat="1" ht="24.75" customHeight="1" x14ac:dyDescent="0.2">
      <c r="A324" s="47" t="s">
        <v>31</v>
      </c>
      <c r="B324" s="40" t="s">
        <v>382</v>
      </c>
      <c r="C324" s="41" t="s">
        <v>56</v>
      </c>
      <c r="D324" s="41" t="s">
        <v>112</v>
      </c>
      <c r="E324" s="41" t="s">
        <v>32</v>
      </c>
      <c r="F324" s="36">
        <f>2300+100+4082+800+650-2300-4000</f>
        <v>1632</v>
      </c>
      <c r="G324" s="36">
        <f>1000-664</f>
        <v>336</v>
      </c>
      <c r="H324" s="37">
        <v>1000</v>
      </c>
      <c r="I324" s="120"/>
      <c r="J324" s="20"/>
      <c r="K324" s="20"/>
      <c r="L324" s="21"/>
      <c r="M324" s="21"/>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row>
    <row r="325" spans="1:36" s="58" customFormat="1" ht="25.5" x14ac:dyDescent="0.2">
      <c r="A325" s="47" t="s">
        <v>383</v>
      </c>
      <c r="B325" s="40" t="s">
        <v>384</v>
      </c>
      <c r="C325" s="41" t="s">
        <v>56</v>
      </c>
      <c r="D325" s="41" t="s">
        <v>112</v>
      </c>
      <c r="E325" s="41"/>
      <c r="F325" s="36">
        <f>F326</f>
        <v>483</v>
      </c>
      <c r="G325" s="36">
        <f>G326</f>
        <v>1000</v>
      </c>
      <c r="H325" s="37">
        <f>H326</f>
        <v>1000</v>
      </c>
      <c r="I325" s="19"/>
      <c r="J325" s="20"/>
      <c r="K325" s="20"/>
      <c r="L325" s="21"/>
      <c r="M325" s="21"/>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row>
    <row r="326" spans="1:36" s="58" customFormat="1" ht="25.5" x14ac:dyDescent="0.2">
      <c r="A326" s="47" t="s">
        <v>31</v>
      </c>
      <c r="B326" s="40" t="s">
        <v>384</v>
      </c>
      <c r="C326" s="41" t="s">
        <v>56</v>
      </c>
      <c r="D326" s="41" t="s">
        <v>112</v>
      </c>
      <c r="E326" s="41" t="s">
        <v>32</v>
      </c>
      <c r="F326" s="36">
        <f>3483-3000</f>
        <v>483</v>
      </c>
      <c r="G326" s="36">
        <v>1000</v>
      </c>
      <c r="H326" s="37">
        <v>1000</v>
      </c>
      <c r="I326" s="19"/>
      <c r="J326" s="20"/>
      <c r="K326" s="20"/>
      <c r="L326" s="21"/>
      <c r="M326" s="21"/>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row>
    <row r="327" spans="1:36" s="58" customFormat="1" x14ac:dyDescent="0.2">
      <c r="A327" s="73" t="s">
        <v>385</v>
      </c>
      <c r="B327" s="40" t="s">
        <v>386</v>
      </c>
      <c r="C327" s="41"/>
      <c r="D327" s="41"/>
      <c r="E327" s="41"/>
      <c r="F327" s="36">
        <f>F328+F332+F335</f>
        <v>2558.1999999999998</v>
      </c>
      <c r="G327" s="36">
        <f>G328+G332+G335</f>
        <v>2555.6999999999998</v>
      </c>
      <c r="H327" s="37">
        <f>H328+H332+H335</f>
        <v>2555.6999999999998</v>
      </c>
      <c r="I327" s="19"/>
      <c r="J327" s="20"/>
      <c r="K327" s="20"/>
      <c r="L327" s="21"/>
      <c r="M327" s="21"/>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row>
    <row r="328" spans="1:36" s="58" customFormat="1" ht="25.5" x14ac:dyDescent="0.2">
      <c r="A328" s="95" t="s">
        <v>387</v>
      </c>
      <c r="B328" s="40" t="s">
        <v>388</v>
      </c>
      <c r="C328" s="41"/>
      <c r="D328" s="41"/>
      <c r="E328" s="41"/>
      <c r="F328" s="36">
        <f>F329</f>
        <v>342.20000000000005</v>
      </c>
      <c r="G328" s="36">
        <f>G329</f>
        <v>339.7</v>
      </c>
      <c r="H328" s="37">
        <f>H329</f>
        <v>339.7</v>
      </c>
      <c r="I328" s="19"/>
      <c r="J328" s="20"/>
      <c r="K328" s="20"/>
      <c r="L328" s="21"/>
      <c r="M328" s="21"/>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row>
    <row r="329" spans="1:36" s="58" customFormat="1" ht="51" x14ac:dyDescent="0.2">
      <c r="A329" s="73" t="s">
        <v>389</v>
      </c>
      <c r="B329" s="40" t="s">
        <v>390</v>
      </c>
      <c r="C329" s="41" t="s">
        <v>23</v>
      </c>
      <c r="D329" s="41" t="s">
        <v>66</v>
      </c>
      <c r="E329" s="41"/>
      <c r="F329" s="36">
        <f>F330+F331</f>
        <v>342.20000000000005</v>
      </c>
      <c r="G329" s="36">
        <f>G330+G331</f>
        <v>339.7</v>
      </c>
      <c r="H329" s="37">
        <f>H330+H331</f>
        <v>339.7</v>
      </c>
      <c r="I329" s="19"/>
      <c r="J329" s="20"/>
      <c r="K329" s="20"/>
      <c r="L329" s="21"/>
      <c r="M329" s="21"/>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row>
    <row r="330" spans="1:36" s="58" customFormat="1" x14ac:dyDescent="0.2">
      <c r="A330" s="39" t="s">
        <v>69</v>
      </c>
      <c r="B330" s="40" t="s">
        <v>390</v>
      </c>
      <c r="C330" s="41" t="s">
        <v>23</v>
      </c>
      <c r="D330" s="41" t="s">
        <v>66</v>
      </c>
      <c r="E330" s="41" t="s">
        <v>70</v>
      </c>
      <c r="F330" s="36">
        <v>229.3</v>
      </c>
      <c r="G330" s="36">
        <v>227.6</v>
      </c>
      <c r="H330" s="37">
        <v>227.6</v>
      </c>
      <c r="I330" s="19"/>
      <c r="J330" s="20"/>
      <c r="K330" s="20"/>
      <c r="L330" s="21"/>
      <c r="M330" s="21"/>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row>
    <row r="331" spans="1:36" s="58" customFormat="1" ht="25.5" x14ac:dyDescent="0.2">
      <c r="A331" s="39" t="s">
        <v>31</v>
      </c>
      <c r="B331" s="40" t="s">
        <v>390</v>
      </c>
      <c r="C331" s="41" t="s">
        <v>23</v>
      </c>
      <c r="D331" s="41" t="s">
        <v>66</v>
      </c>
      <c r="E331" s="41" t="s">
        <v>32</v>
      </c>
      <c r="F331" s="36">
        <v>112.9</v>
      </c>
      <c r="G331" s="36">
        <v>112.1</v>
      </c>
      <c r="H331" s="37">
        <v>112.1</v>
      </c>
      <c r="I331" s="19"/>
      <c r="J331" s="20"/>
      <c r="K331" s="20"/>
      <c r="L331" s="21"/>
      <c r="M331" s="21"/>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row>
    <row r="332" spans="1:36" s="58" customFormat="1" ht="25.5" x14ac:dyDescent="0.2">
      <c r="A332" s="39" t="s">
        <v>391</v>
      </c>
      <c r="B332" s="40" t="s">
        <v>392</v>
      </c>
      <c r="C332" s="41"/>
      <c r="D332" s="41"/>
      <c r="E332" s="41"/>
      <c r="F332" s="36">
        <f t="shared" ref="F332:H333" si="23">F333</f>
        <v>2160</v>
      </c>
      <c r="G332" s="36">
        <f t="shared" si="23"/>
        <v>2160</v>
      </c>
      <c r="H332" s="37">
        <f t="shared" si="23"/>
        <v>2160</v>
      </c>
      <c r="I332" s="19"/>
      <c r="J332" s="20"/>
      <c r="K332" s="20"/>
      <c r="L332" s="21"/>
      <c r="M332" s="21"/>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row>
    <row r="333" spans="1:36" s="58" customFormat="1" x14ac:dyDescent="0.2">
      <c r="A333" s="39" t="s">
        <v>393</v>
      </c>
      <c r="B333" s="40" t="s">
        <v>394</v>
      </c>
      <c r="C333" s="41" t="s">
        <v>56</v>
      </c>
      <c r="D333" s="41" t="s">
        <v>112</v>
      </c>
      <c r="E333" s="41"/>
      <c r="F333" s="36">
        <f t="shared" si="23"/>
        <v>2160</v>
      </c>
      <c r="G333" s="36">
        <f t="shared" si="23"/>
        <v>2160</v>
      </c>
      <c r="H333" s="37">
        <f t="shared" si="23"/>
        <v>2160</v>
      </c>
      <c r="I333" s="19"/>
      <c r="J333" s="20"/>
      <c r="K333" s="20"/>
      <c r="L333" s="21"/>
      <c r="M333" s="21"/>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row>
    <row r="334" spans="1:36" s="58" customFormat="1" ht="25.5" x14ac:dyDescent="0.2">
      <c r="A334" s="39" t="s">
        <v>31</v>
      </c>
      <c r="B334" s="40" t="s">
        <v>394</v>
      </c>
      <c r="C334" s="41" t="s">
        <v>56</v>
      </c>
      <c r="D334" s="41" t="s">
        <v>112</v>
      </c>
      <c r="E334" s="41" t="s">
        <v>32</v>
      </c>
      <c r="F334" s="36">
        <v>2160</v>
      </c>
      <c r="G334" s="36">
        <v>2160</v>
      </c>
      <c r="H334" s="37">
        <v>2160</v>
      </c>
      <c r="I334" s="19"/>
      <c r="J334" s="20"/>
      <c r="K334" s="20"/>
      <c r="L334" s="21"/>
      <c r="M334" s="21"/>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row>
    <row r="335" spans="1:36" s="58" customFormat="1" ht="25.5" x14ac:dyDescent="0.2">
      <c r="A335" s="39" t="s">
        <v>395</v>
      </c>
      <c r="B335" s="40" t="s">
        <v>396</v>
      </c>
      <c r="C335" s="41"/>
      <c r="D335" s="41"/>
      <c r="E335" s="41"/>
      <c r="F335" s="36">
        <f>F336</f>
        <v>56</v>
      </c>
      <c r="G335" s="36">
        <f>G336</f>
        <v>56</v>
      </c>
      <c r="H335" s="37">
        <f>H336</f>
        <v>56</v>
      </c>
      <c r="I335" s="19"/>
      <c r="J335" s="20"/>
      <c r="K335" s="20"/>
      <c r="L335" s="21"/>
      <c r="M335" s="21"/>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row>
    <row r="336" spans="1:36" s="58" customFormat="1" x14ac:dyDescent="0.2">
      <c r="A336" s="121" t="s">
        <v>397</v>
      </c>
      <c r="B336" s="40" t="s">
        <v>398</v>
      </c>
      <c r="C336" s="41" t="s">
        <v>56</v>
      </c>
      <c r="D336" s="41" t="s">
        <v>112</v>
      </c>
      <c r="E336" s="41"/>
      <c r="F336" s="36">
        <f>F337+F338+F339</f>
        <v>56</v>
      </c>
      <c r="G336" s="36">
        <f>G337+G338+G339</f>
        <v>56</v>
      </c>
      <c r="H336" s="37">
        <f>H337+H338+H339</f>
        <v>56</v>
      </c>
      <c r="I336" s="19"/>
      <c r="J336" s="20"/>
      <c r="K336" s="20"/>
      <c r="L336" s="21"/>
      <c r="M336" s="21"/>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row>
    <row r="337" spans="1:36" s="58" customFormat="1" ht="25.5" x14ac:dyDescent="0.2">
      <c r="A337" s="39" t="s">
        <v>31</v>
      </c>
      <c r="B337" s="40" t="s">
        <v>398</v>
      </c>
      <c r="C337" s="41" t="s">
        <v>56</v>
      </c>
      <c r="D337" s="41" t="s">
        <v>112</v>
      </c>
      <c r="E337" s="41" t="s">
        <v>32</v>
      </c>
      <c r="F337" s="36">
        <v>6</v>
      </c>
      <c r="G337" s="36">
        <v>6</v>
      </c>
      <c r="H337" s="37">
        <v>6</v>
      </c>
      <c r="I337" s="19"/>
      <c r="J337" s="20"/>
      <c r="K337" s="20"/>
      <c r="L337" s="21"/>
      <c r="M337" s="21"/>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row>
    <row r="338" spans="1:36" s="58" customFormat="1" x14ac:dyDescent="0.2">
      <c r="A338" s="43" t="s">
        <v>33</v>
      </c>
      <c r="B338" s="40" t="s">
        <v>398</v>
      </c>
      <c r="C338" s="41" t="s">
        <v>56</v>
      </c>
      <c r="D338" s="41" t="s">
        <v>112</v>
      </c>
      <c r="E338" s="41" t="s">
        <v>34</v>
      </c>
      <c r="F338" s="36">
        <f>10+30</f>
        <v>40</v>
      </c>
      <c r="G338" s="36">
        <f>10+30</f>
        <v>40</v>
      </c>
      <c r="H338" s="37">
        <f>10+30</f>
        <v>40</v>
      </c>
      <c r="I338" s="19"/>
      <c r="J338" s="20"/>
      <c r="K338" s="20"/>
      <c r="L338" s="21"/>
      <c r="M338" s="21"/>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row>
    <row r="339" spans="1:36" s="58" customFormat="1" x14ac:dyDescent="0.2">
      <c r="A339" s="43" t="s">
        <v>245</v>
      </c>
      <c r="B339" s="40" t="s">
        <v>398</v>
      </c>
      <c r="C339" s="41" t="s">
        <v>56</v>
      </c>
      <c r="D339" s="41" t="s">
        <v>112</v>
      </c>
      <c r="E339" s="41" t="s">
        <v>51</v>
      </c>
      <c r="F339" s="36">
        <v>10</v>
      </c>
      <c r="G339" s="36">
        <v>10</v>
      </c>
      <c r="H339" s="37">
        <v>10</v>
      </c>
      <c r="I339" s="19"/>
      <c r="J339" s="20"/>
      <c r="K339" s="20"/>
      <c r="L339" s="21"/>
      <c r="M339" s="21"/>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row>
    <row r="340" spans="1:36" s="124" customFormat="1" ht="32.25" customHeight="1" x14ac:dyDescent="0.2">
      <c r="A340" s="156" t="s">
        <v>399</v>
      </c>
      <c r="B340" s="157" t="s">
        <v>400</v>
      </c>
      <c r="C340" s="158"/>
      <c r="D340" s="158"/>
      <c r="E340" s="158"/>
      <c r="F340" s="159">
        <f>F341+F358</f>
        <v>154542.09999999998</v>
      </c>
      <c r="G340" s="159">
        <f>G341+G358</f>
        <v>20742.2</v>
      </c>
      <c r="H340" s="160">
        <f>H341+H358</f>
        <v>21088</v>
      </c>
      <c r="I340" s="122"/>
      <c r="J340" s="122"/>
      <c r="K340" s="122"/>
      <c r="L340" s="123"/>
      <c r="M340" s="123"/>
      <c r="N340" s="122"/>
      <c r="O340" s="122"/>
      <c r="P340" s="122"/>
      <c r="Q340" s="122"/>
      <c r="R340" s="122"/>
      <c r="S340" s="122"/>
      <c r="T340" s="122"/>
      <c r="U340" s="122"/>
      <c r="V340" s="122"/>
      <c r="W340" s="122"/>
      <c r="X340" s="122"/>
      <c r="Y340" s="122"/>
      <c r="Z340" s="122"/>
      <c r="AA340" s="122"/>
      <c r="AB340" s="122"/>
      <c r="AC340" s="122"/>
      <c r="AD340" s="122"/>
      <c r="AE340" s="122"/>
      <c r="AF340" s="122"/>
      <c r="AG340" s="122"/>
      <c r="AH340" s="122"/>
      <c r="AI340" s="122"/>
      <c r="AJ340" s="122"/>
    </row>
    <row r="341" spans="1:36" s="58" customFormat="1" ht="17.25" customHeight="1" x14ac:dyDescent="0.2">
      <c r="A341" s="47" t="s">
        <v>401</v>
      </c>
      <c r="B341" s="40" t="s">
        <v>402</v>
      </c>
      <c r="C341" s="41"/>
      <c r="D341" s="41"/>
      <c r="E341" s="41"/>
      <c r="F341" s="36">
        <f>F342+F349+F352+F355</f>
        <v>139895.79999999999</v>
      </c>
      <c r="G341" s="36">
        <f>G342+G349+G352+G355</f>
        <v>7000</v>
      </c>
      <c r="H341" s="37">
        <f>H342+H349+H352+H355</f>
        <v>7000</v>
      </c>
      <c r="I341" s="19"/>
      <c r="J341" s="20"/>
      <c r="K341" s="20"/>
      <c r="L341" s="21"/>
      <c r="M341" s="21"/>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row>
    <row r="342" spans="1:36" s="58" customFormat="1" ht="26.25" customHeight="1" x14ac:dyDescent="0.2">
      <c r="A342" s="47" t="s">
        <v>403</v>
      </c>
      <c r="B342" s="40" t="s">
        <v>404</v>
      </c>
      <c r="C342" s="41" t="s">
        <v>112</v>
      </c>
      <c r="D342" s="41" t="s">
        <v>163</v>
      </c>
      <c r="E342" s="41"/>
      <c r="F342" s="36">
        <f>F343+F346</f>
        <v>130895.8</v>
      </c>
      <c r="G342" s="36">
        <f>G343+G346</f>
        <v>0</v>
      </c>
      <c r="H342" s="37">
        <f>H343+H346</f>
        <v>0</v>
      </c>
      <c r="I342" s="19"/>
      <c r="J342" s="20"/>
      <c r="K342" s="20"/>
      <c r="L342" s="21"/>
      <c r="M342" s="21"/>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row>
    <row r="343" spans="1:36" s="58" customFormat="1" ht="25.5" x14ac:dyDescent="0.2">
      <c r="A343" s="47" t="s">
        <v>405</v>
      </c>
      <c r="B343" s="40" t="s">
        <v>406</v>
      </c>
      <c r="C343" s="41" t="s">
        <v>112</v>
      </c>
      <c r="D343" s="41" t="s">
        <v>163</v>
      </c>
      <c r="E343" s="41"/>
      <c r="F343" s="36">
        <f>F344+F345</f>
        <v>18396.2</v>
      </c>
      <c r="G343" s="36">
        <f>G344+G345</f>
        <v>0</v>
      </c>
      <c r="H343" s="37">
        <f>H344+H345</f>
        <v>0</v>
      </c>
      <c r="I343" s="19"/>
      <c r="J343" s="20"/>
      <c r="K343" s="20"/>
      <c r="L343" s="21"/>
      <c r="M343" s="21"/>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row>
    <row r="344" spans="1:36" s="58" customFormat="1" ht="25.5" hidden="1" x14ac:dyDescent="0.2">
      <c r="A344" s="39" t="s">
        <v>31</v>
      </c>
      <c r="B344" s="40" t="s">
        <v>406</v>
      </c>
      <c r="C344" s="41" t="s">
        <v>112</v>
      </c>
      <c r="D344" s="41" t="s">
        <v>163</v>
      </c>
      <c r="E344" s="41" t="s">
        <v>32</v>
      </c>
      <c r="F344" s="36"/>
      <c r="G344" s="36"/>
      <c r="H344" s="37"/>
      <c r="I344" s="19"/>
      <c r="J344" s="20"/>
      <c r="K344" s="20"/>
      <c r="L344" s="21"/>
      <c r="M344" s="21"/>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row>
    <row r="345" spans="1:36" s="58" customFormat="1" x14ac:dyDescent="0.2">
      <c r="A345" s="43" t="s">
        <v>407</v>
      </c>
      <c r="B345" s="40" t="s">
        <v>406</v>
      </c>
      <c r="C345" s="41" t="s">
        <v>112</v>
      </c>
      <c r="D345" s="41" t="s">
        <v>163</v>
      </c>
      <c r="E345" s="41" t="s">
        <v>408</v>
      </c>
      <c r="F345" s="36">
        <f>17844.3+551.9</f>
        <v>18396.2</v>
      </c>
      <c r="G345" s="36">
        <v>0</v>
      </c>
      <c r="H345" s="37">
        <v>0</v>
      </c>
      <c r="I345" s="19"/>
      <c r="J345" s="20"/>
      <c r="K345" s="20"/>
      <c r="L345" s="21"/>
      <c r="M345" s="21"/>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row>
    <row r="346" spans="1:36" s="58" customFormat="1" ht="25.5" customHeight="1" x14ac:dyDescent="0.2">
      <c r="A346" s="48" t="s">
        <v>409</v>
      </c>
      <c r="B346" s="40" t="s">
        <v>410</v>
      </c>
      <c r="C346" s="61" t="s">
        <v>112</v>
      </c>
      <c r="D346" s="61" t="s">
        <v>163</v>
      </c>
      <c r="E346" s="41"/>
      <c r="F346" s="36">
        <f>F347+F348</f>
        <v>112499.6</v>
      </c>
      <c r="G346" s="36">
        <f>G347+G348</f>
        <v>0</v>
      </c>
      <c r="H346" s="37">
        <f>H347+H348</f>
        <v>0</v>
      </c>
      <c r="I346" s="19"/>
      <c r="J346" s="20"/>
      <c r="K346" s="20"/>
      <c r="L346" s="21"/>
      <c r="M346" s="21"/>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row>
    <row r="347" spans="1:36" s="58" customFormat="1" ht="25.5" hidden="1" x14ac:dyDescent="0.2">
      <c r="A347" s="47" t="s">
        <v>31</v>
      </c>
      <c r="B347" s="40" t="s">
        <v>410</v>
      </c>
      <c r="C347" s="61" t="s">
        <v>112</v>
      </c>
      <c r="D347" s="61" t="s">
        <v>163</v>
      </c>
      <c r="E347" s="41" t="s">
        <v>32</v>
      </c>
      <c r="F347" s="36"/>
      <c r="G347" s="36"/>
      <c r="H347" s="37"/>
      <c r="I347" s="19"/>
      <c r="J347" s="20"/>
      <c r="K347" s="20"/>
      <c r="L347" s="21"/>
      <c r="M347" s="21"/>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row>
    <row r="348" spans="1:36" s="58" customFormat="1" x14ac:dyDescent="0.2">
      <c r="A348" s="48" t="s">
        <v>407</v>
      </c>
      <c r="B348" s="40" t="s">
        <v>410</v>
      </c>
      <c r="C348" s="61" t="s">
        <v>112</v>
      </c>
      <c r="D348" s="61" t="s">
        <v>163</v>
      </c>
      <c r="E348" s="41" t="s">
        <v>408</v>
      </c>
      <c r="F348" s="36">
        <f>109124.6+3375</f>
        <v>112499.6</v>
      </c>
      <c r="G348" s="36">
        <v>0</v>
      </c>
      <c r="H348" s="37">
        <v>0</v>
      </c>
      <c r="I348" s="19"/>
      <c r="J348" s="20"/>
      <c r="K348" s="20"/>
      <c r="L348" s="21"/>
      <c r="M348" s="21"/>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row>
    <row r="349" spans="1:36" s="58" customFormat="1" ht="25.5" x14ac:dyDescent="0.2">
      <c r="A349" s="51" t="s">
        <v>411</v>
      </c>
      <c r="B349" s="40" t="s">
        <v>412</v>
      </c>
      <c r="C349" s="41" t="s">
        <v>112</v>
      </c>
      <c r="D349" s="41" t="s">
        <v>163</v>
      </c>
      <c r="E349" s="61"/>
      <c r="F349" s="36">
        <f t="shared" ref="F349:H350" si="24">F350</f>
        <v>1000</v>
      </c>
      <c r="G349" s="36">
        <f t="shared" si="24"/>
        <v>1000</v>
      </c>
      <c r="H349" s="37">
        <f t="shared" si="24"/>
        <v>1000</v>
      </c>
      <c r="I349" s="19"/>
      <c r="J349" s="20"/>
      <c r="K349" s="20"/>
      <c r="L349" s="21"/>
      <c r="M349" s="21"/>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row>
    <row r="350" spans="1:36" s="58" customFormat="1" x14ac:dyDescent="0.2">
      <c r="A350" s="51" t="s">
        <v>413</v>
      </c>
      <c r="B350" s="40" t="s">
        <v>414</v>
      </c>
      <c r="C350" s="41" t="s">
        <v>112</v>
      </c>
      <c r="D350" s="41" t="s">
        <v>163</v>
      </c>
      <c r="E350" s="61"/>
      <c r="F350" s="36">
        <f t="shared" si="24"/>
        <v>1000</v>
      </c>
      <c r="G350" s="36">
        <f t="shared" si="24"/>
        <v>1000</v>
      </c>
      <c r="H350" s="37">
        <f t="shared" si="24"/>
        <v>1000</v>
      </c>
      <c r="I350" s="19"/>
      <c r="J350" s="20"/>
      <c r="K350" s="20"/>
      <c r="L350" s="21"/>
      <c r="M350" s="21"/>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row>
    <row r="351" spans="1:36" s="58" customFormat="1" ht="25.5" x14ac:dyDescent="0.2">
      <c r="A351" s="51" t="s">
        <v>31</v>
      </c>
      <c r="B351" s="40" t="s">
        <v>414</v>
      </c>
      <c r="C351" s="41" t="s">
        <v>112</v>
      </c>
      <c r="D351" s="41" t="s">
        <v>163</v>
      </c>
      <c r="E351" s="61" t="s">
        <v>32</v>
      </c>
      <c r="F351" s="36">
        <v>1000</v>
      </c>
      <c r="G351" s="36">
        <v>1000</v>
      </c>
      <c r="H351" s="37">
        <v>1000</v>
      </c>
      <c r="I351" s="19"/>
      <c r="J351" s="20"/>
      <c r="K351" s="20"/>
      <c r="L351" s="21"/>
      <c r="M351" s="21"/>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row>
    <row r="352" spans="1:36" s="58" customFormat="1" ht="25.5" x14ac:dyDescent="0.2">
      <c r="A352" s="51" t="s">
        <v>415</v>
      </c>
      <c r="B352" s="40" t="s">
        <v>416</v>
      </c>
      <c r="C352" s="61" t="s">
        <v>112</v>
      </c>
      <c r="D352" s="61" t="s">
        <v>163</v>
      </c>
      <c r="E352" s="61"/>
      <c r="F352" s="36">
        <f t="shared" ref="F352:H353" si="25">F353</f>
        <v>3000</v>
      </c>
      <c r="G352" s="36">
        <f t="shared" si="25"/>
        <v>1000</v>
      </c>
      <c r="H352" s="37">
        <f t="shared" si="25"/>
        <v>1000</v>
      </c>
      <c r="I352" s="19"/>
      <c r="J352" s="20"/>
      <c r="K352" s="20"/>
      <c r="L352" s="21"/>
      <c r="M352" s="21"/>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row>
    <row r="353" spans="1:36" s="58" customFormat="1" x14ac:dyDescent="0.2">
      <c r="A353" s="51" t="s">
        <v>413</v>
      </c>
      <c r="B353" s="40" t="s">
        <v>417</v>
      </c>
      <c r="C353" s="61" t="s">
        <v>112</v>
      </c>
      <c r="D353" s="61" t="s">
        <v>163</v>
      </c>
      <c r="E353" s="61"/>
      <c r="F353" s="36">
        <f t="shared" si="25"/>
        <v>3000</v>
      </c>
      <c r="G353" s="36">
        <f t="shared" si="25"/>
        <v>1000</v>
      </c>
      <c r="H353" s="37">
        <f t="shared" si="25"/>
        <v>1000</v>
      </c>
      <c r="I353" s="19"/>
      <c r="J353" s="20"/>
      <c r="K353" s="20"/>
      <c r="L353" s="21"/>
      <c r="M353" s="21"/>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row>
    <row r="354" spans="1:36" s="58" customFormat="1" ht="25.5" x14ac:dyDescent="0.2">
      <c r="A354" s="47" t="s">
        <v>31</v>
      </c>
      <c r="B354" s="40" t="s">
        <v>417</v>
      </c>
      <c r="C354" s="61" t="s">
        <v>112</v>
      </c>
      <c r="D354" s="61" t="s">
        <v>163</v>
      </c>
      <c r="E354" s="61" t="s">
        <v>32</v>
      </c>
      <c r="F354" s="36">
        <v>3000</v>
      </c>
      <c r="G354" s="36">
        <v>1000</v>
      </c>
      <c r="H354" s="37">
        <v>1000</v>
      </c>
      <c r="I354" s="19"/>
      <c r="J354" s="20"/>
      <c r="K354" s="20"/>
      <c r="L354" s="21"/>
      <c r="M354" s="21"/>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row>
    <row r="355" spans="1:36" s="58" customFormat="1" x14ac:dyDescent="0.2">
      <c r="A355" s="47" t="s">
        <v>418</v>
      </c>
      <c r="B355" s="40" t="s">
        <v>419</v>
      </c>
      <c r="C355" s="61" t="s">
        <v>112</v>
      </c>
      <c r="D355" s="61" t="s">
        <v>163</v>
      </c>
      <c r="E355" s="61"/>
      <c r="F355" s="36">
        <f t="shared" ref="F355:H356" si="26">F356</f>
        <v>5000</v>
      </c>
      <c r="G355" s="36">
        <f t="shared" si="26"/>
        <v>5000</v>
      </c>
      <c r="H355" s="37">
        <f t="shared" si="26"/>
        <v>5000</v>
      </c>
      <c r="I355" s="19"/>
      <c r="J355" s="20"/>
      <c r="K355" s="20"/>
      <c r="L355" s="21"/>
      <c r="M355" s="21"/>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row>
    <row r="356" spans="1:36" s="58" customFormat="1" ht="25.5" x14ac:dyDescent="0.2">
      <c r="A356" s="51" t="s">
        <v>420</v>
      </c>
      <c r="B356" s="40" t="s">
        <v>421</v>
      </c>
      <c r="C356" s="41" t="s">
        <v>112</v>
      </c>
      <c r="D356" s="41" t="s">
        <v>163</v>
      </c>
      <c r="E356" s="41"/>
      <c r="F356" s="36">
        <f t="shared" si="26"/>
        <v>5000</v>
      </c>
      <c r="G356" s="36">
        <f t="shared" si="26"/>
        <v>5000</v>
      </c>
      <c r="H356" s="37">
        <f t="shared" si="26"/>
        <v>5000</v>
      </c>
      <c r="I356" s="19"/>
      <c r="J356" s="20"/>
      <c r="K356" s="20"/>
      <c r="L356" s="21"/>
      <c r="M356" s="21"/>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row>
    <row r="357" spans="1:36" s="58" customFormat="1" ht="38.25" x14ac:dyDescent="0.2">
      <c r="A357" s="125" t="s">
        <v>422</v>
      </c>
      <c r="B357" s="40" t="s">
        <v>421</v>
      </c>
      <c r="C357" s="41" t="s">
        <v>112</v>
      </c>
      <c r="D357" s="41" t="s">
        <v>163</v>
      </c>
      <c r="E357" s="41" t="s">
        <v>423</v>
      </c>
      <c r="F357" s="36">
        <v>5000</v>
      </c>
      <c r="G357" s="36">
        <v>5000</v>
      </c>
      <c r="H357" s="37">
        <v>5000</v>
      </c>
      <c r="I357" s="19"/>
      <c r="J357" s="20"/>
      <c r="K357" s="20"/>
      <c r="L357" s="21"/>
      <c r="M357" s="21"/>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row>
    <row r="358" spans="1:36" s="58" customFormat="1" x14ac:dyDescent="0.2">
      <c r="A358" s="39" t="s">
        <v>38</v>
      </c>
      <c r="B358" s="40" t="s">
        <v>424</v>
      </c>
      <c r="C358" s="41" t="s">
        <v>112</v>
      </c>
      <c r="D358" s="41" t="s">
        <v>163</v>
      </c>
      <c r="E358" s="41"/>
      <c r="F358" s="36">
        <f>F359+F367</f>
        <v>14646.3</v>
      </c>
      <c r="G358" s="36">
        <f>G359+G367</f>
        <v>13742.2</v>
      </c>
      <c r="H358" s="37">
        <f>H359+H367</f>
        <v>14088</v>
      </c>
      <c r="I358" s="19"/>
      <c r="J358" s="20"/>
      <c r="K358" s="20"/>
      <c r="L358" s="21"/>
      <c r="M358" s="21"/>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row>
    <row r="359" spans="1:36" s="58" customFormat="1" ht="38.25" x14ac:dyDescent="0.2">
      <c r="A359" s="39" t="s">
        <v>425</v>
      </c>
      <c r="B359" s="40" t="s">
        <v>426</v>
      </c>
      <c r="C359" s="41" t="s">
        <v>112</v>
      </c>
      <c r="D359" s="41" t="s">
        <v>163</v>
      </c>
      <c r="E359" s="41"/>
      <c r="F359" s="36">
        <f>F360+F363+F365</f>
        <v>5719.2</v>
      </c>
      <c r="G359" s="36">
        <f>G360+G363+G365</f>
        <v>2815.1</v>
      </c>
      <c r="H359" s="37">
        <f>H360+H363+H365</f>
        <v>2350</v>
      </c>
      <c r="I359" s="19"/>
      <c r="J359" s="20"/>
      <c r="K359" s="20"/>
      <c r="L359" s="21"/>
      <c r="M359" s="21"/>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row>
    <row r="360" spans="1:36" s="58" customFormat="1" x14ac:dyDescent="0.2">
      <c r="A360" s="76" t="s">
        <v>427</v>
      </c>
      <c r="B360" s="40" t="s">
        <v>428</v>
      </c>
      <c r="C360" s="61" t="s">
        <v>112</v>
      </c>
      <c r="D360" s="61" t="s">
        <v>163</v>
      </c>
      <c r="E360" s="61"/>
      <c r="F360" s="36">
        <f>F361+F362</f>
        <v>3369.2</v>
      </c>
      <c r="G360" s="36">
        <f>G361+G362</f>
        <v>2815.1</v>
      </c>
      <c r="H360" s="36">
        <f>H361+H362</f>
        <v>2350</v>
      </c>
      <c r="I360" s="19"/>
      <c r="J360" s="20"/>
      <c r="K360" s="20"/>
      <c r="L360" s="21"/>
      <c r="M360" s="21"/>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row>
    <row r="361" spans="1:36" s="58" customFormat="1" ht="25.5" x14ac:dyDescent="0.2">
      <c r="A361" s="47" t="s">
        <v>31</v>
      </c>
      <c r="B361" s="40" t="s">
        <v>428</v>
      </c>
      <c r="C361" s="61" t="s">
        <v>112</v>
      </c>
      <c r="D361" s="61" t="s">
        <v>163</v>
      </c>
      <c r="E361" s="61" t="s">
        <v>32</v>
      </c>
      <c r="F361" s="36">
        <f>1404.1+1500</f>
        <v>2904.1</v>
      </c>
      <c r="G361" s="36">
        <f>1500+465.1+850</f>
        <v>2815.1</v>
      </c>
      <c r="H361" s="37">
        <f>1500+850</f>
        <v>2350</v>
      </c>
      <c r="I361" s="19"/>
      <c r="J361" s="20"/>
      <c r="K361" s="20"/>
      <c r="L361" s="21"/>
      <c r="M361" s="21"/>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row>
    <row r="362" spans="1:36" s="58" customFormat="1" ht="25.5" customHeight="1" x14ac:dyDescent="0.2">
      <c r="A362" s="126" t="s">
        <v>429</v>
      </c>
      <c r="B362" s="40" t="s">
        <v>428</v>
      </c>
      <c r="C362" s="41" t="s">
        <v>112</v>
      </c>
      <c r="D362" s="41" t="s">
        <v>163</v>
      </c>
      <c r="E362" s="41" t="s">
        <v>430</v>
      </c>
      <c r="F362" s="36">
        <v>465.1</v>
      </c>
      <c r="G362" s="36">
        <v>0</v>
      </c>
      <c r="H362" s="37">
        <v>0</v>
      </c>
      <c r="I362" s="19"/>
      <c r="J362" s="20"/>
      <c r="K362" s="20"/>
      <c r="L362" s="21"/>
      <c r="M362" s="21"/>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row>
    <row r="363" spans="1:36" s="58" customFormat="1" ht="25.5" x14ac:dyDescent="0.2">
      <c r="A363" s="39" t="s">
        <v>431</v>
      </c>
      <c r="B363" s="40" t="s">
        <v>432</v>
      </c>
      <c r="C363" s="61" t="s">
        <v>112</v>
      </c>
      <c r="D363" s="61" t="s">
        <v>163</v>
      </c>
      <c r="E363" s="61"/>
      <c r="F363" s="36">
        <f>F364</f>
        <v>2000</v>
      </c>
      <c r="G363" s="36">
        <f>G364</f>
        <v>0</v>
      </c>
      <c r="H363" s="37">
        <f>H364</f>
        <v>0</v>
      </c>
      <c r="I363" s="19"/>
      <c r="J363" s="20"/>
      <c r="K363" s="20"/>
      <c r="L363" s="21"/>
      <c r="M363" s="21"/>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row>
    <row r="364" spans="1:36" s="58" customFormat="1" ht="25.5" x14ac:dyDescent="0.2">
      <c r="A364" s="47" t="s">
        <v>31</v>
      </c>
      <c r="B364" s="40" t="s">
        <v>432</v>
      </c>
      <c r="C364" s="61" t="s">
        <v>112</v>
      </c>
      <c r="D364" s="61" t="s">
        <v>163</v>
      </c>
      <c r="E364" s="61" t="s">
        <v>32</v>
      </c>
      <c r="F364" s="36">
        <f>4000-2000</f>
        <v>2000</v>
      </c>
      <c r="G364" s="36">
        <v>0</v>
      </c>
      <c r="H364" s="36">
        <v>0</v>
      </c>
      <c r="I364" s="127"/>
      <c r="J364" s="20"/>
      <c r="K364" s="20"/>
      <c r="L364" s="21"/>
      <c r="M364" s="21"/>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row>
    <row r="365" spans="1:36" s="58" customFormat="1" ht="25.5" x14ac:dyDescent="0.2">
      <c r="A365" s="128" t="s">
        <v>433</v>
      </c>
      <c r="B365" s="40" t="s">
        <v>434</v>
      </c>
      <c r="C365" s="41" t="s">
        <v>112</v>
      </c>
      <c r="D365" s="41" t="s">
        <v>163</v>
      </c>
      <c r="E365" s="41"/>
      <c r="F365" s="36">
        <f>F366</f>
        <v>350</v>
      </c>
      <c r="G365" s="36">
        <f>G366</f>
        <v>0</v>
      </c>
      <c r="H365" s="37">
        <f>H366</f>
        <v>0</v>
      </c>
      <c r="I365" s="19"/>
      <c r="J365" s="20"/>
      <c r="K365" s="20"/>
      <c r="L365" s="21"/>
      <c r="M365" s="21"/>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row>
    <row r="366" spans="1:36" s="58" customFormat="1" ht="25.5" x14ac:dyDescent="0.2">
      <c r="A366" s="47" t="s">
        <v>31</v>
      </c>
      <c r="B366" s="40" t="s">
        <v>434</v>
      </c>
      <c r="C366" s="41" t="s">
        <v>112</v>
      </c>
      <c r="D366" s="41" t="s">
        <v>163</v>
      </c>
      <c r="E366" s="41" t="s">
        <v>32</v>
      </c>
      <c r="F366" s="36">
        <v>350</v>
      </c>
      <c r="G366" s="36">
        <v>0</v>
      </c>
      <c r="H366" s="37">
        <v>0</v>
      </c>
      <c r="I366" s="19"/>
      <c r="J366" s="20"/>
      <c r="K366" s="20"/>
      <c r="L366" s="21"/>
      <c r="M366" s="21"/>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row>
    <row r="367" spans="1:36" s="58" customFormat="1" ht="25.5" x14ac:dyDescent="0.2">
      <c r="A367" s="47" t="s">
        <v>435</v>
      </c>
      <c r="B367" s="40" t="s">
        <v>436</v>
      </c>
      <c r="C367" s="41"/>
      <c r="D367" s="41"/>
      <c r="E367" s="41"/>
      <c r="F367" s="36">
        <f>F368+F370</f>
        <v>8927.1</v>
      </c>
      <c r="G367" s="36">
        <f>G368+G370</f>
        <v>10927.1</v>
      </c>
      <c r="H367" s="37">
        <f>H368+H370</f>
        <v>11738</v>
      </c>
      <c r="I367" s="19"/>
      <c r="J367" s="20"/>
      <c r="K367" s="20"/>
      <c r="L367" s="21"/>
      <c r="M367" s="21"/>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row>
    <row r="368" spans="1:36" s="58" customFormat="1" ht="25.5" x14ac:dyDescent="0.2">
      <c r="A368" s="50" t="s">
        <v>96</v>
      </c>
      <c r="B368" s="40" t="s">
        <v>437</v>
      </c>
      <c r="C368" s="41" t="s">
        <v>112</v>
      </c>
      <c r="D368" s="41" t="s">
        <v>46</v>
      </c>
      <c r="E368" s="65"/>
      <c r="F368" s="36">
        <f>F369</f>
        <v>1000</v>
      </c>
      <c r="G368" s="36">
        <f>G369</f>
        <v>3000</v>
      </c>
      <c r="H368" s="37">
        <f>H369</f>
        <v>3810.9</v>
      </c>
      <c r="I368" s="19"/>
      <c r="J368" s="20"/>
      <c r="K368" s="20"/>
      <c r="L368" s="21"/>
      <c r="M368" s="21"/>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row>
    <row r="369" spans="1:36" s="58" customFormat="1" x14ac:dyDescent="0.2">
      <c r="A369" s="50" t="s">
        <v>93</v>
      </c>
      <c r="B369" s="40" t="s">
        <v>437</v>
      </c>
      <c r="C369" s="41" t="s">
        <v>112</v>
      </c>
      <c r="D369" s="41" t="s">
        <v>46</v>
      </c>
      <c r="E369" s="61" t="s">
        <v>34</v>
      </c>
      <c r="F369" s="36">
        <v>1000</v>
      </c>
      <c r="G369" s="36">
        <v>3000</v>
      </c>
      <c r="H369" s="37">
        <f>3000+810.9</f>
        <v>3810.9</v>
      </c>
      <c r="I369" s="19"/>
      <c r="J369" s="20"/>
      <c r="K369" s="20"/>
      <c r="L369" s="21"/>
      <c r="M369" s="21"/>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row>
    <row r="370" spans="1:36" s="58" customFormat="1" ht="25.5" x14ac:dyDescent="0.2">
      <c r="A370" s="48" t="s">
        <v>167</v>
      </c>
      <c r="B370" s="40" t="s">
        <v>438</v>
      </c>
      <c r="C370" s="41" t="s">
        <v>112</v>
      </c>
      <c r="D370" s="41" t="s">
        <v>46</v>
      </c>
      <c r="E370" s="41"/>
      <c r="F370" s="36">
        <f>F371</f>
        <v>7927.1</v>
      </c>
      <c r="G370" s="36">
        <f>G371</f>
        <v>7927.1</v>
      </c>
      <c r="H370" s="37">
        <f>H371</f>
        <v>7927.1</v>
      </c>
      <c r="I370" s="19"/>
      <c r="J370" s="20"/>
      <c r="K370" s="20"/>
      <c r="L370" s="21"/>
      <c r="M370" s="21"/>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row>
    <row r="371" spans="1:36" s="58" customFormat="1" x14ac:dyDescent="0.2">
      <c r="A371" s="48" t="s">
        <v>93</v>
      </c>
      <c r="B371" s="40" t="s">
        <v>438</v>
      </c>
      <c r="C371" s="41" t="s">
        <v>112</v>
      </c>
      <c r="D371" s="41" t="s">
        <v>46</v>
      </c>
      <c r="E371" s="41" t="s">
        <v>34</v>
      </c>
      <c r="F371" s="36">
        <v>7927.1</v>
      </c>
      <c r="G371" s="36">
        <v>7927.1</v>
      </c>
      <c r="H371" s="37">
        <v>7927.1</v>
      </c>
      <c r="I371" s="19"/>
      <c r="J371" s="20"/>
      <c r="K371" s="20"/>
      <c r="L371" s="21"/>
      <c r="M371" s="21"/>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row>
    <row r="372" spans="1:36" ht="18.75" customHeight="1" x14ac:dyDescent="0.2">
      <c r="A372" s="164" t="s">
        <v>439</v>
      </c>
      <c r="B372" s="157" t="s">
        <v>440</v>
      </c>
      <c r="C372" s="158"/>
      <c r="D372" s="158"/>
      <c r="E372" s="158"/>
      <c r="F372" s="165">
        <f>F373+F379</f>
        <v>1187.8</v>
      </c>
      <c r="G372" s="165">
        <f>G373+G379</f>
        <v>1649.8000000000002</v>
      </c>
      <c r="H372" s="166">
        <f>H373+H379</f>
        <v>1549.8000000000002</v>
      </c>
    </row>
    <row r="373" spans="1:36" s="129" customFormat="1" x14ac:dyDescent="0.2">
      <c r="A373" s="39" t="s">
        <v>441</v>
      </c>
      <c r="B373" s="40" t="s">
        <v>442</v>
      </c>
      <c r="C373" s="41"/>
      <c r="D373" s="41"/>
      <c r="E373" s="41"/>
      <c r="F373" s="36">
        <f>F374</f>
        <v>107.5</v>
      </c>
      <c r="G373" s="36">
        <f>G374</f>
        <v>200</v>
      </c>
      <c r="H373" s="37">
        <f>H374</f>
        <v>100</v>
      </c>
      <c r="I373" s="67"/>
      <c r="J373" s="68"/>
      <c r="K373" s="68"/>
      <c r="L373" s="86"/>
      <c r="M373" s="86"/>
      <c r="N373" s="86"/>
      <c r="O373" s="86"/>
      <c r="P373" s="86"/>
      <c r="Q373" s="86"/>
      <c r="R373" s="86"/>
      <c r="S373" s="86"/>
      <c r="T373" s="86"/>
      <c r="U373" s="86"/>
      <c r="V373" s="86"/>
      <c r="W373" s="86"/>
      <c r="X373" s="86"/>
      <c r="Y373" s="86"/>
      <c r="Z373" s="86"/>
      <c r="AA373" s="86"/>
      <c r="AB373" s="86"/>
      <c r="AC373" s="86"/>
      <c r="AD373" s="86"/>
      <c r="AE373" s="86"/>
      <c r="AF373" s="86"/>
      <c r="AG373" s="86"/>
      <c r="AH373" s="86"/>
      <c r="AI373" s="86"/>
      <c r="AJ373" s="86"/>
    </row>
    <row r="374" spans="1:36" s="129" customFormat="1" x14ac:dyDescent="0.2">
      <c r="A374" s="39" t="s">
        <v>443</v>
      </c>
      <c r="B374" s="40" t="s">
        <v>444</v>
      </c>
      <c r="C374" s="41"/>
      <c r="D374" s="41"/>
      <c r="E374" s="41"/>
      <c r="F374" s="36">
        <f>F375+F377</f>
        <v>107.5</v>
      </c>
      <c r="G374" s="36">
        <f>G375+G377</f>
        <v>200</v>
      </c>
      <c r="H374" s="37">
        <f>H375+H377</f>
        <v>100</v>
      </c>
      <c r="I374" s="67"/>
      <c r="J374" s="68"/>
      <c r="K374" s="68"/>
      <c r="L374" s="86"/>
      <c r="M374" s="86"/>
      <c r="N374" s="86"/>
      <c r="O374" s="86"/>
      <c r="P374" s="86"/>
      <c r="Q374" s="86"/>
      <c r="R374" s="86"/>
      <c r="S374" s="86"/>
      <c r="T374" s="86"/>
      <c r="U374" s="86"/>
      <c r="V374" s="86"/>
      <c r="W374" s="86"/>
      <c r="X374" s="86"/>
      <c r="Y374" s="86"/>
      <c r="Z374" s="86"/>
      <c r="AA374" s="86"/>
      <c r="AB374" s="86"/>
      <c r="AC374" s="86"/>
      <c r="AD374" s="86"/>
      <c r="AE374" s="86"/>
      <c r="AF374" s="86"/>
      <c r="AG374" s="86"/>
      <c r="AH374" s="86"/>
      <c r="AI374" s="86"/>
      <c r="AJ374" s="86"/>
    </row>
    <row r="375" spans="1:36" s="129" customFormat="1" x14ac:dyDescent="0.2">
      <c r="A375" s="39" t="s">
        <v>445</v>
      </c>
      <c r="B375" s="40" t="s">
        <v>446</v>
      </c>
      <c r="C375" s="41" t="s">
        <v>66</v>
      </c>
      <c r="D375" s="41" t="s">
        <v>447</v>
      </c>
      <c r="E375" s="41"/>
      <c r="F375" s="36">
        <f>F376</f>
        <v>7.5</v>
      </c>
      <c r="G375" s="36">
        <f>G376</f>
        <v>100</v>
      </c>
      <c r="H375" s="37">
        <f>H376</f>
        <v>0</v>
      </c>
      <c r="I375" s="67"/>
      <c r="J375" s="68"/>
      <c r="K375" s="68"/>
      <c r="L375" s="86"/>
      <c r="M375" s="86"/>
      <c r="N375" s="86"/>
      <c r="O375" s="86"/>
      <c r="P375" s="86"/>
      <c r="Q375" s="86"/>
      <c r="R375" s="86"/>
      <c r="S375" s="86"/>
      <c r="T375" s="86"/>
      <c r="U375" s="86"/>
      <c r="V375" s="86"/>
      <c r="W375" s="86"/>
      <c r="X375" s="86"/>
      <c r="Y375" s="86"/>
      <c r="Z375" s="86"/>
      <c r="AA375" s="86"/>
      <c r="AB375" s="86"/>
      <c r="AC375" s="86"/>
      <c r="AD375" s="86"/>
      <c r="AE375" s="86"/>
      <c r="AF375" s="86"/>
      <c r="AG375" s="86"/>
      <c r="AH375" s="86"/>
      <c r="AI375" s="86"/>
      <c r="AJ375" s="86"/>
    </row>
    <row r="376" spans="1:36" s="129" customFormat="1" ht="25.5" x14ac:dyDescent="0.2">
      <c r="A376" s="39" t="s">
        <v>31</v>
      </c>
      <c r="B376" s="40" t="s">
        <v>446</v>
      </c>
      <c r="C376" s="41" t="s">
        <v>66</v>
      </c>
      <c r="D376" s="41" t="s">
        <v>447</v>
      </c>
      <c r="E376" s="41" t="s">
        <v>32</v>
      </c>
      <c r="F376" s="36">
        <v>7.5</v>
      </c>
      <c r="G376" s="36">
        <v>100</v>
      </c>
      <c r="H376" s="37">
        <v>0</v>
      </c>
      <c r="I376" s="67"/>
      <c r="J376" s="68"/>
      <c r="K376" s="68"/>
      <c r="L376" s="86"/>
      <c r="M376" s="86"/>
      <c r="N376" s="86"/>
      <c r="O376" s="86"/>
      <c r="P376" s="86"/>
      <c r="Q376" s="86"/>
      <c r="R376" s="86"/>
      <c r="S376" s="86"/>
      <c r="T376" s="86"/>
      <c r="U376" s="86"/>
      <c r="V376" s="86"/>
      <c r="W376" s="86"/>
      <c r="X376" s="86"/>
      <c r="Y376" s="86"/>
      <c r="Z376" s="86"/>
      <c r="AA376" s="86"/>
      <c r="AB376" s="86"/>
      <c r="AC376" s="86"/>
      <c r="AD376" s="86"/>
      <c r="AE376" s="86"/>
      <c r="AF376" s="86"/>
      <c r="AG376" s="86"/>
      <c r="AH376" s="86"/>
      <c r="AI376" s="86"/>
      <c r="AJ376" s="86"/>
    </row>
    <row r="377" spans="1:36" s="129" customFormat="1" ht="25.5" x14ac:dyDescent="0.2">
      <c r="A377" s="39" t="s">
        <v>448</v>
      </c>
      <c r="B377" s="40" t="s">
        <v>449</v>
      </c>
      <c r="C377" s="41" t="s">
        <v>66</v>
      </c>
      <c r="D377" s="41" t="s">
        <v>447</v>
      </c>
      <c r="E377" s="41"/>
      <c r="F377" s="36">
        <f>F378</f>
        <v>100</v>
      </c>
      <c r="G377" s="36">
        <f>G378</f>
        <v>100</v>
      </c>
      <c r="H377" s="37">
        <f>H378</f>
        <v>100</v>
      </c>
      <c r="I377" s="67"/>
      <c r="J377" s="68"/>
      <c r="K377" s="68"/>
      <c r="L377" s="86"/>
      <c r="M377" s="86"/>
      <c r="N377" s="86"/>
      <c r="O377" s="86"/>
      <c r="P377" s="86"/>
      <c r="Q377" s="86"/>
      <c r="R377" s="86"/>
      <c r="S377" s="86"/>
      <c r="T377" s="86"/>
      <c r="U377" s="86"/>
      <c r="V377" s="86"/>
      <c r="W377" s="86"/>
      <c r="X377" s="86"/>
      <c r="Y377" s="86"/>
      <c r="Z377" s="86"/>
      <c r="AA377" s="86"/>
      <c r="AB377" s="86"/>
      <c r="AC377" s="86"/>
      <c r="AD377" s="86"/>
      <c r="AE377" s="86"/>
      <c r="AF377" s="86"/>
      <c r="AG377" s="86"/>
      <c r="AH377" s="86"/>
      <c r="AI377" s="86"/>
      <c r="AJ377" s="86"/>
    </row>
    <row r="378" spans="1:36" s="129" customFormat="1" ht="25.5" x14ac:dyDescent="0.2">
      <c r="A378" s="39" t="s">
        <v>31</v>
      </c>
      <c r="B378" s="40" t="s">
        <v>449</v>
      </c>
      <c r="C378" s="41" t="s">
        <v>66</v>
      </c>
      <c r="D378" s="41" t="s">
        <v>447</v>
      </c>
      <c r="E378" s="41" t="s">
        <v>32</v>
      </c>
      <c r="F378" s="36">
        <v>100</v>
      </c>
      <c r="G378" s="36">
        <v>100</v>
      </c>
      <c r="H378" s="37">
        <v>100</v>
      </c>
      <c r="I378" s="67"/>
      <c r="J378" s="68"/>
      <c r="K378" s="68"/>
      <c r="L378" s="86"/>
      <c r="M378" s="86"/>
      <c r="N378" s="86"/>
      <c r="O378" s="86"/>
      <c r="P378" s="86"/>
      <c r="Q378" s="86"/>
      <c r="R378" s="86"/>
      <c r="S378" s="86"/>
      <c r="T378" s="86"/>
      <c r="U378" s="86"/>
      <c r="V378" s="86"/>
      <c r="W378" s="86"/>
      <c r="X378" s="86"/>
      <c r="Y378" s="86"/>
      <c r="Z378" s="86"/>
      <c r="AA378" s="86"/>
      <c r="AB378" s="86"/>
      <c r="AC378" s="86"/>
      <c r="AD378" s="86"/>
      <c r="AE378" s="86"/>
      <c r="AF378" s="86"/>
      <c r="AG378" s="86"/>
      <c r="AH378" s="86"/>
      <c r="AI378" s="86"/>
      <c r="AJ378" s="86"/>
    </row>
    <row r="379" spans="1:36" s="129" customFormat="1" x14ac:dyDescent="0.2">
      <c r="A379" s="39" t="s">
        <v>38</v>
      </c>
      <c r="B379" s="40" t="s">
        <v>450</v>
      </c>
      <c r="C379" s="41"/>
      <c r="D379" s="41"/>
      <c r="E379" s="41"/>
      <c r="F379" s="36">
        <f>F380</f>
        <v>1080.3</v>
      </c>
      <c r="G379" s="36">
        <f>G380</f>
        <v>1449.8000000000002</v>
      </c>
      <c r="H379" s="37">
        <f>H380</f>
        <v>1449.8000000000002</v>
      </c>
      <c r="I379" s="67"/>
      <c r="J379" s="68"/>
      <c r="K379" s="68"/>
      <c r="L379" s="86"/>
      <c r="M379" s="86"/>
      <c r="N379" s="86"/>
      <c r="O379" s="86"/>
      <c r="P379" s="86"/>
      <c r="Q379" s="86"/>
      <c r="R379" s="86"/>
      <c r="S379" s="86"/>
      <c r="T379" s="86"/>
      <c r="U379" s="86"/>
      <c r="V379" s="86"/>
      <c r="W379" s="86"/>
      <c r="X379" s="86"/>
      <c r="Y379" s="86"/>
      <c r="Z379" s="86"/>
      <c r="AA379" s="86"/>
      <c r="AB379" s="86"/>
      <c r="AC379" s="86"/>
      <c r="AD379" s="86"/>
      <c r="AE379" s="86"/>
      <c r="AF379" s="86"/>
      <c r="AG379" s="86"/>
      <c r="AH379" s="86"/>
      <c r="AI379" s="86"/>
      <c r="AJ379" s="86"/>
    </row>
    <row r="380" spans="1:36" s="129" customFormat="1" ht="25.5" x14ac:dyDescent="0.2">
      <c r="A380" s="39" t="s">
        <v>451</v>
      </c>
      <c r="B380" s="40" t="s">
        <v>452</v>
      </c>
      <c r="C380" s="41"/>
      <c r="D380" s="41"/>
      <c r="E380" s="41"/>
      <c r="F380" s="36">
        <f>F381+F383+F385+F387</f>
        <v>1080.3</v>
      </c>
      <c r="G380" s="36">
        <f>G381+G383+G385+G387</f>
        <v>1449.8000000000002</v>
      </c>
      <c r="H380" s="37">
        <f>H381+H383+H385+H387</f>
        <v>1449.8000000000002</v>
      </c>
      <c r="I380" s="67"/>
      <c r="J380" s="68"/>
      <c r="K380" s="68"/>
      <c r="L380" s="86"/>
      <c r="M380" s="86"/>
      <c r="N380" s="86"/>
      <c r="O380" s="86"/>
      <c r="P380" s="86"/>
      <c r="Q380" s="86"/>
      <c r="R380" s="86"/>
      <c r="S380" s="86"/>
      <c r="T380" s="86"/>
      <c r="U380" s="86"/>
      <c r="V380" s="86"/>
      <c r="W380" s="86"/>
      <c r="X380" s="86"/>
      <c r="Y380" s="86"/>
      <c r="Z380" s="86"/>
      <c r="AA380" s="86"/>
      <c r="AB380" s="86"/>
      <c r="AC380" s="86"/>
      <c r="AD380" s="86"/>
      <c r="AE380" s="86"/>
      <c r="AF380" s="86"/>
      <c r="AG380" s="86"/>
      <c r="AH380" s="86"/>
      <c r="AI380" s="86"/>
      <c r="AJ380" s="86"/>
    </row>
    <row r="381" spans="1:36" x14ac:dyDescent="0.2">
      <c r="A381" s="39" t="s">
        <v>453</v>
      </c>
      <c r="B381" s="40" t="s">
        <v>454</v>
      </c>
      <c r="C381" s="41" t="s">
        <v>66</v>
      </c>
      <c r="D381" s="41" t="s">
        <v>447</v>
      </c>
      <c r="E381" s="41"/>
      <c r="F381" s="36">
        <f>F382</f>
        <v>50</v>
      </c>
      <c r="G381" s="36">
        <f>G382</f>
        <v>50</v>
      </c>
      <c r="H381" s="37">
        <f>H382</f>
        <v>50</v>
      </c>
    </row>
    <row r="382" spans="1:36" ht="25.5" x14ac:dyDescent="0.2">
      <c r="A382" s="39" t="s">
        <v>31</v>
      </c>
      <c r="B382" s="40" t="s">
        <v>454</v>
      </c>
      <c r="C382" s="41" t="s">
        <v>66</v>
      </c>
      <c r="D382" s="41" t="s">
        <v>447</v>
      </c>
      <c r="E382" s="41" t="s">
        <v>32</v>
      </c>
      <c r="F382" s="36">
        <v>50</v>
      </c>
      <c r="G382" s="36">
        <v>50</v>
      </c>
      <c r="H382" s="37">
        <v>50</v>
      </c>
    </row>
    <row r="383" spans="1:36" ht="25.5" hidden="1" x14ac:dyDescent="0.2">
      <c r="A383" s="39" t="s">
        <v>448</v>
      </c>
      <c r="B383" s="40" t="s">
        <v>455</v>
      </c>
      <c r="C383" s="41" t="s">
        <v>66</v>
      </c>
      <c r="D383" s="41" t="s">
        <v>447</v>
      </c>
      <c r="E383" s="41"/>
      <c r="F383" s="36">
        <f>F384</f>
        <v>0</v>
      </c>
      <c r="G383" s="36">
        <f>G384</f>
        <v>0</v>
      </c>
      <c r="H383" s="37">
        <f>H384</f>
        <v>0</v>
      </c>
    </row>
    <row r="384" spans="1:36" ht="25.5" hidden="1" x14ac:dyDescent="0.2">
      <c r="A384" s="39" t="s">
        <v>31</v>
      </c>
      <c r="B384" s="40" t="s">
        <v>455</v>
      </c>
      <c r="C384" s="41" t="s">
        <v>66</v>
      </c>
      <c r="D384" s="41" t="s">
        <v>447</v>
      </c>
      <c r="E384" s="41" t="s">
        <v>32</v>
      </c>
      <c r="F384" s="36"/>
      <c r="G384" s="36">
        <v>0</v>
      </c>
      <c r="H384" s="37">
        <v>0</v>
      </c>
    </row>
    <row r="385" spans="1:36" s="58" customFormat="1" ht="25.5" x14ac:dyDescent="0.2">
      <c r="A385" s="39" t="s">
        <v>456</v>
      </c>
      <c r="B385" s="40" t="s">
        <v>457</v>
      </c>
      <c r="C385" s="41" t="s">
        <v>66</v>
      </c>
      <c r="D385" s="41" t="s">
        <v>447</v>
      </c>
      <c r="E385" s="70"/>
      <c r="F385" s="36">
        <f>F386</f>
        <v>400.5</v>
      </c>
      <c r="G385" s="36">
        <f>G386</f>
        <v>1104.1000000000001</v>
      </c>
      <c r="H385" s="37">
        <f>H386</f>
        <v>1104.1000000000001</v>
      </c>
      <c r="I385" s="19"/>
      <c r="J385" s="20"/>
      <c r="K385" s="20"/>
      <c r="L385" s="21"/>
      <c r="M385" s="21"/>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row>
    <row r="386" spans="1:36" s="58" customFormat="1" ht="38.25" x14ac:dyDescent="0.2">
      <c r="A386" s="55" t="s">
        <v>25</v>
      </c>
      <c r="B386" s="40" t="s">
        <v>457</v>
      </c>
      <c r="C386" s="41" t="s">
        <v>66</v>
      </c>
      <c r="D386" s="41" t="s">
        <v>447</v>
      </c>
      <c r="E386" s="41" t="s">
        <v>26</v>
      </c>
      <c r="F386" s="36">
        <f>380.5+20</f>
        <v>400.5</v>
      </c>
      <c r="G386" s="36">
        <f>1048.9+55.2</f>
        <v>1104.1000000000001</v>
      </c>
      <c r="H386" s="37">
        <f>1048.9+55.2</f>
        <v>1104.1000000000001</v>
      </c>
      <c r="I386" s="19"/>
      <c r="J386" s="20"/>
      <c r="K386" s="20"/>
      <c r="L386" s="21"/>
      <c r="M386" s="21"/>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row>
    <row r="387" spans="1:36" s="58" customFormat="1" ht="25.5" x14ac:dyDescent="0.2">
      <c r="A387" s="55" t="s">
        <v>458</v>
      </c>
      <c r="B387" s="40" t="s">
        <v>459</v>
      </c>
      <c r="C387" s="41" t="s">
        <v>66</v>
      </c>
      <c r="D387" s="41" t="s">
        <v>447</v>
      </c>
      <c r="E387" s="70"/>
      <c r="F387" s="36">
        <f>F388</f>
        <v>629.79999999999995</v>
      </c>
      <c r="G387" s="36">
        <f>G388</f>
        <v>295.7</v>
      </c>
      <c r="H387" s="37">
        <f>H388</f>
        <v>295.7</v>
      </c>
      <c r="I387" s="19"/>
      <c r="J387" s="20"/>
      <c r="K387" s="20"/>
      <c r="L387" s="21"/>
      <c r="M387" s="21"/>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row>
    <row r="388" spans="1:36" s="58" customFormat="1" ht="38.25" x14ac:dyDescent="0.2">
      <c r="A388" s="55" t="s">
        <v>25</v>
      </c>
      <c r="B388" s="40" t="s">
        <v>459</v>
      </c>
      <c r="C388" s="41" t="s">
        <v>66</v>
      </c>
      <c r="D388" s="41" t="s">
        <v>447</v>
      </c>
      <c r="E388" s="41" t="s">
        <v>26</v>
      </c>
      <c r="F388" s="36">
        <f>598.3+31.5</f>
        <v>629.79999999999995</v>
      </c>
      <c r="G388" s="36">
        <f>280.9+14.8</f>
        <v>295.7</v>
      </c>
      <c r="H388" s="37">
        <f>280.9+14.8</f>
        <v>295.7</v>
      </c>
      <c r="I388" s="19"/>
      <c r="J388" s="20"/>
      <c r="K388" s="20"/>
      <c r="L388" s="21"/>
      <c r="M388" s="21"/>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row>
    <row r="389" spans="1:36" s="58" customFormat="1" ht="25.5" x14ac:dyDescent="0.2">
      <c r="A389" s="156" t="s">
        <v>460</v>
      </c>
      <c r="B389" s="161" t="s">
        <v>461</v>
      </c>
      <c r="C389" s="162"/>
      <c r="D389" s="162"/>
      <c r="E389" s="162"/>
      <c r="F389" s="141">
        <f>F390+F396</f>
        <v>26911.300000000003</v>
      </c>
      <c r="G389" s="141">
        <f>G390+G396</f>
        <v>26065.300000000003</v>
      </c>
      <c r="H389" s="163">
        <f>H390+H396</f>
        <v>25984.800000000003</v>
      </c>
      <c r="I389" s="19"/>
      <c r="J389" s="20"/>
      <c r="K389" s="20"/>
      <c r="L389" s="21"/>
      <c r="M389" s="21"/>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row>
    <row r="390" spans="1:36" s="58" customFormat="1" hidden="1" x14ac:dyDescent="0.2">
      <c r="A390" s="130" t="s">
        <v>17</v>
      </c>
      <c r="B390" s="40" t="s">
        <v>462</v>
      </c>
      <c r="C390" s="41"/>
      <c r="D390" s="41"/>
      <c r="E390" s="41"/>
      <c r="F390" s="36">
        <f t="shared" ref="F390:H391" si="27">F391</f>
        <v>0</v>
      </c>
      <c r="G390" s="36">
        <f t="shared" si="27"/>
        <v>0</v>
      </c>
      <c r="H390" s="37">
        <f t="shared" si="27"/>
        <v>0</v>
      </c>
      <c r="I390" s="19"/>
      <c r="J390" s="20"/>
      <c r="K390" s="20"/>
      <c r="L390" s="21"/>
      <c r="M390" s="21"/>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row>
    <row r="391" spans="1:36" s="58" customFormat="1" ht="24" hidden="1" customHeight="1" x14ac:dyDescent="0.2">
      <c r="A391" s="47" t="s">
        <v>463</v>
      </c>
      <c r="B391" s="40" t="s">
        <v>464</v>
      </c>
      <c r="C391" s="41"/>
      <c r="D391" s="41"/>
      <c r="E391" s="41"/>
      <c r="F391" s="36">
        <f t="shared" si="27"/>
        <v>0</v>
      </c>
      <c r="G391" s="36">
        <f t="shared" si="27"/>
        <v>0</v>
      </c>
      <c r="H391" s="37">
        <f t="shared" si="27"/>
        <v>0</v>
      </c>
      <c r="I391" s="19"/>
      <c r="J391" s="20"/>
      <c r="K391" s="20"/>
      <c r="L391" s="21"/>
      <c r="M391" s="21"/>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row>
    <row r="392" spans="1:36" s="58" customFormat="1" hidden="1" x14ac:dyDescent="0.2">
      <c r="A392" s="47" t="s">
        <v>465</v>
      </c>
      <c r="B392" s="40" t="s">
        <v>466</v>
      </c>
      <c r="C392" s="41"/>
      <c r="D392" s="41"/>
      <c r="E392" s="41"/>
      <c r="F392" s="36">
        <f>F393+F394+F395</f>
        <v>0</v>
      </c>
      <c r="G392" s="36">
        <f>G393+G394+G395</f>
        <v>0</v>
      </c>
      <c r="H392" s="37">
        <f>H393+H394+H395</f>
        <v>0</v>
      </c>
      <c r="I392" s="19"/>
      <c r="J392" s="20"/>
      <c r="K392" s="20"/>
      <c r="L392" s="21"/>
      <c r="M392" s="21"/>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row>
    <row r="393" spans="1:36" s="58" customFormat="1" ht="25.5" hidden="1" x14ac:dyDescent="0.2">
      <c r="A393" s="47" t="s">
        <v>31</v>
      </c>
      <c r="B393" s="40" t="s">
        <v>466</v>
      </c>
      <c r="C393" s="41"/>
      <c r="D393" s="41"/>
      <c r="E393" s="41" t="s">
        <v>32</v>
      </c>
      <c r="F393" s="36"/>
      <c r="G393" s="36"/>
      <c r="H393" s="37"/>
      <c r="I393" s="19"/>
      <c r="J393" s="20"/>
      <c r="K393" s="20"/>
      <c r="L393" s="21"/>
      <c r="M393" s="21"/>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row>
    <row r="394" spans="1:36" s="58" customFormat="1" hidden="1" x14ac:dyDescent="0.2">
      <c r="A394" s="43" t="s">
        <v>33</v>
      </c>
      <c r="B394" s="40" t="s">
        <v>466</v>
      </c>
      <c r="C394" s="41"/>
      <c r="D394" s="41"/>
      <c r="E394" s="41" t="s">
        <v>34</v>
      </c>
      <c r="F394" s="36"/>
      <c r="G394" s="36"/>
      <c r="H394" s="37"/>
      <c r="I394" s="19"/>
      <c r="J394" s="20"/>
      <c r="K394" s="20"/>
      <c r="L394" s="21"/>
      <c r="M394" s="21"/>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row>
    <row r="395" spans="1:36" s="58" customFormat="1" hidden="1" x14ac:dyDescent="0.2">
      <c r="A395" s="43" t="s">
        <v>245</v>
      </c>
      <c r="B395" s="40" t="s">
        <v>466</v>
      </c>
      <c r="C395" s="41"/>
      <c r="D395" s="41"/>
      <c r="E395" s="41" t="s">
        <v>51</v>
      </c>
      <c r="F395" s="36"/>
      <c r="G395" s="36"/>
      <c r="H395" s="37"/>
      <c r="I395" s="19"/>
      <c r="J395" s="20"/>
      <c r="K395" s="20"/>
      <c r="L395" s="21"/>
      <c r="M395" s="21"/>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row>
    <row r="396" spans="1:36" s="58" customFormat="1" x14ac:dyDescent="0.2">
      <c r="A396" s="44" t="s">
        <v>467</v>
      </c>
      <c r="B396" s="40" t="s">
        <v>468</v>
      </c>
      <c r="C396" s="41"/>
      <c r="D396" s="41"/>
      <c r="E396" s="41"/>
      <c r="F396" s="36">
        <f>F397+F400</f>
        <v>26911.300000000003</v>
      </c>
      <c r="G396" s="36">
        <f>G397+G400</f>
        <v>26065.300000000003</v>
      </c>
      <c r="H396" s="37">
        <f>H397+H400</f>
        <v>25984.800000000003</v>
      </c>
      <c r="I396" s="19"/>
      <c r="J396" s="20"/>
      <c r="K396" s="20"/>
      <c r="L396" s="21"/>
      <c r="M396" s="21"/>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row>
    <row r="397" spans="1:36" s="58" customFormat="1" ht="38.25" x14ac:dyDescent="0.2">
      <c r="A397" s="121" t="s">
        <v>469</v>
      </c>
      <c r="B397" s="40" t="s">
        <v>470</v>
      </c>
      <c r="C397" s="41" t="s">
        <v>24</v>
      </c>
      <c r="D397" s="41" t="s">
        <v>23</v>
      </c>
      <c r="E397" s="41"/>
      <c r="F397" s="36">
        <f t="shared" ref="F397:H398" si="28">F398</f>
        <v>80.5</v>
      </c>
      <c r="G397" s="36">
        <f t="shared" si="28"/>
        <v>80.5</v>
      </c>
      <c r="H397" s="37">
        <f t="shared" si="28"/>
        <v>0</v>
      </c>
      <c r="I397" s="19"/>
      <c r="J397" s="20"/>
      <c r="K397" s="20"/>
      <c r="L397" s="21"/>
      <c r="M397" s="21"/>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row>
    <row r="398" spans="1:36" s="58" customFormat="1" x14ac:dyDescent="0.2">
      <c r="A398" s="121" t="s">
        <v>471</v>
      </c>
      <c r="B398" s="40" t="s">
        <v>472</v>
      </c>
      <c r="C398" s="41" t="s">
        <v>24</v>
      </c>
      <c r="D398" s="41" t="s">
        <v>23</v>
      </c>
      <c r="E398" s="41"/>
      <c r="F398" s="36">
        <f t="shared" si="28"/>
        <v>80.5</v>
      </c>
      <c r="G398" s="36">
        <f t="shared" si="28"/>
        <v>80.5</v>
      </c>
      <c r="H398" s="37">
        <f t="shared" si="28"/>
        <v>0</v>
      </c>
      <c r="I398" s="19"/>
      <c r="J398" s="20"/>
      <c r="K398" s="20"/>
      <c r="L398" s="21"/>
      <c r="M398" s="21"/>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row>
    <row r="399" spans="1:36" s="58" customFormat="1" x14ac:dyDescent="0.2">
      <c r="A399" s="39" t="s">
        <v>473</v>
      </c>
      <c r="B399" s="40" t="s">
        <v>472</v>
      </c>
      <c r="C399" s="41" t="s">
        <v>24</v>
      </c>
      <c r="D399" s="41" t="s">
        <v>23</v>
      </c>
      <c r="E399" s="41" t="s">
        <v>474</v>
      </c>
      <c r="F399" s="36">
        <v>80.5</v>
      </c>
      <c r="G399" s="36">
        <v>80.5</v>
      </c>
      <c r="H399" s="37">
        <v>0</v>
      </c>
      <c r="I399" s="131"/>
      <c r="J399" s="20"/>
      <c r="K399" s="20"/>
      <c r="L399" s="21"/>
      <c r="M399" s="21"/>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row>
    <row r="400" spans="1:36" s="58" customFormat="1" ht="25.5" x14ac:dyDescent="0.2">
      <c r="A400" s="132" t="s">
        <v>475</v>
      </c>
      <c r="B400" s="40" t="s">
        <v>476</v>
      </c>
      <c r="C400" s="41"/>
      <c r="D400" s="41"/>
      <c r="E400" s="41"/>
      <c r="F400" s="36">
        <f>F401+F405+F407+F409+F413</f>
        <v>26830.800000000003</v>
      </c>
      <c r="G400" s="36">
        <f>G401+G405+G407+G409+G413</f>
        <v>25984.800000000003</v>
      </c>
      <c r="H400" s="37">
        <f>H401+H405+H407+H409+H413</f>
        <v>25984.800000000003</v>
      </c>
      <c r="I400" s="131"/>
      <c r="J400" s="20"/>
      <c r="K400" s="20"/>
      <c r="L400" s="21"/>
      <c r="M400" s="21"/>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row>
    <row r="401" spans="1:36" s="58" customFormat="1" x14ac:dyDescent="0.2">
      <c r="A401" s="121" t="s">
        <v>164</v>
      </c>
      <c r="B401" s="40" t="s">
        <v>477</v>
      </c>
      <c r="C401" s="41" t="s">
        <v>23</v>
      </c>
      <c r="D401" s="41" t="s">
        <v>56</v>
      </c>
      <c r="E401" s="41"/>
      <c r="F401" s="36">
        <f>F402+F403+F404</f>
        <v>10444.200000000001</v>
      </c>
      <c r="G401" s="36">
        <f>G402+G403+G404</f>
        <v>10165.200000000001</v>
      </c>
      <c r="H401" s="37">
        <f>H402+H403+H404</f>
        <v>10165.200000000001</v>
      </c>
      <c r="I401" s="19"/>
      <c r="J401" s="20"/>
      <c r="K401" s="20"/>
      <c r="L401" s="21"/>
      <c r="M401" s="21"/>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row>
    <row r="402" spans="1:36" s="58" customFormat="1" x14ac:dyDescent="0.2">
      <c r="A402" s="39" t="s">
        <v>69</v>
      </c>
      <c r="B402" s="40" t="s">
        <v>478</v>
      </c>
      <c r="C402" s="41" t="s">
        <v>23</v>
      </c>
      <c r="D402" s="41" t="s">
        <v>56</v>
      </c>
      <c r="E402" s="41" t="s">
        <v>70</v>
      </c>
      <c r="F402" s="36">
        <f>9501.4+30.2+279</f>
        <v>9810.6</v>
      </c>
      <c r="G402" s="36">
        <f>9501.4+30.2</f>
        <v>9531.6</v>
      </c>
      <c r="H402" s="37">
        <f>9501.4+30.2</f>
        <v>9531.6</v>
      </c>
      <c r="I402" s="19"/>
      <c r="J402" s="20"/>
      <c r="K402" s="20"/>
      <c r="L402" s="21"/>
      <c r="M402" s="21"/>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row>
    <row r="403" spans="1:36" s="58" customFormat="1" ht="25.5" x14ac:dyDescent="0.2">
      <c r="A403" s="39" t="s">
        <v>31</v>
      </c>
      <c r="B403" s="40" t="s">
        <v>477</v>
      </c>
      <c r="C403" s="41" t="s">
        <v>23</v>
      </c>
      <c r="D403" s="41" t="s">
        <v>56</v>
      </c>
      <c r="E403" s="41" t="s">
        <v>32</v>
      </c>
      <c r="F403" s="36">
        <v>632.6</v>
      </c>
      <c r="G403" s="36">
        <v>632.6</v>
      </c>
      <c r="H403" s="37">
        <v>632.6</v>
      </c>
      <c r="I403" s="19"/>
      <c r="J403" s="20"/>
      <c r="K403" s="20"/>
      <c r="L403" s="21"/>
      <c r="M403" s="21"/>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row>
    <row r="404" spans="1:36" s="58" customFormat="1" x14ac:dyDescent="0.2">
      <c r="A404" s="39" t="s">
        <v>166</v>
      </c>
      <c r="B404" s="40" t="s">
        <v>477</v>
      </c>
      <c r="C404" s="41" t="s">
        <v>23</v>
      </c>
      <c r="D404" s="41" t="s">
        <v>56</v>
      </c>
      <c r="E404" s="41" t="s">
        <v>129</v>
      </c>
      <c r="F404" s="36">
        <v>1</v>
      </c>
      <c r="G404" s="36">
        <v>1</v>
      </c>
      <c r="H404" s="37">
        <v>1</v>
      </c>
      <c r="I404" s="19"/>
      <c r="J404" s="20"/>
      <c r="K404" s="20"/>
      <c r="L404" s="21"/>
      <c r="M404" s="21"/>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row>
    <row r="405" spans="1:36" s="58" customFormat="1" ht="15.75" customHeight="1" x14ac:dyDescent="0.2">
      <c r="A405" s="39" t="s">
        <v>479</v>
      </c>
      <c r="B405" s="40" t="s">
        <v>480</v>
      </c>
      <c r="C405" s="41" t="s">
        <v>23</v>
      </c>
      <c r="D405" s="41" t="s">
        <v>56</v>
      </c>
      <c r="E405" s="41"/>
      <c r="F405" s="36">
        <f>F406</f>
        <v>25</v>
      </c>
      <c r="G405" s="36">
        <f>G406</f>
        <v>25</v>
      </c>
      <c r="H405" s="37">
        <f>H406</f>
        <v>25</v>
      </c>
      <c r="I405" s="19"/>
      <c r="J405" s="20"/>
      <c r="K405" s="20"/>
      <c r="L405" s="21"/>
      <c r="M405" s="21"/>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row>
    <row r="406" spans="1:36" s="58" customFormat="1" ht="26.25" customHeight="1" x14ac:dyDescent="0.2">
      <c r="A406" s="39" t="s">
        <v>31</v>
      </c>
      <c r="B406" s="40" t="s">
        <v>480</v>
      </c>
      <c r="C406" s="41" t="s">
        <v>23</v>
      </c>
      <c r="D406" s="41" t="s">
        <v>56</v>
      </c>
      <c r="E406" s="41" t="s">
        <v>32</v>
      </c>
      <c r="F406" s="36">
        <v>25</v>
      </c>
      <c r="G406" s="36">
        <v>25</v>
      </c>
      <c r="H406" s="37">
        <v>25</v>
      </c>
      <c r="I406" s="19"/>
      <c r="J406" s="20"/>
      <c r="K406" s="20"/>
      <c r="L406" s="21"/>
      <c r="M406" s="21"/>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row>
    <row r="407" spans="1:36" s="58" customFormat="1" x14ac:dyDescent="0.2">
      <c r="A407" s="39" t="s">
        <v>481</v>
      </c>
      <c r="B407" s="40" t="s">
        <v>482</v>
      </c>
      <c r="C407" s="41" t="s">
        <v>23</v>
      </c>
      <c r="D407" s="41" t="s">
        <v>24</v>
      </c>
      <c r="E407" s="41"/>
      <c r="F407" s="36">
        <f>F408</f>
        <v>30</v>
      </c>
      <c r="G407" s="36">
        <f>G408</f>
        <v>30</v>
      </c>
      <c r="H407" s="37">
        <f>H408</f>
        <v>30</v>
      </c>
      <c r="I407" s="19"/>
      <c r="J407" s="20"/>
      <c r="K407" s="20"/>
      <c r="L407" s="21"/>
      <c r="M407" s="21"/>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row>
    <row r="408" spans="1:36" s="58" customFormat="1" x14ac:dyDescent="0.2">
      <c r="A408" s="39" t="s">
        <v>166</v>
      </c>
      <c r="B408" s="40" t="s">
        <v>482</v>
      </c>
      <c r="C408" s="41" t="s">
        <v>23</v>
      </c>
      <c r="D408" s="41" t="s">
        <v>24</v>
      </c>
      <c r="E408" s="41" t="s">
        <v>129</v>
      </c>
      <c r="F408" s="36">
        <v>30</v>
      </c>
      <c r="G408" s="36">
        <v>30</v>
      </c>
      <c r="H408" s="37">
        <v>30</v>
      </c>
      <c r="I408" s="19"/>
      <c r="J408" s="20"/>
      <c r="K408" s="20"/>
      <c r="L408" s="21"/>
      <c r="M408" s="21"/>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row>
    <row r="409" spans="1:36" s="58" customFormat="1" ht="25.5" x14ac:dyDescent="0.2">
      <c r="A409" s="39" t="s">
        <v>96</v>
      </c>
      <c r="B409" s="40" t="s">
        <v>483</v>
      </c>
      <c r="C409" s="41" t="s">
        <v>23</v>
      </c>
      <c r="D409" s="41" t="s">
        <v>24</v>
      </c>
      <c r="E409" s="41"/>
      <c r="F409" s="36">
        <f>F410+F411+F412</f>
        <v>1360.4</v>
      </c>
      <c r="G409" s="36">
        <f>G410+G411+G412</f>
        <v>793.4</v>
      </c>
      <c r="H409" s="37">
        <f>H410+H411+H412</f>
        <v>793.4</v>
      </c>
      <c r="I409" s="19"/>
      <c r="J409" s="20"/>
      <c r="K409" s="20"/>
      <c r="L409" s="21"/>
      <c r="M409" s="21"/>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row>
    <row r="410" spans="1:36" s="58" customFormat="1" hidden="1" x14ac:dyDescent="0.2">
      <c r="A410" s="133" t="s">
        <v>44</v>
      </c>
      <c r="B410" s="40" t="s">
        <v>483</v>
      </c>
      <c r="C410" s="41" t="s">
        <v>23</v>
      </c>
      <c r="D410" s="41" t="s">
        <v>24</v>
      </c>
      <c r="E410" s="41" t="s">
        <v>47</v>
      </c>
      <c r="F410" s="36"/>
      <c r="G410" s="36"/>
      <c r="H410" s="37"/>
      <c r="I410" s="19"/>
      <c r="J410" s="20"/>
      <c r="K410" s="20"/>
      <c r="L410" s="21"/>
      <c r="M410" s="21"/>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row>
    <row r="411" spans="1:36" s="58" customFormat="1" ht="25.5" x14ac:dyDescent="0.2">
      <c r="A411" s="133" t="s">
        <v>31</v>
      </c>
      <c r="B411" s="40" t="s">
        <v>483</v>
      </c>
      <c r="C411" s="41" t="s">
        <v>23</v>
      </c>
      <c r="D411" s="41" t="s">
        <v>24</v>
      </c>
      <c r="E411" s="41" t="s">
        <v>32</v>
      </c>
      <c r="F411" s="36">
        <v>1360.4</v>
      </c>
      <c r="G411" s="36">
        <v>793.4</v>
      </c>
      <c r="H411" s="37">
        <v>793.4</v>
      </c>
      <c r="I411" s="19"/>
      <c r="J411" s="20"/>
      <c r="K411" s="20"/>
      <c r="L411" s="21"/>
      <c r="M411" s="21"/>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row>
    <row r="412" spans="1:36" s="58" customFormat="1" hidden="1" x14ac:dyDescent="0.2">
      <c r="A412" s="39" t="s">
        <v>166</v>
      </c>
      <c r="B412" s="40" t="s">
        <v>483</v>
      </c>
      <c r="C412" s="41" t="s">
        <v>23</v>
      </c>
      <c r="D412" s="41" t="s">
        <v>24</v>
      </c>
      <c r="E412" s="41" t="s">
        <v>129</v>
      </c>
      <c r="F412" s="36"/>
      <c r="G412" s="36"/>
      <c r="H412" s="37"/>
      <c r="I412" s="19"/>
      <c r="J412" s="20"/>
      <c r="K412" s="20"/>
      <c r="L412" s="21"/>
      <c r="M412" s="21"/>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row>
    <row r="413" spans="1:36" s="58" customFormat="1" ht="25.5" x14ac:dyDescent="0.2">
      <c r="A413" s="42" t="s">
        <v>167</v>
      </c>
      <c r="B413" s="40" t="s">
        <v>484</v>
      </c>
      <c r="C413" s="41" t="s">
        <v>23</v>
      </c>
      <c r="D413" s="41" t="s">
        <v>24</v>
      </c>
      <c r="E413" s="41"/>
      <c r="F413" s="36">
        <f>F414</f>
        <v>14971.2</v>
      </c>
      <c r="G413" s="36">
        <f>G414</f>
        <v>14971.2</v>
      </c>
      <c r="H413" s="37">
        <f>H414</f>
        <v>14971.2</v>
      </c>
      <c r="I413" s="19"/>
      <c r="J413" s="20"/>
      <c r="K413" s="20"/>
      <c r="L413" s="21"/>
      <c r="M413" s="21"/>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row>
    <row r="414" spans="1:36" s="58" customFormat="1" x14ac:dyDescent="0.2">
      <c r="A414" s="134" t="s">
        <v>44</v>
      </c>
      <c r="B414" s="40" t="s">
        <v>484</v>
      </c>
      <c r="C414" s="41" t="s">
        <v>23</v>
      </c>
      <c r="D414" s="41" t="s">
        <v>24</v>
      </c>
      <c r="E414" s="41" t="s">
        <v>47</v>
      </c>
      <c r="F414" s="36">
        <f>2599.6+12371.6</f>
        <v>14971.2</v>
      </c>
      <c r="G414" s="36">
        <f>2599.6+12371.6</f>
        <v>14971.2</v>
      </c>
      <c r="H414" s="37">
        <f>2599.6+12371.6</f>
        <v>14971.2</v>
      </c>
      <c r="I414" s="19"/>
      <c r="J414" s="20"/>
      <c r="K414" s="20"/>
      <c r="L414" s="21"/>
      <c r="M414" s="21"/>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row>
    <row r="415" spans="1:36" s="58" customFormat="1" ht="29.25" customHeight="1" x14ac:dyDescent="0.2">
      <c r="A415" s="156" t="s">
        <v>485</v>
      </c>
      <c r="B415" s="157" t="s">
        <v>486</v>
      </c>
      <c r="C415" s="158"/>
      <c r="D415" s="158"/>
      <c r="E415" s="158"/>
      <c r="F415" s="159">
        <f>F416+F423</f>
        <v>11143.6</v>
      </c>
      <c r="G415" s="159">
        <f>G416+G423</f>
        <v>9147.4</v>
      </c>
      <c r="H415" s="160">
        <f>H416+H423</f>
        <v>9444.1</v>
      </c>
      <c r="I415" s="19"/>
      <c r="J415" s="20"/>
      <c r="K415" s="20"/>
      <c r="L415" s="21"/>
      <c r="M415" s="21"/>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row>
    <row r="416" spans="1:36" s="58" customFormat="1" x14ac:dyDescent="0.2">
      <c r="A416" s="39" t="s">
        <v>17</v>
      </c>
      <c r="B416" s="40" t="s">
        <v>487</v>
      </c>
      <c r="C416" s="41" t="s">
        <v>66</v>
      </c>
      <c r="D416" s="41" t="s">
        <v>447</v>
      </c>
      <c r="E416" s="41"/>
      <c r="F416" s="36">
        <f>F417</f>
        <v>508.1</v>
      </c>
      <c r="G416" s="36">
        <f>G417</f>
        <v>300</v>
      </c>
      <c r="H416" s="37">
        <f>H417</f>
        <v>300</v>
      </c>
      <c r="I416" s="19"/>
      <c r="J416" s="20"/>
      <c r="K416" s="20"/>
      <c r="L416" s="21"/>
      <c r="M416" s="21"/>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row>
    <row r="417" spans="1:36" s="58" customFormat="1" ht="25.5" x14ac:dyDescent="0.2">
      <c r="A417" s="39" t="s">
        <v>488</v>
      </c>
      <c r="B417" s="40" t="s">
        <v>489</v>
      </c>
      <c r="C417" s="41" t="s">
        <v>66</v>
      </c>
      <c r="D417" s="41" t="s">
        <v>447</v>
      </c>
      <c r="E417" s="41"/>
      <c r="F417" s="36">
        <f>F418+F420</f>
        <v>508.1</v>
      </c>
      <c r="G417" s="36">
        <f>G418+G420</f>
        <v>300</v>
      </c>
      <c r="H417" s="37">
        <f>H418+H420</f>
        <v>300</v>
      </c>
      <c r="I417" s="19"/>
      <c r="J417" s="20"/>
      <c r="K417" s="20"/>
      <c r="L417" s="21"/>
      <c r="M417" s="21"/>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row>
    <row r="418" spans="1:36" s="58" customFormat="1" ht="38.25" x14ac:dyDescent="0.2">
      <c r="A418" s="39" t="s">
        <v>490</v>
      </c>
      <c r="B418" s="40" t="s">
        <v>491</v>
      </c>
      <c r="C418" s="41" t="s">
        <v>66</v>
      </c>
      <c r="D418" s="41" t="s">
        <v>447</v>
      </c>
      <c r="E418" s="41"/>
      <c r="F418" s="36">
        <f>F419</f>
        <v>208.1</v>
      </c>
      <c r="G418" s="36">
        <f>G419</f>
        <v>0</v>
      </c>
      <c r="H418" s="37">
        <f>H419</f>
        <v>0</v>
      </c>
      <c r="I418" s="19"/>
      <c r="J418" s="20"/>
      <c r="K418" s="20"/>
      <c r="L418" s="21"/>
      <c r="M418" s="21"/>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row>
    <row r="419" spans="1:36" s="58" customFormat="1" ht="25.5" x14ac:dyDescent="0.2">
      <c r="A419" s="39" t="s">
        <v>31</v>
      </c>
      <c r="B419" s="40" t="s">
        <v>491</v>
      </c>
      <c r="C419" s="41" t="s">
        <v>66</v>
      </c>
      <c r="D419" s="41" t="s">
        <v>447</v>
      </c>
      <c r="E419" s="41" t="s">
        <v>32</v>
      </c>
      <c r="F419" s="36">
        <f>74.1+134</f>
        <v>208.1</v>
      </c>
      <c r="G419" s="36">
        <v>0</v>
      </c>
      <c r="H419" s="37">
        <v>0</v>
      </c>
      <c r="I419" s="19"/>
      <c r="J419" s="20"/>
      <c r="K419" s="20"/>
      <c r="L419" s="21"/>
      <c r="M419" s="21"/>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row>
    <row r="420" spans="1:36" s="58" customFormat="1" ht="25.5" x14ac:dyDescent="0.2">
      <c r="A420" s="55" t="s">
        <v>492</v>
      </c>
      <c r="B420" s="40" t="s">
        <v>493</v>
      </c>
      <c r="C420" s="41" t="s">
        <v>66</v>
      </c>
      <c r="D420" s="41" t="s">
        <v>447</v>
      </c>
      <c r="E420" s="41"/>
      <c r="F420" s="36">
        <f>F421+F422</f>
        <v>300</v>
      </c>
      <c r="G420" s="36">
        <f>G421+G422</f>
        <v>300</v>
      </c>
      <c r="H420" s="37">
        <f>H421+H422</f>
        <v>300</v>
      </c>
      <c r="I420" s="19"/>
      <c r="J420" s="20"/>
      <c r="K420" s="20"/>
      <c r="L420" s="21"/>
      <c r="M420" s="21"/>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row>
    <row r="421" spans="1:36" s="58" customFormat="1" ht="25.5" x14ac:dyDescent="0.2">
      <c r="A421" s="39" t="s">
        <v>31</v>
      </c>
      <c r="B421" s="40" t="s">
        <v>493</v>
      </c>
      <c r="C421" s="41" t="s">
        <v>66</v>
      </c>
      <c r="D421" s="41" t="s">
        <v>447</v>
      </c>
      <c r="E421" s="41" t="s">
        <v>32</v>
      </c>
      <c r="F421" s="36">
        <v>300</v>
      </c>
      <c r="G421" s="36">
        <v>300</v>
      </c>
      <c r="H421" s="37">
        <v>300</v>
      </c>
      <c r="I421" s="19"/>
      <c r="J421" s="20"/>
      <c r="K421" s="20"/>
      <c r="L421" s="21"/>
      <c r="M421" s="21"/>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row>
    <row r="422" spans="1:36" s="58" customFormat="1" hidden="1" x14ac:dyDescent="0.2">
      <c r="A422" s="39" t="s">
        <v>166</v>
      </c>
      <c r="B422" s="40" t="s">
        <v>493</v>
      </c>
      <c r="C422" s="41" t="s">
        <v>66</v>
      </c>
      <c r="D422" s="41" t="s">
        <v>447</v>
      </c>
      <c r="E422" s="41" t="s">
        <v>129</v>
      </c>
      <c r="F422" s="36">
        <v>0</v>
      </c>
      <c r="G422" s="36"/>
      <c r="H422" s="37">
        <v>0</v>
      </c>
      <c r="I422" s="19"/>
      <c r="J422" s="20"/>
      <c r="K422" s="20"/>
      <c r="L422" s="21"/>
      <c r="M422" s="21"/>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row>
    <row r="423" spans="1:36" s="58" customFormat="1" x14ac:dyDescent="0.2">
      <c r="A423" s="39" t="s">
        <v>385</v>
      </c>
      <c r="B423" s="40" t="s">
        <v>494</v>
      </c>
      <c r="C423" s="41"/>
      <c r="D423" s="41"/>
      <c r="E423" s="41"/>
      <c r="F423" s="36">
        <f>F424+F428+F436</f>
        <v>10635.5</v>
      </c>
      <c r="G423" s="36">
        <f>G424+G428+G436</f>
        <v>8847.4</v>
      </c>
      <c r="H423" s="37">
        <f>H424+H428+H436</f>
        <v>9144.1</v>
      </c>
      <c r="I423" s="19"/>
      <c r="J423" s="20"/>
      <c r="K423" s="20"/>
      <c r="L423" s="21"/>
      <c r="M423" s="21"/>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row>
    <row r="424" spans="1:36" s="58" customFormat="1" ht="51" x14ac:dyDescent="0.2">
      <c r="A424" s="39" t="s">
        <v>495</v>
      </c>
      <c r="B424" s="40" t="s">
        <v>496</v>
      </c>
      <c r="C424" s="41"/>
      <c r="D424" s="41"/>
      <c r="E424" s="41"/>
      <c r="F424" s="36">
        <f>F425</f>
        <v>2970</v>
      </c>
      <c r="G424" s="36">
        <f>G425</f>
        <v>1133.8</v>
      </c>
      <c r="H424" s="37">
        <f>H425</f>
        <v>1133.8</v>
      </c>
      <c r="I424" s="19"/>
      <c r="J424" s="20"/>
      <c r="K424" s="20"/>
      <c r="L424" s="21"/>
      <c r="M424" s="21"/>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row>
    <row r="425" spans="1:36" s="58" customFormat="1" ht="63.75" x14ac:dyDescent="0.2">
      <c r="A425" s="39" t="s">
        <v>497</v>
      </c>
      <c r="B425" s="40" t="s">
        <v>498</v>
      </c>
      <c r="C425" s="41"/>
      <c r="D425" s="41"/>
      <c r="E425" s="41"/>
      <c r="F425" s="36">
        <f>F426+F427</f>
        <v>2970</v>
      </c>
      <c r="G425" s="36">
        <f>G426+G427</f>
        <v>1133.8</v>
      </c>
      <c r="H425" s="37">
        <f>H426+H427</f>
        <v>1133.8</v>
      </c>
      <c r="I425" s="19"/>
      <c r="J425" s="20"/>
      <c r="K425" s="20"/>
      <c r="L425" s="21"/>
      <c r="M425" s="21"/>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row>
    <row r="426" spans="1:36" s="58" customFormat="1" ht="25.5" x14ac:dyDescent="0.2">
      <c r="A426" s="39" t="s">
        <v>31</v>
      </c>
      <c r="B426" s="40" t="s">
        <v>498</v>
      </c>
      <c r="C426" s="41" t="s">
        <v>66</v>
      </c>
      <c r="D426" s="41" t="s">
        <v>447</v>
      </c>
      <c r="E426" s="41" t="s">
        <v>32</v>
      </c>
      <c r="F426" s="36">
        <v>44.6</v>
      </c>
      <c r="G426" s="36">
        <v>17</v>
      </c>
      <c r="H426" s="37">
        <v>17</v>
      </c>
      <c r="I426" s="19"/>
      <c r="J426" s="20"/>
      <c r="K426" s="20"/>
      <c r="L426" s="21"/>
      <c r="M426" s="21"/>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row>
    <row r="427" spans="1:36" s="58" customFormat="1" x14ac:dyDescent="0.2">
      <c r="A427" s="43" t="s">
        <v>54</v>
      </c>
      <c r="B427" s="40" t="s">
        <v>498</v>
      </c>
      <c r="C427" s="41" t="s">
        <v>45</v>
      </c>
      <c r="D427" s="41" t="s">
        <v>46</v>
      </c>
      <c r="E427" s="41" t="s">
        <v>55</v>
      </c>
      <c r="F427" s="36">
        <v>2925.4</v>
      </c>
      <c r="G427" s="36">
        <v>1116.8</v>
      </c>
      <c r="H427" s="37">
        <v>1116.8</v>
      </c>
      <c r="I427" s="19"/>
      <c r="J427" s="20"/>
      <c r="K427" s="20"/>
      <c r="L427" s="21"/>
      <c r="M427" s="21"/>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row>
    <row r="428" spans="1:36" s="58" customFormat="1" ht="25.5" customHeight="1" x14ac:dyDescent="0.2">
      <c r="A428" s="47" t="s">
        <v>499</v>
      </c>
      <c r="B428" s="40" t="s">
        <v>500</v>
      </c>
      <c r="C428" s="41"/>
      <c r="D428" s="41"/>
      <c r="E428" s="41"/>
      <c r="F428" s="36">
        <f>F429+F432+F434</f>
        <v>3839.5</v>
      </c>
      <c r="G428" s="36">
        <f>G429+G432+G434</f>
        <v>3939.5</v>
      </c>
      <c r="H428" s="37">
        <f>H429+H432+H434</f>
        <v>4239.5</v>
      </c>
      <c r="I428" s="19"/>
      <c r="J428" s="20"/>
      <c r="K428" s="20"/>
      <c r="L428" s="21"/>
      <c r="M428" s="21"/>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row>
    <row r="429" spans="1:36" s="58" customFormat="1" ht="25.5" x14ac:dyDescent="0.2">
      <c r="A429" s="135" t="s">
        <v>501</v>
      </c>
      <c r="B429" s="34" t="s">
        <v>502</v>
      </c>
      <c r="C429" s="35" t="s">
        <v>23</v>
      </c>
      <c r="D429" s="35" t="s">
        <v>24</v>
      </c>
      <c r="E429" s="35"/>
      <c r="F429" s="36">
        <f>F430+F431</f>
        <v>2759.5</v>
      </c>
      <c r="G429" s="36">
        <f>G430+G431</f>
        <v>2759.5</v>
      </c>
      <c r="H429" s="37">
        <f>H430+H431</f>
        <v>2759.5</v>
      </c>
      <c r="I429" s="19"/>
      <c r="J429" s="20"/>
      <c r="K429" s="20"/>
      <c r="L429" s="21"/>
      <c r="M429" s="21"/>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row>
    <row r="430" spans="1:36" s="58" customFormat="1" ht="25.5" x14ac:dyDescent="0.2">
      <c r="A430" s="38" t="s">
        <v>31</v>
      </c>
      <c r="B430" s="34" t="s">
        <v>502</v>
      </c>
      <c r="C430" s="35" t="s">
        <v>23</v>
      </c>
      <c r="D430" s="35" t="s">
        <v>24</v>
      </c>
      <c r="E430" s="35" t="s">
        <v>32</v>
      </c>
      <c r="F430" s="36">
        <f>490+2224.5</f>
        <v>2714.5</v>
      </c>
      <c r="G430" s="36">
        <f>490+2224.5</f>
        <v>2714.5</v>
      </c>
      <c r="H430" s="37">
        <f>490+2224.5</f>
        <v>2714.5</v>
      </c>
      <c r="I430" s="19"/>
      <c r="J430" s="20"/>
      <c r="K430" s="20"/>
      <c r="L430" s="21"/>
      <c r="M430" s="21"/>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row>
    <row r="431" spans="1:36" s="58" customFormat="1" x14ac:dyDescent="0.2">
      <c r="A431" s="38" t="s">
        <v>166</v>
      </c>
      <c r="B431" s="34" t="s">
        <v>502</v>
      </c>
      <c r="C431" s="35" t="s">
        <v>23</v>
      </c>
      <c r="D431" s="35" t="s">
        <v>24</v>
      </c>
      <c r="E431" s="35" t="s">
        <v>129</v>
      </c>
      <c r="F431" s="36">
        <v>45</v>
      </c>
      <c r="G431" s="36">
        <v>45</v>
      </c>
      <c r="H431" s="37">
        <v>45</v>
      </c>
      <c r="I431" s="19"/>
      <c r="J431" s="20"/>
      <c r="K431" s="20"/>
      <c r="L431" s="21"/>
      <c r="M431" s="21"/>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row>
    <row r="432" spans="1:36" s="58" customFormat="1" ht="25.5" x14ac:dyDescent="0.2">
      <c r="A432" s="135" t="s">
        <v>501</v>
      </c>
      <c r="B432" s="34" t="s">
        <v>502</v>
      </c>
      <c r="C432" s="35" t="s">
        <v>112</v>
      </c>
      <c r="D432" s="35" t="s">
        <v>23</v>
      </c>
      <c r="E432" s="35"/>
      <c r="F432" s="36">
        <f>F433</f>
        <v>1080</v>
      </c>
      <c r="G432" s="36">
        <f>G433</f>
        <v>1080</v>
      </c>
      <c r="H432" s="37">
        <f>H433</f>
        <v>1080</v>
      </c>
      <c r="I432" s="19"/>
      <c r="J432" s="20"/>
      <c r="K432" s="20"/>
      <c r="L432" s="21"/>
      <c r="M432" s="21"/>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row>
    <row r="433" spans="1:36" s="58" customFormat="1" ht="25.5" x14ac:dyDescent="0.2">
      <c r="A433" s="38" t="s">
        <v>31</v>
      </c>
      <c r="B433" s="34" t="s">
        <v>502</v>
      </c>
      <c r="C433" s="35" t="s">
        <v>112</v>
      </c>
      <c r="D433" s="35" t="s">
        <v>23</v>
      </c>
      <c r="E433" s="35" t="s">
        <v>32</v>
      </c>
      <c r="F433" s="36">
        <v>1080</v>
      </c>
      <c r="G433" s="36">
        <v>1080</v>
      </c>
      <c r="H433" s="37">
        <v>1080</v>
      </c>
      <c r="I433" s="19"/>
      <c r="J433" s="20"/>
      <c r="K433" s="20"/>
      <c r="L433" s="21"/>
      <c r="M433" s="21"/>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row>
    <row r="434" spans="1:36" s="58" customFormat="1" ht="25.5" x14ac:dyDescent="0.2">
      <c r="A434" s="135" t="s">
        <v>501</v>
      </c>
      <c r="B434" s="34" t="s">
        <v>502</v>
      </c>
      <c r="C434" s="35" t="s">
        <v>112</v>
      </c>
      <c r="D434" s="35" t="s">
        <v>163</v>
      </c>
      <c r="E434" s="35"/>
      <c r="F434" s="36">
        <f>F435</f>
        <v>0</v>
      </c>
      <c r="G434" s="36">
        <f>G435</f>
        <v>100</v>
      </c>
      <c r="H434" s="37">
        <f>H435</f>
        <v>400</v>
      </c>
      <c r="I434" s="19"/>
      <c r="J434" s="20"/>
      <c r="K434" s="20"/>
      <c r="L434" s="21"/>
      <c r="M434" s="21"/>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row>
    <row r="435" spans="1:36" s="58" customFormat="1" ht="25.5" x14ac:dyDescent="0.2">
      <c r="A435" s="38" t="s">
        <v>31</v>
      </c>
      <c r="B435" s="34" t="s">
        <v>502</v>
      </c>
      <c r="C435" s="35" t="s">
        <v>112</v>
      </c>
      <c r="D435" s="35" t="s">
        <v>163</v>
      </c>
      <c r="E435" s="35" t="s">
        <v>32</v>
      </c>
      <c r="F435" s="36">
        <f>1898.9-1898.9</f>
        <v>0</v>
      </c>
      <c r="G435" s="36">
        <v>100</v>
      </c>
      <c r="H435" s="37">
        <v>400</v>
      </c>
      <c r="I435" s="136"/>
      <c r="J435" s="20"/>
      <c r="K435" s="20"/>
      <c r="L435" s="21"/>
      <c r="M435" s="21"/>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row>
    <row r="436" spans="1:36" s="58" customFormat="1" ht="38.25" x14ac:dyDescent="0.2">
      <c r="A436" s="39" t="s">
        <v>503</v>
      </c>
      <c r="B436" s="40" t="s">
        <v>504</v>
      </c>
      <c r="C436" s="41"/>
      <c r="D436" s="41"/>
      <c r="E436" s="41"/>
      <c r="F436" s="36">
        <f>F437</f>
        <v>3826</v>
      </c>
      <c r="G436" s="36">
        <f>G437</f>
        <v>3774.1</v>
      </c>
      <c r="H436" s="37">
        <f>H437</f>
        <v>3770.8</v>
      </c>
      <c r="I436" s="19"/>
      <c r="J436" s="20"/>
      <c r="K436" s="20"/>
      <c r="L436" s="21"/>
      <c r="M436" s="21"/>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row>
    <row r="437" spans="1:36" s="58" customFormat="1" x14ac:dyDescent="0.2">
      <c r="A437" s="121" t="s">
        <v>164</v>
      </c>
      <c r="B437" s="40" t="s">
        <v>505</v>
      </c>
      <c r="C437" s="41" t="s">
        <v>66</v>
      </c>
      <c r="D437" s="41" t="s">
        <v>447</v>
      </c>
      <c r="E437" s="41"/>
      <c r="F437" s="36">
        <f>F438+F439+F440</f>
        <v>3826</v>
      </c>
      <c r="G437" s="36">
        <f>G438+G439+G440</f>
        <v>3774.1</v>
      </c>
      <c r="H437" s="37">
        <f>H438+H439+H440</f>
        <v>3770.8</v>
      </c>
      <c r="I437" s="19"/>
      <c r="J437" s="20"/>
      <c r="K437" s="20"/>
      <c r="L437" s="21"/>
      <c r="M437" s="21"/>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row>
    <row r="438" spans="1:36" s="58" customFormat="1" x14ac:dyDescent="0.2">
      <c r="A438" s="39" t="s">
        <v>69</v>
      </c>
      <c r="B438" s="40" t="s">
        <v>505</v>
      </c>
      <c r="C438" s="41" t="s">
        <v>66</v>
      </c>
      <c r="D438" s="41" t="s">
        <v>447</v>
      </c>
      <c r="E438" s="41" t="s">
        <v>70</v>
      </c>
      <c r="F438" s="36">
        <f>2300.4+1031.4+19.1+51.9</f>
        <v>3402.8</v>
      </c>
      <c r="G438" s="36">
        <f>2300.4+1031.4+19.1</f>
        <v>3350.9</v>
      </c>
      <c r="H438" s="37">
        <f>2300.4+1031.4+15.8</f>
        <v>3347.6000000000004</v>
      </c>
      <c r="I438" s="19"/>
      <c r="J438" s="20"/>
      <c r="K438" s="20"/>
      <c r="L438" s="21"/>
      <c r="M438" s="21"/>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row>
    <row r="439" spans="1:36" s="58" customFormat="1" ht="25.5" x14ac:dyDescent="0.2">
      <c r="A439" s="39" t="s">
        <v>31</v>
      </c>
      <c r="B439" s="40" t="s">
        <v>505</v>
      </c>
      <c r="C439" s="41" t="s">
        <v>66</v>
      </c>
      <c r="D439" s="41" t="s">
        <v>447</v>
      </c>
      <c r="E439" s="41" t="s">
        <v>32</v>
      </c>
      <c r="F439" s="36">
        <f>362.2+60</f>
        <v>422.2</v>
      </c>
      <c r="G439" s="36">
        <v>422.2</v>
      </c>
      <c r="H439" s="37">
        <v>422.2</v>
      </c>
      <c r="I439" s="19"/>
      <c r="J439" s="20"/>
      <c r="K439" s="20"/>
      <c r="L439" s="21"/>
      <c r="M439" s="21"/>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row>
    <row r="440" spans="1:36" s="58" customFormat="1" x14ac:dyDescent="0.2">
      <c r="A440" s="39" t="s">
        <v>166</v>
      </c>
      <c r="B440" s="40" t="s">
        <v>505</v>
      </c>
      <c r="C440" s="41" t="s">
        <v>66</v>
      </c>
      <c r="D440" s="41" t="s">
        <v>447</v>
      </c>
      <c r="E440" s="41" t="s">
        <v>129</v>
      </c>
      <c r="F440" s="36">
        <v>1</v>
      </c>
      <c r="G440" s="36">
        <v>1</v>
      </c>
      <c r="H440" s="37">
        <v>1</v>
      </c>
      <c r="I440" s="19"/>
      <c r="J440" s="20"/>
      <c r="K440" s="20"/>
      <c r="L440" s="21"/>
      <c r="M440" s="21"/>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row>
    <row r="441" spans="1:36" s="58" customFormat="1" ht="32.25" customHeight="1" x14ac:dyDescent="0.2">
      <c r="A441" s="156" t="s">
        <v>506</v>
      </c>
      <c r="B441" s="157" t="s">
        <v>507</v>
      </c>
      <c r="C441" s="158"/>
      <c r="D441" s="158"/>
      <c r="E441" s="158"/>
      <c r="F441" s="159">
        <f>F442+F455</f>
        <v>8136.9</v>
      </c>
      <c r="G441" s="159">
        <f>G442+G455</f>
        <v>2886.1</v>
      </c>
      <c r="H441" s="160">
        <f>H442+H455</f>
        <v>2086.1</v>
      </c>
      <c r="I441" s="19"/>
      <c r="J441" s="20"/>
      <c r="K441" s="20"/>
      <c r="L441" s="21"/>
      <c r="M441" s="21"/>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row>
    <row r="442" spans="1:36" s="58" customFormat="1" x14ac:dyDescent="0.2">
      <c r="A442" s="39" t="s">
        <v>17</v>
      </c>
      <c r="B442" s="40" t="s">
        <v>508</v>
      </c>
      <c r="C442" s="70"/>
      <c r="D442" s="70"/>
      <c r="E442" s="70"/>
      <c r="F442" s="36">
        <f>F443+F446+F449+F452</f>
        <v>8136.9</v>
      </c>
      <c r="G442" s="36">
        <f>G443+G446+G449+G452</f>
        <v>2886.1</v>
      </c>
      <c r="H442" s="37">
        <f>H443+H446+H449+H452</f>
        <v>2086.1</v>
      </c>
      <c r="I442" s="19"/>
      <c r="J442" s="20"/>
      <c r="K442" s="20"/>
      <c r="L442" s="21"/>
      <c r="M442" s="21"/>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row>
    <row r="443" spans="1:36" s="58" customFormat="1" ht="25.5" x14ac:dyDescent="0.2">
      <c r="A443" s="39" t="s">
        <v>509</v>
      </c>
      <c r="B443" s="40" t="s">
        <v>510</v>
      </c>
      <c r="C443" s="41" t="s">
        <v>112</v>
      </c>
      <c r="D443" s="41" t="s">
        <v>23</v>
      </c>
      <c r="E443" s="41"/>
      <c r="F443" s="36">
        <f t="shared" ref="F443:H444" si="29">F444</f>
        <v>368.4</v>
      </c>
      <c r="G443" s="36">
        <f t="shared" si="29"/>
        <v>1000</v>
      </c>
      <c r="H443" s="37">
        <f t="shared" si="29"/>
        <v>1000</v>
      </c>
      <c r="I443" s="19"/>
      <c r="J443" s="20"/>
      <c r="K443" s="20"/>
      <c r="L443" s="21"/>
      <c r="M443" s="21"/>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row>
    <row r="444" spans="1:36" s="58" customFormat="1" ht="25.5" x14ac:dyDescent="0.2">
      <c r="A444" s="39" t="s">
        <v>511</v>
      </c>
      <c r="B444" s="40" t="s">
        <v>512</v>
      </c>
      <c r="C444" s="41" t="s">
        <v>112</v>
      </c>
      <c r="D444" s="41" t="s">
        <v>23</v>
      </c>
      <c r="E444" s="41"/>
      <c r="F444" s="36">
        <f t="shared" si="29"/>
        <v>368.4</v>
      </c>
      <c r="G444" s="36">
        <f t="shared" si="29"/>
        <v>1000</v>
      </c>
      <c r="H444" s="37">
        <f t="shared" si="29"/>
        <v>1000</v>
      </c>
      <c r="I444" s="19"/>
      <c r="J444" s="20"/>
      <c r="K444" s="20"/>
      <c r="L444" s="21"/>
      <c r="M444" s="21"/>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row>
    <row r="445" spans="1:36" s="58" customFormat="1" ht="26.25" customHeight="1" x14ac:dyDescent="0.2">
      <c r="A445" s="39" t="s">
        <v>31</v>
      </c>
      <c r="B445" s="40" t="s">
        <v>512</v>
      </c>
      <c r="C445" s="41" t="s">
        <v>112</v>
      </c>
      <c r="D445" s="41" t="s">
        <v>23</v>
      </c>
      <c r="E445" s="41" t="s">
        <v>32</v>
      </c>
      <c r="F445" s="36">
        <f>710.1+368.4-710.1</f>
        <v>368.4</v>
      </c>
      <c r="G445" s="36">
        <v>1000</v>
      </c>
      <c r="H445" s="37">
        <v>1000</v>
      </c>
      <c r="I445" s="118"/>
      <c r="J445" s="118"/>
      <c r="K445" s="118"/>
      <c r="L445" s="118"/>
      <c r="M445" s="118"/>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row>
    <row r="446" spans="1:36" s="58" customFormat="1" ht="25.5" x14ac:dyDescent="0.2">
      <c r="A446" s="73" t="s">
        <v>513</v>
      </c>
      <c r="B446" s="40" t="s">
        <v>514</v>
      </c>
      <c r="C446" s="41" t="s">
        <v>112</v>
      </c>
      <c r="D446" s="41" t="s">
        <v>23</v>
      </c>
      <c r="E446" s="41"/>
      <c r="F446" s="36">
        <f t="shared" ref="F446:H447" si="30">F447</f>
        <v>0</v>
      </c>
      <c r="G446" s="36">
        <f t="shared" si="30"/>
        <v>800</v>
      </c>
      <c r="H446" s="37">
        <f t="shared" si="30"/>
        <v>0</v>
      </c>
      <c r="I446" s="19"/>
      <c r="J446" s="20"/>
      <c r="K446" s="20"/>
      <c r="L446" s="21"/>
      <c r="M446" s="21"/>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row>
    <row r="447" spans="1:36" s="58" customFormat="1" ht="25.5" x14ac:dyDescent="0.2">
      <c r="A447" s="73" t="s">
        <v>515</v>
      </c>
      <c r="B447" s="40" t="s">
        <v>516</v>
      </c>
      <c r="C447" s="41" t="s">
        <v>112</v>
      </c>
      <c r="D447" s="41" t="s">
        <v>23</v>
      </c>
      <c r="E447" s="41"/>
      <c r="F447" s="36">
        <f t="shared" si="30"/>
        <v>0</v>
      </c>
      <c r="G447" s="36">
        <f t="shared" si="30"/>
        <v>800</v>
      </c>
      <c r="H447" s="37">
        <f t="shared" si="30"/>
        <v>0</v>
      </c>
      <c r="I447" s="19"/>
      <c r="J447" s="20"/>
      <c r="K447" s="20"/>
      <c r="L447" s="21"/>
      <c r="M447" s="21"/>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row>
    <row r="448" spans="1:36" s="58" customFormat="1" ht="25.5" x14ac:dyDescent="0.2">
      <c r="A448" s="39" t="s">
        <v>31</v>
      </c>
      <c r="B448" s="40" t="s">
        <v>516</v>
      </c>
      <c r="C448" s="41" t="s">
        <v>112</v>
      </c>
      <c r="D448" s="41" t="s">
        <v>23</v>
      </c>
      <c r="E448" s="41" t="s">
        <v>32</v>
      </c>
      <c r="F448" s="36">
        <f>1500-1500</f>
        <v>0</v>
      </c>
      <c r="G448" s="36">
        <v>800</v>
      </c>
      <c r="H448" s="37">
        <v>0</v>
      </c>
      <c r="I448" s="19"/>
      <c r="J448" s="20"/>
      <c r="K448" s="20"/>
      <c r="L448" s="21"/>
      <c r="M448" s="21"/>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row>
    <row r="449" spans="1:36" s="58" customFormat="1" ht="25.5" customHeight="1" x14ac:dyDescent="0.2">
      <c r="A449" s="71" t="s">
        <v>517</v>
      </c>
      <c r="B449" s="40" t="s">
        <v>518</v>
      </c>
      <c r="C449" s="41" t="s">
        <v>45</v>
      </c>
      <c r="D449" s="41" t="s">
        <v>46</v>
      </c>
      <c r="E449" s="41"/>
      <c r="F449" s="36">
        <f t="shared" ref="F449:H450" si="31">F450</f>
        <v>740.8</v>
      </c>
      <c r="G449" s="36">
        <f t="shared" si="31"/>
        <v>1086.0999999999999</v>
      </c>
      <c r="H449" s="37">
        <f t="shared" si="31"/>
        <v>1086.0999999999999</v>
      </c>
      <c r="I449" s="19"/>
      <c r="J449" s="20"/>
      <c r="K449" s="20"/>
      <c r="L449" s="21"/>
      <c r="M449" s="21"/>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row>
    <row r="450" spans="1:36" s="58" customFormat="1" ht="72" x14ac:dyDescent="0.2">
      <c r="A450" s="137" t="s">
        <v>519</v>
      </c>
      <c r="B450" s="40" t="s">
        <v>520</v>
      </c>
      <c r="C450" s="41" t="s">
        <v>45</v>
      </c>
      <c r="D450" s="41" t="s">
        <v>46</v>
      </c>
      <c r="E450" s="41"/>
      <c r="F450" s="36">
        <f t="shared" si="31"/>
        <v>740.8</v>
      </c>
      <c r="G450" s="36">
        <f t="shared" si="31"/>
        <v>1086.0999999999999</v>
      </c>
      <c r="H450" s="37">
        <f t="shared" si="31"/>
        <v>1086.0999999999999</v>
      </c>
      <c r="I450" s="19"/>
      <c r="J450" s="20"/>
      <c r="K450" s="20"/>
      <c r="L450" s="21"/>
      <c r="M450" s="21"/>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row>
    <row r="451" spans="1:36" s="58" customFormat="1" ht="25.5" x14ac:dyDescent="0.2">
      <c r="A451" s="43" t="s">
        <v>48</v>
      </c>
      <c r="B451" s="40" t="s">
        <v>520</v>
      </c>
      <c r="C451" s="41" t="s">
        <v>45</v>
      </c>
      <c r="D451" s="41" t="s">
        <v>46</v>
      </c>
      <c r="E451" s="41" t="s">
        <v>49</v>
      </c>
      <c r="F451" s="36">
        <f>174+566.8</f>
        <v>740.8</v>
      </c>
      <c r="G451" s="36">
        <f>519.6+566.5</f>
        <v>1086.0999999999999</v>
      </c>
      <c r="H451" s="37">
        <f>519.6+566.5</f>
        <v>1086.0999999999999</v>
      </c>
      <c r="I451" s="19"/>
      <c r="J451" s="20"/>
      <c r="K451" s="20"/>
      <c r="L451" s="21"/>
      <c r="M451" s="21"/>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row>
    <row r="452" spans="1:36" s="58" customFormat="1" ht="25.5" x14ac:dyDescent="0.2">
      <c r="A452" s="73" t="s">
        <v>521</v>
      </c>
      <c r="B452" s="40" t="s">
        <v>522</v>
      </c>
      <c r="C452" s="41"/>
      <c r="D452" s="41"/>
      <c r="E452" s="41"/>
      <c r="F452" s="36">
        <f t="shared" ref="F452:H453" si="32">F453</f>
        <v>7027.7</v>
      </c>
      <c r="G452" s="36">
        <f t="shared" si="32"/>
        <v>0</v>
      </c>
      <c r="H452" s="37">
        <f t="shared" si="32"/>
        <v>0</v>
      </c>
      <c r="I452" s="19"/>
      <c r="J452" s="20"/>
      <c r="K452" s="20"/>
      <c r="L452" s="21"/>
      <c r="M452" s="21"/>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row>
    <row r="453" spans="1:36" s="58" customFormat="1" ht="25.5" x14ac:dyDescent="0.2">
      <c r="A453" s="44" t="s">
        <v>523</v>
      </c>
      <c r="B453" s="40" t="s">
        <v>524</v>
      </c>
      <c r="C453" s="41" t="s">
        <v>45</v>
      </c>
      <c r="D453" s="41" t="s">
        <v>46</v>
      </c>
      <c r="E453" s="41"/>
      <c r="F453" s="36">
        <f t="shared" si="32"/>
        <v>7027.7</v>
      </c>
      <c r="G453" s="36">
        <f t="shared" si="32"/>
        <v>0</v>
      </c>
      <c r="H453" s="37">
        <f t="shared" si="32"/>
        <v>0</v>
      </c>
      <c r="I453" s="19"/>
      <c r="J453" s="20"/>
      <c r="K453" s="20"/>
      <c r="L453" s="21"/>
      <c r="M453" s="21"/>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row>
    <row r="454" spans="1:36" s="58" customFormat="1" ht="25.5" x14ac:dyDescent="0.2">
      <c r="A454" s="43" t="s">
        <v>48</v>
      </c>
      <c r="B454" s="40" t="s">
        <v>524</v>
      </c>
      <c r="C454" s="41" t="s">
        <v>45</v>
      </c>
      <c r="D454" s="41" t="s">
        <v>46</v>
      </c>
      <c r="E454" s="41" t="s">
        <v>49</v>
      </c>
      <c r="F454" s="36">
        <f>6676.3+351.4</f>
        <v>7027.7</v>
      </c>
      <c r="G454" s="36">
        <v>0</v>
      </c>
      <c r="H454" s="37">
        <v>0</v>
      </c>
      <c r="I454" s="19"/>
      <c r="J454" s="20"/>
      <c r="K454" s="20"/>
      <c r="L454" s="21"/>
      <c r="M454" s="21"/>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row>
    <row r="455" spans="1:36" s="58" customFormat="1" hidden="1" x14ac:dyDescent="0.2">
      <c r="A455" s="73" t="s">
        <v>38</v>
      </c>
      <c r="B455" s="40" t="s">
        <v>525</v>
      </c>
      <c r="C455" s="41"/>
      <c r="D455" s="41"/>
      <c r="E455" s="41"/>
      <c r="F455" s="36">
        <f t="shared" ref="F455:H457" si="33">F456</f>
        <v>0</v>
      </c>
      <c r="G455" s="36">
        <f t="shared" si="33"/>
        <v>0</v>
      </c>
      <c r="H455" s="37">
        <f t="shared" si="33"/>
        <v>0</v>
      </c>
      <c r="I455" s="19"/>
      <c r="J455" s="20"/>
      <c r="K455" s="20"/>
      <c r="L455" s="21"/>
      <c r="M455" s="21"/>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row>
    <row r="456" spans="1:36" s="58" customFormat="1" ht="38.25" hidden="1" x14ac:dyDescent="0.2">
      <c r="A456" s="73" t="s">
        <v>526</v>
      </c>
      <c r="B456" s="40" t="s">
        <v>527</v>
      </c>
      <c r="C456" s="41"/>
      <c r="D456" s="41"/>
      <c r="E456" s="41"/>
      <c r="F456" s="36">
        <f t="shared" si="33"/>
        <v>0</v>
      </c>
      <c r="G456" s="36">
        <f t="shared" si="33"/>
        <v>0</v>
      </c>
      <c r="H456" s="37">
        <f t="shared" si="33"/>
        <v>0</v>
      </c>
      <c r="I456" s="19"/>
      <c r="J456" s="20"/>
      <c r="K456" s="20"/>
      <c r="L456" s="21"/>
      <c r="M456" s="21"/>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row>
    <row r="457" spans="1:36" s="58" customFormat="1" ht="38.25" hidden="1" x14ac:dyDescent="0.2">
      <c r="A457" s="39" t="s">
        <v>528</v>
      </c>
      <c r="B457" s="40" t="s">
        <v>529</v>
      </c>
      <c r="C457" s="41" t="s">
        <v>45</v>
      </c>
      <c r="D457" s="41" t="s">
        <v>46</v>
      </c>
      <c r="E457" s="41"/>
      <c r="F457" s="36">
        <f t="shared" si="33"/>
        <v>0</v>
      </c>
      <c r="G457" s="36">
        <f t="shared" si="33"/>
        <v>0</v>
      </c>
      <c r="H457" s="37">
        <f t="shared" si="33"/>
        <v>0</v>
      </c>
      <c r="I457" s="19"/>
      <c r="J457" s="20"/>
      <c r="K457" s="20"/>
      <c r="L457" s="21"/>
      <c r="M457" s="21"/>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row>
    <row r="458" spans="1:36" s="58" customFormat="1" ht="25.5" hidden="1" x14ac:dyDescent="0.2">
      <c r="A458" s="43" t="s">
        <v>48</v>
      </c>
      <c r="B458" s="40" t="s">
        <v>529</v>
      </c>
      <c r="C458" s="41" t="s">
        <v>45</v>
      </c>
      <c r="D458" s="41" t="s">
        <v>46</v>
      </c>
      <c r="E458" s="41" t="s">
        <v>49</v>
      </c>
      <c r="F458" s="36">
        <v>0</v>
      </c>
      <c r="G458" s="36">
        <v>0</v>
      </c>
      <c r="H458" s="37">
        <v>0</v>
      </c>
      <c r="I458" s="19"/>
      <c r="J458" s="20"/>
      <c r="K458" s="20"/>
      <c r="L458" s="21"/>
      <c r="M458" s="21"/>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row>
    <row r="459" spans="1:36" ht="20.25" customHeight="1" x14ac:dyDescent="0.2">
      <c r="A459" s="138" t="s">
        <v>530</v>
      </c>
      <c r="B459" s="139"/>
      <c r="C459" s="140"/>
      <c r="D459" s="140"/>
      <c r="E459" s="140"/>
      <c r="F459" s="141">
        <f>F65+F9+F91+F133+F202+F269+F315+F43+F340+F372+F389+F441+F415</f>
        <v>794781.60000000009</v>
      </c>
      <c r="G459" s="141">
        <f>G65+G9+G91+G133+G202+G269+G315+G43+G340+G372+G389+G441+G415</f>
        <v>616907.69999999995</v>
      </c>
      <c r="H459" s="141">
        <f>H65+H9+H91+H133+H202+H269+H315+H43+H340+H372+H389+H441+H415</f>
        <v>605603.00000000012</v>
      </c>
    </row>
    <row r="461" spans="1:36" x14ac:dyDescent="0.2">
      <c r="B461" s="142"/>
      <c r="G461" s="5"/>
      <c r="H461" s="5"/>
    </row>
    <row r="462" spans="1:36" x14ac:dyDescent="0.2">
      <c r="G462" s="141"/>
      <c r="H462" s="141"/>
    </row>
    <row r="463" spans="1:36" x14ac:dyDescent="0.2">
      <c r="G463" s="5"/>
      <c r="H463" s="5"/>
    </row>
    <row r="464" spans="1:36" s="21" customFormat="1" ht="16.5" customHeight="1" x14ac:dyDescent="0.2">
      <c r="A464" s="58"/>
      <c r="B464" s="143"/>
      <c r="C464" s="143"/>
      <c r="D464" s="143"/>
      <c r="E464" s="144"/>
      <c r="F464" s="5"/>
      <c r="G464" s="5"/>
      <c r="H464" s="5"/>
      <c r="I464" s="145"/>
      <c r="J464" s="145"/>
      <c r="K464" s="145"/>
      <c r="L464" s="146"/>
      <c r="M464" s="146"/>
    </row>
    <row r="465" spans="1:13" s="21" customFormat="1" x14ac:dyDescent="0.2">
      <c r="A465" s="58"/>
      <c r="B465" s="143"/>
      <c r="C465" s="143"/>
      <c r="D465" s="143"/>
      <c r="E465" s="143"/>
      <c r="F465" s="147"/>
      <c r="G465" s="148"/>
      <c r="H465" s="147"/>
      <c r="I465" s="19"/>
      <c r="J465" s="20"/>
      <c r="K465" s="149"/>
      <c r="L465" s="150"/>
      <c r="M465" s="150"/>
    </row>
    <row r="466" spans="1:13" s="21" customFormat="1" x14ac:dyDescent="0.2">
      <c r="A466" s="58"/>
      <c r="B466" s="143"/>
      <c r="C466" s="143"/>
      <c r="D466" s="143"/>
      <c r="E466" s="143"/>
      <c r="F466" s="5"/>
      <c r="G466" s="151"/>
      <c r="H466" s="6"/>
      <c r="I466" s="149"/>
      <c r="J466" s="149"/>
      <c r="K466" s="149"/>
      <c r="L466" s="150"/>
      <c r="M466" s="150"/>
    </row>
    <row r="467" spans="1:13" s="21" customFormat="1" x14ac:dyDescent="0.2">
      <c r="A467" s="58"/>
      <c r="B467" s="143"/>
      <c r="C467" s="143"/>
      <c r="D467" s="143"/>
      <c r="E467" s="143"/>
      <c r="F467" s="5"/>
      <c r="G467" s="151"/>
      <c r="H467" s="6"/>
      <c r="I467" s="149"/>
      <c r="J467" s="149"/>
      <c r="K467" s="149"/>
      <c r="L467" s="150"/>
      <c r="M467" s="150"/>
    </row>
    <row r="468" spans="1:13" s="21" customFormat="1" x14ac:dyDescent="0.2">
      <c r="A468" s="58"/>
      <c r="B468" s="143"/>
      <c r="C468" s="143"/>
      <c r="D468" s="143"/>
      <c r="E468" s="143"/>
      <c r="F468" s="5"/>
      <c r="G468" s="6"/>
      <c r="H468" s="6"/>
      <c r="I468" s="152"/>
      <c r="J468" s="153"/>
      <c r="K468" s="153"/>
      <c r="L468" s="154"/>
      <c r="M468" s="154"/>
    </row>
    <row r="469" spans="1:13" s="21" customFormat="1" x14ac:dyDescent="0.2">
      <c r="A469" s="58"/>
      <c r="B469" s="143"/>
      <c r="C469" s="143"/>
      <c r="D469" s="143"/>
      <c r="E469" s="143"/>
      <c r="F469" s="5"/>
      <c r="G469" s="6"/>
      <c r="H469" s="6"/>
      <c r="I469" s="19"/>
      <c r="J469" s="20"/>
      <c r="K469" s="20"/>
    </row>
    <row r="470" spans="1:13" s="21" customFormat="1" x14ac:dyDescent="0.2">
      <c r="A470" s="58"/>
      <c r="B470" s="143"/>
      <c r="C470" s="143"/>
      <c r="D470" s="143"/>
      <c r="E470" s="143"/>
      <c r="F470" s="5"/>
      <c r="G470" s="155"/>
      <c r="H470" s="155"/>
      <c r="I470" s="19"/>
      <c r="J470" s="20"/>
      <c r="K470" s="20"/>
    </row>
    <row r="471" spans="1:13" s="21" customFormat="1" x14ac:dyDescent="0.2">
      <c r="A471" s="58"/>
      <c r="B471" s="143"/>
      <c r="C471" s="143"/>
      <c r="D471" s="143"/>
      <c r="E471" s="143"/>
      <c r="F471" s="5"/>
      <c r="G471" s="5"/>
      <c r="H471" s="5"/>
      <c r="I471" s="19"/>
      <c r="J471" s="20"/>
      <c r="K471" s="20"/>
    </row>
    <row r="472" spans="1:13" s="21" customFormat="1" x14ac:dyDescent="0.2">
      <c r="A472" s="58"/>
      <c r="B472" s="143"/>
      <c r="C472" s="143"/>
      <c r="D472" s="143"/>
      <c r="E472" s="143"/>
      <c r="F472" s="5"/>
      <c r="G472" s="6"/>
      <c r="H472" s="6"/>
      <c r="I472" s="19"/>
      <c r="J472" s="20"/>
      <c r="K472" s="20"/>
    </row>
    <row r="474" spans="1:13" s="21" customFormat="1" x14ac:dyDescent="0.2">
      <c r="A474" s="58"/>
      <c r="B474" s="143"/>
      <c r="C474" s="143"/>
      <c r="D474" s="143"/>
      <c r="E474" s="143"/>
      <c r="F474" s="5"/>
      <c r="G474" s="6"/>
      <c r="H474" s="6"/>
      <c r="I474" s="131"/>
      <c r="J474" s="131"/>
      <c r="K474" s="131"/>
    </row>
    <row r="479" spans="1:13" s="21" customFormat="1" x14ac:dyDescent="0.2">
      <c r="A479" s="58"/>
      <c r="B479" s="58"/>
      <c r="C479" s="58"/>
      <c r="D479" s="58"/>
      <c r="E479" s="58"/>
      <c r="F479" s="5" t="s">
        <v>531</v>
      </c>
      <c r="G479" s="6"/>
      <c r="H479" s="6"/>
      <c r="I479" s="19"/>
      <c r="J479" s="20"/>
      <c r="K479" s="20"/>
    </row>
    <row r="483" spans="1:11" s="21" customFormat="1" x14ac:dyDescent="0.2">
      <c r="A483" s="58"/>
      <c r="B483" s="58"/>
      <c r="C483" s="58"/>
      <c r="D483" s="58"/>
      <c r="E483" s="58"/>
      <c r="F483" s="5"/>
      <c r="G483" s="6"/>
      <c r="H483" s="6"/>
      <c r="I483" s="59"/>
      <c r="J483" s="60"/>
      <c r="K483" s="60"/>
    </row>
    <row r="486" spans="1:11" s="21" customFormat="1" x14ac:dyDescent="0.2">
      <c r="A486" s="58"/>
      <c r="B486" s="58"/>
      <c r="C486" s="58"/>
      <c r="D486" s="58"/>
      <c r="E486" s="58"/>
      <c r="F486" s="5"/>
      <c r="G486" s="6"/>
      <c r="H486" s="6"/>
      <c r="I486" s="59"/>
      <c r="J486" s="60"/>
      <c r="K486" s="60"/>
    </row>
  </sheetData>
  <sheetProtection algorithmName="SHA-512" hashValue="g0/9zzq3s5/DKfkN+hwIwmUVFTeAhLaTPvpdjfqLIGZON2g/raiFOevKHECEhSC/qNOGyhrqpPAW3dGEDjxbjw==" saltValue="wxvHwKPMzuDL4ADmAAjGdA==" spinCount="100000" sheet="1" formatCells="0" formatColumns="0" formatRows="0" insertColumns="0" insertRows="0" insertHyperlinks="0" deleteColumns="0" deleteRows="0" sort="0" autoFilter="0" pivotTables="0"/>
  <mergeCells count="14">
    <mergeCell ref="G6:G7"/>
    <mergeCell ref="H6:H7"/>
    <mergeCell ref="I295:N295"/>
    <mergeCell ref="I299:M299"/>
    <mergeCell ref="I445:M445"/>
    <mergeCell ref="A1:H1"/>
    <mergeCell ref="A3:H3"/>
    <mergeCell ref="A4:H4"/>
    <mergeCell ref="A6:A7"/>
    <mergeCell ref="B6:B7"/>
    <mergeCell ref="C6:C7"/>
    <mergeCell ref="D6:D7"/>
    <mergeCell ref="E6:E7"/>
    <mergeCell ref="F6:F7"/>
  </mergeCells>
  <pageMargins left="0.70866141732283472" right="0.70866141732283472" top="0.74803149606299213" bottom="0.74803149606299213" header="0.31496062992125984" footer="0.31496062992125984"/>
  <pageSetup paperSize="9" scale="67"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 5 Проект Новый</vt:lpstr>
      <vt:lpstr>'Прил 5 Проект Новый'!Область_печати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2024-11-18T19:58:34Z</dcterms:created>
  <dcterms:modified xsi:type="dcterms:W3CDTF">2024-11-18T20:00:44Z</dcterms:modified>
</cp:coreProperties>
</file>