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H:\Бюджет 2025\Проект бюджета\На сайт\"/>
    </mc:Choice>
  </mc:AlternateContent>
  <xr:revisionPtr revIDLastSave="0" documentId="13_ncr:1_{A5DEF590-768F-434A-BA95-BD7BCE3323A0}" xr6:coauthVersionLast="37" xr6:coauthVersionMax="37" xr10:uidLastSave="{00000000-0000-0000-0000-000000000000}"/>
  <bookViews>
    <workbookView xWindow="0" yWindow="0" windowWidth="28800" windowHeight="11925" xr2:uid="{E42EE851-F814-4217-A630-8F05836D9FE6}"/>
  </bookViews>
  <sheets>
    <sheet name="Прил 4 Проект" sheetId="1" r:id="rId1"/>
  </sheets>
  <externalReferences>
    <externalReference r:id="rId2"/>
  </externalReferences>
  <definedNames>
    <definedName name="_xlnm._FilterDatabase" localSheetId="0" hidden="1">'Прил 4 Проект'!$A$5:$K$5</definedName>
    <definedName name="А">#REF!</definedName>
    <definedName name="_xlnm.Print_Titles" localSheetId="0">'Прил 4 Проект'!$5:$5</definedName>
    <definedName name="_xlnm.Print_Area" localSheetId="0">'Прил 4 Проект'!$B$1:$J$739</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35" i="1" l="1"/>
  <c r="I735" i="1"/>
  <c r="H735" i="1"/>
  <c r="H734" i="1" s="1"/>
  <c r="H733" i="1" s="1"/>
  <c r="J734" i="1"/>
  <c r="J733" i="1" s="1"/>
  <c r="I734" i="1"/>
  <c r="I733" i="1" s="1"/>
  <c r="H732" i="1"/>
  <c r="J731" i="1"/>
  <c r="I731" i="1"/>
  <c r="H731" i="1"/>
  <c r="I730" i="1"/>
  <c r="I729" i="1" s="1"/>
  <c r="I726" i="1" s="1"/>
  <c r="I725" i="1" s="1"/>
  <c r="H730" i="1"/>
  <c r="H729" i="1" s="1"/>
  <c r="H726" i="1" s="1"/>
  <c r="H725" i="1" s="1"/>
  <c r="J729" i="1"/>
  <c r="J726" i="1" s="1"/>
  <c r="J725" i="1" s="1"/>
  <c r="I728" i="1"/>
  <c r="H728" i="1"/>
  <c r="J727" i="1"/>
  <c r="I727" i="1"/>
  <c r="H727" i="1"/>
  <c r="J720" i="1"/>
  <c r="J719" i="1" s="1"/>
  <c r="I720" i="1"/>
  <c r="I719" i="1" s="1"/>
  <c r="H720" i="1"/>
  <c r="H719" i="1" s="1"/>
  <c r="H718" i="1"/>
  <c r="H717" i="1" s="1"/>
  <c r="H716" i="1" s="1"/>
  <c r="J717" i="1"/>
  <c r="J716" i="1" s="1"/>
  <c r="I717" i="1"/>
  <c r="I716" i="1" s="1"/>
  <c r="J714" i="1"/>
  <c r="I714" i="1"/>
  <c r="H714" i="1"/>
  <c r="J712" i="1"/>
  <c r="J711" i="1" s="1"/>
  <c r="I712" i="1"/>
  <c r="H712" i="1"/>
  <c r="H711" i="1" s="1"/>
  <c r="H710" i="1" s="1"/>
  <c r="I711" i="1"/>
  <c r="J704" i="1"/>
  <c r="J703" i="1" s="1"/>
  <c r="J702" i="1" s="1"/>
  <c r="I704" i="1"/>
  <c r="I703" i="1" s="1"/>
  <c r="I702" i="1" s="1"/>
  <c r="H704" i="1"/>
  <c r="H703" i="1"/>
  <c r="H702" i="1" s="1"/>
  <c r="J700" i="1"/>
  <c r="J697" i="1" s="1"/>
  <c r="J696" i="1" s="1"/>
  <c r="I700" i="1"/>
  <c r="H700" i="1"/>
  <c r="I699" i="1"/>
  <c r="I698" i="1" s="1"/>
  <c r="I697" i="1" s="1"/>
  <c r="I696" i="1" s="1"/>
  <c r="H699" i="1"/>
  <c r="H698" i="1" s="1"/>
  <c r="H697" i="1" s="1"/>
  <c r="H696" i="1" s="1"/>
  <c r="J698" i="1"/>
  <c r="J691" i="1"/>
  <c r="J690" i="1" s="1"/>
  <c r="J689" i="1" s="1"/>
  <c r="J688" i="1" s="1"/>
  <c r="J687" i="1" s="1"/>
  <c r="J686" i="1" s="1"/>
  <c r="I691" i="1"/>
  <c r="I690" i="1" s="1"/>
  <c r="I689" i="1" s="1"/>
  <c r="I688" i="1" s="1"/>
  <c r="I687" i="1" s="1"/>
  <c r="I686" i="1" s="1"/>
  <c r="H691" i="1"/>
  <c r="H690" i="1" s="1"/>
  <c r="H689" i="1" s="1"/>
  <c r="H688" i="1" s="1"/>
  <c r="H687" i="1" s="1"/>
  <c r="H686" i="1" s="1"/>
  <c r="H685" i="1"/>
  <c r="H684" i="1" s="1"/>
  <c r="J684" i="1"/>
  <c r="I684" i="1"/>
  <c r="J681" i="1"/>
  <c r="I681" i="1"/>
  <c r="I680" i="1" s="1"/>
  <c r="H681" i="1"/>
  <c r="H680" i="1" s="1"/>
  <c r="J680" i="1"/>
  <c r="J672" i="1"/>
  <c r="I672" i="1"/>
  <c r="H672" i="1"/>
  <c r="J671" i="1"/>
  <c r="I671" i="1"/>
  <c r="I670" i="1" s="1"/>
  <c r="I669" i="1" s="1"/>
  <c r="I668" i="1" s="1"/>
  <c r="I667" i="1" s="1"/>
  <c r="H671" i="1"/>
  <c r="H670" i="1" s="1"/>
  <c r="H669" i="1" s="1"/>
  <c r="H668" i="1" s="1"/>
  <c r="H667" i="1" s="1"/>
  <c r="J670" i="1"/>
  <c r="J669" i="1" s="1"/>
  <c r="J668" i="1" s="1"/>
  <c r="J667" i="1" s="1"/>
  <c r="J665" i="1"/>
  <c r="J664" i="1" s="1"/>
  <c r="J663" i="1" s="1"/>
  <c r="J662" i="1" s="1"/>
  <c r="J661" i="1" s="1"/>
  <c r="I665" i="1"/>
  <c r="I664" i="1" s="1"/>
  <c r="I663" i="1" s="1"/>
  <c r="I662" i="1" s="1"/>
  <c r="I661" i="1" s="1"/>
  <c r="H665" i="1"/>
  <c r="H664" i="1" s="1"/>
  <c r="H663" i="1" s="1"/>
  <c r="H662" i="1" s="1"/>
  <c r="H661" i="1" s="1"/>
  <c r="J659" i="1"/>
  <c r="I659" i="1"/>
  <c r="H659" i="1"/>
  <c r="H658" i="1" s="1"/>
  <c r="H657" i="1" s="1"/>
  <c r="H656" i="1" s="1"/>
  <c r="H655" i="1" s="1"/>
  <c r="H654" i="1" s="1"/>
  <c r="J658" i="1"/>
  <c r="J657" i="1" s="1"/>
  <c r="J656" i="1" s="1"/>
  <c r="J655" i="1" s="1"/>
  <c r="J654" i="1" s="1"/>
  <c r="I658" i="1"/>
  <c r="I657" i="1" s="1"/>
  <c r="I656" i="1" s="1"/>
  <c r="I655" i="1" s="1"/>
  <c r="I654" i="1" s="1"/>
  <c r="J652" i="1"/>
  <c r="I652" i="1"/>
  <c r="I651" i="1" s="1"/>
  <c r="I650" i="1" s="1"/>
  <c r="I649" i="1" s="1"/>
  <c r="I648" i="1" s="1"/>
  <c r="H652" i="1"/>
  <c r="H651" i="1" s="1"/>
  <c r="H650" i="1" s="1"/>
  <c r="H649" i="1" s="1"/>
  <c r="H648" i="1" s="1"/>
  <c r="J651" i="1"/>
  <c r="J650" i="1" s="1"/>
  <c r="J649" i="1" s="1"/>
  <c r="J648" i="1" s="1"/>
  <c r="H646" i="1"/>
  <c r="J645" i="1"/>
  <c r="I645" i="1"/>
  <c r="H645" i="1"/>
  <c r="J643" i="1"/>
  <c r="J642" i="1" s="1"/>
  <c r="J641" i="1" s="1"/>
  <c r="J634" i="1" s="1"/>
  <c r="J633" i="1" s="1"/>
  <c r="I643" i="1"/>
  <c r="I642" i="1" s="1"/>
  <c r="H643" i="1"/>
  <c r="H642" i="1"/>
  <c r="J639" i="1"/>
  <c r="I639" i="1"/>
  <c r="H639" i="1"/>
  <c r="J636" i="1"/>
  <c r="J635" i="1" s="1"/>
  <c r="I636" i="1"/>
  <c r="I635" i="1" s="1"/>
  <c r="H636" i="1"/>
  <c r="H635" i="1" s="1"/>
  <c r="J631" i="1"/>
  <c r="J630" i="1" s="1"/>
  <c r="J629" i="1" s="1"/>
  <c r="J628" i="1" s="1"/>
  <c r="I631" i="1"/>
  <c r="I630" i="1" s="1"/>
  <c r="I629" i="1" s="1"/>
  <c r="I628" i="1" s="1"/>
  <c r="H631" i="1"/>
  <c r="H630" i="1" s="1"/>
  <c r="H629" i="1" s="1"/>
  <c r="H628" i="1" s="1"/>
  <c r="J625" i="1"/>
  <c r="J624" i="1" s="1"/>
  <c r="J623" i="1" s="1"/>
  <c r="I625" i="1"/>
  <c r="I624" i="1" s="1"/>
  <c r="I623" i="1" s="1"/>
  <c r="H625" i="1"/>
  <c r="H624" i="1" s="1"/>
  <c r="H623" i="1" s="1"/>
  <c r="J620" i="1"/>
  <c r="I620" i="1"/>
  <c r="I619" i="1" s="1"/>
  <c r="H620" i="1"/>
  <c r="H619" i="1" s="1"/>
  <c r="J619" i="1"/>
  <c r="J617" i="1"/>
  <c r="I617" i="1"/>
  <c r="H617" i="1"/>
  <c r="J616" i="1"/>
  <c r="I616" i="1"/>
  <c r="I615" i="1" s="1"/>
  <c r="I614" i="1" s="1"/>
  <c r="H616" i="1"/>
  <c r="J615" i="1"/>
  <c r="H615" i="1"/>
  <c r="H614" i="1" s="1"/>
  <c r="J612" i="1"/>
  <c r="J611" i="1" s="1"/>
  <c r="J610" i="1" s="1"/>
  <c r="J609" i="1" s="1"/>
  <c r="I612" i="1"/>
  <c r="I611" i="1" s="1"/>
  <c r="I610" i="1" s="1"/>
  <c r="I609" i="1" s="1"/>
  <c r="H612" i="1"/>
  <c r="H611" i="1" s="1"/>
  <c r="H610" i="1" s="1"/>
  <c r="H609" i="1" s="1"/>
  <c r="J605" i="1"/>
  <c r="I605" i="1"/>
  <c r="I604" i="1" s="1"/>
  <c r="H605" i="1"/>
  <c r="H604" i="1" s="1"/>
  <c r="J604" i="1"/>
  <c r="J602" i="1"/>
  <c r="J601" i="1" s="1"/>
  <c r="I602" i="1"/>
  <c r="I601" i="1" s="1"/>
  <c r="H602" i="1"/>
  <c r="H601" i="1" s="1"/>
  <c r="J599" i="1"/>
  <c r="I599" i="1"/>
  <c r="H599" i="1"/>
  <c r="J598" i="1"/>
  <c r="J597" i="1" s="1"/>
  <c r="I598" i="1"/>
  <c r="I597" i="1" s="1"/>
  <c r="H598" i="1"/>
  <c r="H597" i="1" s="1"/>
  <c r="J595" i="1"/>
  <c r="I595" i="1"/>
  <c r="H595" i="1"/>
  <c r="J592" i="1"/>
  <c r="I592" i="1"/>
  <c r="I591" i="1" s="1"/>
  <c r="H592" i="1"/>
  <c r="J591" i="1"/>
  <c r="H591" i="1"/>
  <c r="H590" i="1"/>
  <c r="H589" i="1" s="1"/>
  <c r="J589" i="1"/>
  <c r="I589" i="1"/>
  <c r="J588" i="1"/>
  <c r="J587" i="1" s="1"/>
  <c r="I588" i="1"/>
  <c r="I587" i="1" s="1"/>
  <c r="H588" i="1"/>
  <c r="H587" i="1" s="1"/>
  <c r="J586" i="1"/>
  <c r="I586" i="1"/>
  <c r="H586" i="1"/>
  <c r="J585" i="1"/>
  <c r="I585" i="1"/>
  <c r="H585" i="1"/>
  <c r="H584" i="1"/>
  <c r="H583" i="1" s="1"/>
  <c r="J583" i="1"/>
  <c r="I583" i="1"/>
  <c r="J579" i="1"/>
  <c r="J578" i="1" s="1"/>
  <c r="I579" i="1"/>
  <c r="I578" i="1" s="1"/>
  <c r="H579" i="1"/>
  <c r="H578" i="1"/>
  <c r="H577" i="1"/>
  <c r="H576" i="1" s="1"/>
  <c r="J576" i="1"/>
  <c r="I576" i="1"/>
  <c r="I575" i="1"/>
  <c r="I574" i="1" s="1"/>
  <c r="H575" i="1"/>
  <c r="H574" i="1" s="1"/>
  <c r="J574" i="1"/>
  <c r="I573" i="1"/>
  <c r="I572" i="1" s="1"/>
  <c r="H573" i="1"/>
  <c r="H572" i="1" s="1"/>
  <c r="J572" i="1"/>
  <c r="J566" i="1"/>
  <c r="I566" i="1"/>
  <c r="H566" i="1"/>
  <c r="J565" i="1"/>
  <c r="I565" i="1"/>
  <c r="H565" i="1"/>
  <c r="J564" i="1"/>
  <c r="J563" i="1" s="1"/>
  <c r="J560" i="1" s="1"/>
  <c r="J559" i="1" s="1"/>
  <c r="I564" i="1"/>
  <c r="I563" i="1" s="1"/>
  <c r="I560" i="1" s="1"/>
  <c r="I559" i="1" s="1"/>
  <c r="H564" i="1"/>
  <c r="H563" i="1" s="1"/>
  <c r="J561" i="1"/>
  <c r="I561" i="1"/>
  <c r="H561" i="1"/>
  <c r="J558" i="1"/>
  <c r="J557" i="1" s="1"/>
  <c r="I558" i="1"/>
  <c r="I557" i="1" s="1"/>
  <c r="H558" i="1"/>
  <c r="H557" i="1"/>
  <c r="H556" i="1"/>
  <c r="H555" i="1" s="1"/>
  <c r="H554" i="1" s="1"/>
  <c r="H553" i="1" s="1"/>
  <c r="J555" i="1"/>
  <c r="I555" i="1"/>
  <c r="J548" i="1"/>
  <c r="J547" i="1" s="1"/>
  <c r="J546" i="1" s="1"/>
  <c r="J545" i="1" s="1"/>
  <c r="J544" i="1" s="1"/>
  <c r="J543" i="1" s="1"/>
  <c r="I548" i="1"/>
  <c r="I547" i="1" s="1"/>
  <c r="I546" i="1" s="1"/>
  <c r="I545" i="1" s="1"/>
  <c r="I544" i="1" s="1"/>
  <c r="I543" i="1" s="1"/>
  <c r="H548" i="1"/>
  <c r="H547" i="1" s="1"/>
  <c r="H546" i="1" s="1"/>
  <c r="H545" i="1" s="1"/>
  <c r="H544" i="1" s="1"/>
  <c r="H543" i="1" s="1"/>
  <c r="J541" i="1"/>
  <c r="J540" i="1" s="1"/>
  <c r="J539" i="1" s="1"/>
  <c r="J538" i="1" s="1"/>
  <c r="J537" i="1" s="1"/>
  <c r="J536" i="1" s="1"/>
  <c r="I541" i="1"/>
  <c r="I540" i="1" s="1"/>
  <c r="I539" i="1" s="1"/>
  <c r="I538" i="1" s="1"/>
  <c r="H541" i="1"/>
  <c r="H540" i="1"/>
  <c r="H539" i="1" s="1"/>
  <c r="H538" i="1" s="1"/>
  <c r="H537" i="1" s="1"/>
  <c r="H536" i="1" s="1"/>
  <c r="I537" i="1"/>
  <c r="I536" i="1" s="1"/>
  <c r="J533" i="1"/>
  <c r="J532" i="1" s="1"/>
  <c r="J531" i="1" s="1"/>
  <c r="J530" i="1" s="1"/>
  <c r="J529" i="1" s="1"/>
  <c r="J528" i="1" s="1"/>
  <c r="I533" i="1"/>
  <c r="I532" i="1" s="1"/>
  <c r="I531" i="1" s="1"/>
  <c r="I530" i="1" s="1"/>
  <c r="I529" i="1" s="1"/>
  <c r="I528" i="1" s="1"/>
  <c r="H533" i="1"/>
  <c r="H532" i="1" s="1"/>
  <c r="H531" i="1" s="1"/>
  <c r="H530" i="1" s="1"/>
  <c r="H529" i="1" s="1"/>
  <c r="H528" i="1" s="1"/>
  <c r="J526" i="1"/>
  <c r="I526" i="1"/>
  <c r="I525" i="1" s="1"/>
  <c r="I524" i="1" s="1"/>
  <c r="I523" i="1" s="1"/>
  <c r="I522" i="1" s="1"/>
  <c r="I521" i="1" s="1"/>
  <c r="H526" i="1"/>
  <c r="H525" i="1" s="1"/>
  <c r="H524" i="1" s="1"/>
  <c r="H523" i="1" s="1"/>
  <c r="H522" i="1" s="1"/>
  <c r="H521" i="1" s="1"/>
  <c r="J525" i="1"/>
  <c r="J524" i="1" s="1"/>
  <c r="J523" i="1" s="1"/>
  <c r="J522" i="1" s="1"/>
  <c r="J521" i="1" s="1"/>
  <c r="H519" i="1"/>
  <c r="J518" i="1"/>
  <c r="J517" i="1" s="1"/>
  <c r="J516" i="1" s="1"/>
  <c r="J512" i="1" s="1"/>
  <c r="I518" i="1"/>
  <c r="I517" i="1" s="1"/>
  <c r="I516" i="1" s="1"/>
  <c r="H518" i="1"/>
  <c r="J514" i="1"/>
  <c r="I514" i="1"/>
  <c r="I513" i="1" s="1"/>
  <c r="H514" i="1"/>
  <c r="H513" i="1" s="1"/>
  <c r="J513" i="1"/>
  <c r="J509" i="1"/>
  <c r="I509" i="1"/>
  <c r="H509" i="1"/>
  <c r="H508" i="1"/>
  <c r="H507" i="1" s="1"/>
  <c r="H506" i="1" s="1"/>
  <c r="H505" i="1" s="1"/>
  <c r="J507" i="1"/>
  <c r="J506" i="1" s="1"/>
  <c r="J505" i="1" s="1"/>
  <c r="I507" i="1"/>
  <c r="J500" i="1"/>
  <c r="J499" i="1" s="1"/>
  <c r="J498" i="1" s="1"/>
  <c r="J497" i="1" s="1"/>
  <c r="J496" i="1" s="1"/>
  <c r="I500" i="1"/>
  <c r="I499" i="1" s="1"/>
  <c r="I498" i="1" s="1"/>
  <c r="I497" i="1" s="1"/>
  <c r="I496" i="1" s="1"/>
  <c r="H500" i="1"/>
  <c r="H499" i="1" s="1"/>
  <c r="H498" i="1" s="1"/>
  <c r="H497" i="1" s="1"/>
  <c r="H496" i="1" s="1"/>
  <c r="J494" i="1"/>
  <c r="J493" i="1" s="1"/>
  <c r="I494" i="1"/>
  <c r="I493" i="1" s="1"/>
  <c r="H494" i="1"/>
  <c r="H493" i="1"/>
  <c r="J488" i="1"/>
  <c r="J487" i="1" s="1"/>
  <c r="J486" i="1" s="1"/>
  <c r="J485" i="1" s="1"/>
  <c r="J484" i="1" s="1"/>
  <c r="J483" i="1" s="1"/>
  <c r="I488" i="1"/>
  <c r="I487" i="1" s="1"/>
  <c r="I486" i="1" s="1"/>
  <c r="I485" i="1" s="1"/>
  <c r="I484" i="1" s="1"/>
  <c r="I483" i="1" s="1"/>
  <c r="H488" i="1"/>
  <c r="H487" i="1"/>
  <c r="H486" i="1" s="1"/>
  <c r="H485" i="1" s="1"/>
  <c r="H484" i="1" s="1"/>
  <c r="H483" i="1" s="1"/>
  <c r="J481" i="1"/>
  <c r="I481" i="1"/>
  <c r="H481" i="1"/>
  <c r="J479" i="1"/>
  <c r="I479" i="1"/>
  <c r="I478" i="1" s="1"/>
  <c r="I477" i="1" s="1"/>
  <c r="I476" i="1" s="1"/>
  <c r="I475" i="1" s="1"/>
  <c r="I474" i="1" s="1"/>
  <c r="H479" i="1"/>
  <c r="H478" i="1"/>
  <c r="H477" i="1" s="1"/>
  <c r="H476" i="1" s="1"/>
  <c r="H475" i="1" s="1"/>
  <c r="H474" i="1" s="1"/>
  <c r="J473" i="1"/>
  <c r="J472" i="1" s="1"/>
  <c r="I473" i="1"/>
  <c r="I472" i="1" s="1"/>
  <c r="H473" i="1"/>
  <c r="H472" i="1" s="1"/>
  <c r="J468" i="1"/>
  <c r="I468" i="1"/>
  <c r="H468" i="1"/>
  <c r="J466" i="1"/>
  <c r="I466" i="1"/>
  <c r="H466" i="1"/>
  <c r="J460" i="1"/>
  <c r="I460" i="1"/>
  <c r="H460" i="1"/>
  <c r="J457" i="1"/>
  <c r="J456" i="1" s="1"/>
  <c r="J455" i="1" s="1"/>
  <c r="J454" i="1" s="1"/>
  <c r="J453" i="1" s="1"/>
  <c r="I457" i="1"/>
  <c r="I456" i="1" s="1"/>
  <c r="H457" i="1"/>
  <c r="H456" i="1" s="1"/>
  <c r="J451" i="1"/>
  <c r="J450" i="1" s="1"/>
  <c r="I451" i="1"/>
  <c r="I450" i="1" s="1"/>
  <c r="H451" i="1"/>
  <c r="H450" i="1" s="1"/>
  <c r="J444" i="1"/>
  <c r="I444" i="1"/>
  <c r="H444" i="1"/>
  <c r="J443" i="1"/>
  <c r="J442" i="1" s="1"/>
  <c r="J441" i="1" s="1"/>
  <c r="J440" i="1" s="1"/>
  <c r="J439" i="1" s="1"/>
  <c r="I443" i="1"/>
  <c r="I442" i="1" s="1"/>
  <c r="I441" i="1" s="1"/>
  <c r="I440" i="1" s="1"/>
  <c r="I439" i="1" s="1"/>
  <c r="H443" i="1"/>
  <c r="H442" i="1" s="1"/>
  <c r="H441" i="1" s="1"/>
  <c r="H440" i="1" s="1"/>
  <c r="H439" i="1" s="1"/>
  <c r="H437" i="1"/>
  <c r="H436" i="1" s="1"/>
  <c r="H435" i="1" s="1"/>
  <c r="H434" i="1" s="1"/>
  <c r="H433" i="1" s="1"/>
  <c r="H432" i="1" s="1"/>
  <c r="J436" i="1"/>
  <c r="J435" i="1" s="1"/>
  <c r="J434" i="1" s="1"/>
  <c r="J433" i="1" s="1"/>
  <c r="J432" i="1" s="1"/>
  <c r="I436" i="1"/>
  <c r="I435" i="1" s="1"/>
  <c r="I434" i="1" s="1"/>
  <c r="I433" i="1" s="1"/>
  <c r="I432" i="1" s="1"/>
  <c r="J431" i="1"/>
  <c r="J428" i="1" s="1"/>
  <c r="J427" i="1" s="1"/>
  <c r="J426" i="1" s="1"/>
  <c r="I431" i="1"/>
  <c r="I428" i="1" s="1"/>
  <c r="I427" i="1" s="1"/>
  <c r="H431" i="1"/>
  <c r="H428" i="1" s="1"/>
  <c r="H427" i="1" s="1"/>
  <c r="J423" i="1"/>
  <c r="J422" i="1" s="1"/>
  <c r="I423" i="1"/>
  <c r="I422" i="1" s="1"/>
  <c r="H423" i="1"/>
  <c r="H422" i="1" s="1"/>
  <c r="J421" i="1"/>
  <c r="J420" i="1" s="1"/>
  <c r="I421" i="1"/>
  <c r="I420" i="1" s="1"/>
  <c r="H421" i="1"/>
  <c r="H420" i="1" s="1"/>
  <c r="J411" i="1"/>
  <c r="I411" i="1"/>
  <c r="H411" i="1"/>
  <c r="J410" i="1"/>
  <c r="J409" i="1" s="1"/>
  <c r="J406" i="1" s="1"/>
  <c r="J405" i="1" s="1"/>
  <c r="J404" i="1" s="1"/>
  <c r="J403" i="1" s="1"/>
  <c r="I410" i="1"/>
  <c r="I409" i="1" s="1"/>
  <c r="H410" i="1"/>
  <c r="H409" i="1" s="1"/>
  <c r="J407" i="1"/>
  <c r="I407" i="1"/>
  <c r="I406" i="1" s="1"/>
  <c r="I405" i="1" s="1"/>
  <c r="I404" i="1" s="1"/>
  <c r="I403" i="1" s="1"/>
  <c r="H407" i="1"/>
  <c r="J399" i="1"/>
  <c r="J398" i="1" s="1"/>
  <c r="J397" i="1" s="1"/>
  <c r="J396" i="1" s="1"/>
  <c r="J395" i="1" s="1"/>
  <c r="I399" i="1"/>
  <c r="I398" i="1" s="1"/>
  <c r="I397" i="1" s="1"/>
  <c r="I396" i="1" s="1"/>
  <c r="I395" i="1" s="1"/>
  <c r="H399" i="1"/>
  <c r="H398" i="1" s="1"/>
  <c r="H397" i="1" s="1"/>
  <c r="H396" i="1" s="1"/>
  <c r="H395" i="1" s="1"/>
  <c r="J393" i="1"/>
  <c r="J392" i="1" s="1"/>
  <c r="J391" i="1" s="1"/>
  <c r="I393" i="1"/>
  <c r="I392" i="1" s="1"/>
  <c r="I391" i="1" s="1"/>
  <c r="H393" i="1"/>
  <c r="H392" i="1" s="1"/>
  <c r="H391" i="1" s="1"/>
  <c r="H390" i="1"/>
  <c r="H389" i="1" s="1"/>
  <c r="H388" i="1" s="1"/>
  <c r="J389" i="1"/>
  <c r="J388" i="1" s="1"/>
  <c r="I389" i="1"/>
  <c r="I388" i="1" s="1"/>
  <c r="J387" i="1"/>
  <c r="J386" i="1" s="1"/>
  <c r="J385" i="1" s="1"/>
  <c r="J384" i="1" s="1"/>
  <c r="I387" i="1"/>
  <c r="I386" i="1" s="1"/>
  <c r="I385" i="1" s="1"/>
  <c r="I384" i="1" s="1"/>
  <c r="H387" i="1"/>
  <c r="H386" i="1" s="1"/>
  <c r="H385" i="1" s="1"/>
  <c r="J381" i="1"/>
  <c r="I381" i="1"/>
  <c r="H381" i="1"/>
  <c r="J375" i="1"/>
  <c r="J374" i="1" s="1"/>
  <c r="J373" i="1" s="1"/>
  <c r="I375" i="1"/>
  <c r="I374" i="1" s="1"/>
  <c r="H375" i="1"/>
  <c r="J368" i="1"/>
  <c r="J367" i="1" s="1"/>
  <c r="J366" i="1" s="1"/>
  <c r="J365" i="1" s="1"/>
  <c r="J364" i="1" s="1"/>
  <c r="I368" i="1"/>
  <c r="I367" i="1" s="1"/>
  <c r="I366" i="1" s="1"/>
  <c r="I365" i="1" s="1"/>
  <c r="I364" i="1" s="1"/>
  <c r="H368" i="1"/>
  <c r="H367" i="1"/>
  <c r="H366" i="1" s="1"/>
  <c r="H365" i="1" s="1"/>
  <c r="H364" i="1" s="1"/>
  <c r="J361" i="1"/>
  <c r="J360" i="1" s="1"/>
  <c r="J359" i="1" s="1"/>
  <c r="J358" i="1" s="1"/>
  <c r="I361" i="1"/>
  <c r="H361" i="1"/>
  <c r="H360" i="1" s="1"/>
  <c r="H359" i="1" s="1"/>
  <c r="H358" i="1" s="1"/>
  <c r="I360" i="1"/>
  <c r="I359" i="1" s="1"/>
  <c r="I358" i="1" s="1"/>
  <c r="J356" i="1"/>
  <c r="J354" i="1" s="1"/>
  <c r="I356" i="1"/>
  <c r="I354" i="1" s="1"/>
  <c r="H356" i="1"/>
  <c r="H355" i="1"/>
  <c r="H354" i="1" s="1"/>
  <c r="J353" i="1"/>
  <c r="I353" i="1"/>
  <c r="H353" i="1"/>
  <c r="J352" i="1"/>
  <c r="J349" i="1" s="1"/>
  <c r="I352" i="1"/>
  <c r="I349" i="1" s="1"/>
  <c r="H352" i="1"/>
  <c r="H349" i="1" s="1"/>
  <c r="J344" i="1"/>
  <c r="J343" i="1" s="1"/>
  <c r="I344" i="1"/>
  <c r="I343" i="1" s="1"/>
  <c r="H344" i="1"/>
  <c r="H343" i="1" s="1"/>
  <c r="H341" i="1"/>
  <c r="H340" i="1" s="1"/>
  <c r="H339" i="1" s="1"/>
  <c r="J340" i="1"/>
  <c r="J339" i="1" s="1"/>
  <c r="I340" i="1"/>
  <c r="I339" i="1"/>
  <c r="J335" i="1"/>
  <c r="J330" i="1" s="1"/>
  <c r="J329" i="1" s="1"/>
  <c r="I335" i="1"/>
  <c r="H335" i="1"/>
  <c r="H334" i="1"/>
  <c r="I333" i="1"/>
  <c r="I331" i="1" s="1"/>
  <c r="H333" i="1"/>
  <c r="H332" i="1"/>
  <c r="J331" i="1"/>
  <c r="J323" i="1"/>
  <c r="J322" i="1" s="1"/>
  <c r="J321" i="1" s="1"/>
  <c r="I323" i="1"/>
  <c r="I322" i="1" s="1"/>
  <c r="I321" i="1" s="1"/>
  <c r="H323" i="1"/>
  <c r="H322" i="1"/>
  <c r="H321" i="1" s="1"/>
  <c r="J319" i="1"/>
  <c r="J318" i="1" s="1"/>
  <c r="J317" i="1" s="1"/>
  <c r="I319" i="1"/>
  <c r="I318" i="1" s="1"/>
  <c r="I317" i="1" s="1"/>
  <c r="H319" i="1"/>
  <c r="H318" i="1" s="1"/>
  <c r="H317" i="1" s="1"/>
  <c r="J313" i="1"/>
  <c r="J312" i="1" s="1"/>
  <c r="J311" i="1" s="1"/>
  <c r="J310" i="1" s="1"/>
  <c r="J309" i="1" s="1"/>
  <c r="I313" i="1"/>
  <c r="I312" i="1" s="1"/>
  <c r="I311" i="1" s="1"/>
  <c r="I310" i="1" s="1"/>
  <c r="I309" i="1" s="1"/>
  <c r="H313" i="1"/>
  <c r="H312" i="1" s="1"/>
  <c r="H311" i="1" s="1"/>
  <c r="H310" i="1" s="1"/>
  <c r="H309" i="1" s="1"/>
  <c r="J306" i="1"/>
  <c r="I306" i="1"/>
  <c r="I304" i="1" s="1"/>
  <c r="I303" i="1" s="1"/>
  <c r="I302" i="1" s="1"/>
  <c r="H306" i="1"/>
  <c r="H304" i="1" s="1"/>
  <c r="H303" i="1" s="1"/>
  <c r="H302" i="1" s="1"/>
  <c r="J304" i="1"/>
  <c r="J303" i="1" s="1"/>
  <c r="J302" i="1" s="1"/>
  <c r="H301" i="1"/>
  <c r="J300" i="1"/>
  <c r="J299" i="1" s="1"/>
  <c r="I300" i="1"/>
  <c r="I299" i="1" s="1"/>
  <c r="H300" i="1"/>
  <c r="H299" i="1" s="1"/>
  <c r="H298" i="1"/>
  <c r="H297" i="1" s="1"/>
  <c r="H296" i="1" s="1"/>
  <c r="J297" i="1"/>
  <c r="J296" i="1" s="1"/>
  <c r="J295" i="1" s="1"/>
  <c r="J294" i="1" s="1"/>
  <c r="J293" i="1" s="1"/>
  <c r="J292" i="1" s="1"/>
  <c r="I297" i="1"/>
  <c r="I296" i="1" s="1"/>
  <c r="J290" i="1"/>
  <c r="I290" i="1"/>
  <c r="I287" i="1" s="1"/>
  <c r="I286" i="1" s="1"/>
  <c r="I285" i="1" s="1"/>
  <c r="H290" i="1"/>
  <c r="J289" i="1"/>
  <c r="J288" i="1" s="1"/>
  <c r="J287" i="1" s="1"/>
  <c r="J286" i="1" s="1"/>
  <c r="J285" i="1" s="1"/>
  <c r="I288" i="1"/>
  <c r="H288" i="1"/>
  <c r="J284" i="1"/>
  <c r="J283" i="1" s="1"/>
  <c r="I284" i="1"/>
  <c r="I283" i="1" s="1"/>
  <c r="H284" i="1"/>
  <c r="H283" i="1"/>
  <c r="J281" i="1"/>
  <c r="I281" i="1"/>
  <c r="H281" i="1"/>
  <c r="H279" i="1"/>
  <c r="H278" i="1" s="1"/>
  <c r="H277" i="1" s="1"/>
  <c r="J278" i="1"/>
  <c r="J277" i="1" s="1"/>
  <c r="I278" i="1"/>
  <c r="I277" i="1" s="1"/>
  <c r="H276" i="1"/>
  <c r="H275" i="1" s="1"/>
  <c r="H274" i="1" s="1"/>
  <c r="J275" i="1"/>
  <c r="I275" i="1"/>
  <c r="I274" i="1" s="1"/>
  <c r="J274" i="1"/>
  <c r="H270" i="1"/>
  <c r="H269" i="1" s="1"/>
  <c r="H268" i="1" s="1"/>
  <c r="H267" i="1" s="1"/>
  <c r="H266" i="1" s="1"/>
  <c r="J269" i="1"/>
  <c r="J268" i="1" s="1"/>
  <c r="J267" i="1" s="1"/>
  <c r="J266" i="1" s="1"/>
  <c r="I269" i="1"/>
  <c r="I268" i="1" s="1"/>
  <c r="I267" i="1" s="1"/>
  <c r="I266" i="1" s="1"/>
  <c r="J264" i="1"/>
  <c r="I264" i="1"/>
  <c r="H264" i="1"/>
  <c r="H263" i="1"/>
  <c r="H262" i="1" s="1"/>
  <c r="J262" i="1"/>
  <c r="I262" i="1"/>
  <c r="J260" i="1"/>
  <c r="I260" i="1"/>
  <c r="H260" i="1"/>
  <c r="H259" i="1" s="1"/>
  <c r="J259" i="1"/>
  <c r="I259" i="1"/>
  <c r="J255" i="1"/>
  <c r="I255" i="1"/>
  <c r="I254" i="1" s="1"/>
  <c r="H255" i="1"/>
  <c r="H254" i="1" s="1"/>
  <c r="J254" i="1"/>
  <c r="J252" i="1"/>
  <c r="J251" i="1" s="1"/>
  <c r="I252" i="1"/>
  <c r="H252" i="1"/>
  <c r="H251" i="1" s="1"/>
  <c r="I251" i="1"/>
  <c r="J249" i="1"/>
  <c r="J248" i="1" s="1"/>
  <c r="I249" i="1"/>
  <c r="I248" i="1" s="1"/>
  <c r="H249" i="1"/>
  <c r="H248" i="1" s="1"/>
  <c r="H247" i="1"/>
  <c r="H245" i="1" s="1"/>
  <c r="J245" i="1"/>
  <c r="I245" i="1"/>
  <c r="H244" i="1"/>
  <c r="H242" i="1" s="1"/>
  <c r="J242" i="1"/>
  <c r="J241" i="1" s="1"/>
  <c r="I242" i="1"/>
  <c r="I241" i="1" s="1"/>
  <c r="I240" i="1" s="1"/>
  <c r="H237" i="1"/>
  <c r="H236" i="1" s="1"/>
  <c r="H235" i="1" s="1"/>
  <c r="J236" i="1"/>
  <c r="J235" i="1" s="1"/>
  <c r="I236" i="1"/>
  <c r="I235" i="1" s="1"/>
  <c r="H234" i="1"/>
  <c r="H233" i="1" s="1"/>
  <c r="H232" i="1" s="1"/>
  <c r="J233" i="1"/>
  <c r="J232" i="1" s="1"/>
  <c r="J231" i="1" s="1"/>
  <c r="J230" i="1" s="1"/>
  <c r="I233" i="1"/>
  <c r="I232" i="1" s="1"/>
  <c r="I231" i="1" s="1"/>
  <c r="I230" i="1" s="1"/>
  <c r="J228" i="1"/>
  <c r="J227" i="1" s="1"/>
  <c r="J226" i="1" s="1"/>
  <c r="I228" i="1"/>
  <c r="H228" i="1"/>
  <c r="H227" i="1" s="1"/>
  <c r="H226" i="1" s="1"/>
  <c r="I227" i="1"/>
  <c r="I226" i="1"/>
  <c r="J223" i="1"/>
  <c r="J222" i="1" s="1"/>
  <c r="I223" i="1"/>
  <c r="I222" i="1" s="1"/>
  <c r="H223" i="1"/>
  <c r="H222" i="1" s="1"/>
  <c r="J221" i="1"/>
  <c r="I221" i="1"/>
  <c r="I220" i="1" s="1"/>
  <c r="H221" i="1"/>
  <c r="H220" i="1" s="1"/>
  <c r="J220" i="1"/>
  <c r="J216" i="1"/>
  <c r="I216" i="1"/>
  <c r="H216" i="1"/>
  <c r="J214" i="1"/>
  <c r="J213" i="1" s="1"/>
  <c r="J212" i="1" s="1"/>
  <c r="I214" i="1"/>
  <c r="I213" i="1" s="1"/>
  <c r="I212" i="1" s="1"/>
  <c r="H214" i="1"/>
  <c r="H213" i="1" s="1"/>
  <c r="H212" i="1" s="1"/>
  <c r="H209" i="1"/>
  <c r="J208" i="1"/>
  <c r="J207" i="1" s="1"/>
  <c r="J206" i="1" s="1"/>
  <c r="J205" i="1" s="1"/>
  <c r="I208" i="1"/>
  <c r="I207" i="1" s="1"/>
  <c r="I206" i="1" s="1"/>
  <c r="I205" i="1" s="1"/>
  <c r="H208" i="1"/>
  <c r="H207" i="1" s="1"/>
  <c r="H206" i="1" s="1"/>
  <c r="H205" i="1" s="1"/>
  <c r="J203" i="1"/>
  <c r="J202" i="1" s="1"/>
  <c r="I203" i="1"/>
  <c r="I202" i="1" s="1"/>
  <c r="H203" i="1"/>
  <c r="H202" i="1" s="1"/>
  <c r="H201" i="1"/>
  <c r="J200" i="1"/>
  <c r="J199" i="1" s="1"/>
  <c r="I200" i="1"/>
  <c r="I199" i="1" s="1"/>
  <c r="H200" i="1"/>
  <c r="H199" i="1"/>
  <c r="J196" i="1"/>
  <c r="I196" i="1"/>
  <c r="H196" i="1"/>
  <c r="J195" i="1"/>
  <c r="J194" i="1" s="1"/>
  <c r="J193" i="1" s="1"/>
  <c r="J192" i="1" s="1"/>
  <c r="I195" i="1"/>
  <c r="I194" i="1" s="1"/>
  <c r="H195" i="1"/>
  <c r="H194" i="1" s="1"/>
  <c r="H193" i="1" s="1"/>
  <c r="H192" i="1" s="1"/>
  <c r="J189" i="1"/>
  <c r="J188" i="1" s="1"/>
  <c r="J187" i="1" s="1"/>
  <c r="I189" i="1"/>
  <c r="I188" i="1" s="1"/>
  <c r="I187" i="1" s="1"/>
  <c r="H189" i="1"/>
  <c r="H188" i="1" s="1"/>
  <c r="H187" i="1" s="1"/>
  <c r="J186" i="1"/>
  <c r="I186" i="1"/>
  <c r="H186" i="1"/>
  <c r="H185" i="1" s="1"/>
  <c r="H184" i="1" s="1"/>
  <c r="J185" i="1"/>
  <c r="J184" i="1" s="1"/>
  <c r="J183" i="1" s="1"/>
  <c r="J182" i="1" s="1"/>
  <c r="J181" i="1" s="1"/>
  <c r="I185" i="1"/>
  <c r="I184" i="1" s="1"/>
  <c r="J179" i="1"/>
  <c r="I179" i="1"/>
  <c r="H179" i="1"/>
  <c r="J178" i="1"/>
  <c r="J177" i="1" s="1"/>
  <c r="J176" i="1" s="1"/>
  <c r="J175" i="1" s="1"/>
  <c r="I178" i="1"/>
  <c r="I177" i="1" s="1"/>
  <c r="I176" i="1" s="1"/>
  <c r="I175" i="1" s="1"/>
  <c r="H178" i="1"/>
  <c r="H177" i="1" s="1"/>
  <c r="H176" i="1" s="1"/>
  <c r="H175" i="1" s="1"/>
  <c r="J173" i="1"/>
  <c r="J171" i="1" s="1"/>
  <c r="I173" i="1"/>
  <c r="I171" i="1" s="1"/>
  <c r="H173" i="1"/>
  <c r="H171" i="1" s="1"/>
  <c r="J169" i="1"/>
  <c r="I169" i="1"/>
  <c r="H169" i="1"/>
  <c r="J167" i="1"/>
  <c r="I167" i="1"/>
  <c r="H167" i="1"/>
  <c r="J163" i="1"/>
  <c r="J162" i="1" s="1"/>
  <c r="I163" i="1"/>
  <c r="I162" i="1" s="1"/>
  <c r="H163" i="1"/>
  <c r="H162" i="1" s="1"/>
  <c r="J159" i="1"/>
  <c r="I159" i="1"/>
  <c r="H159" i="1"/>
  <c r="H158" i="1"/>
  <c r="H157" i="1" s="1"/>
  <c r="J157" i="1"/>
  <c r="I157" i="1"/>
  <c r="J156" i="1"/>
  <c r="J155" i="1" s="1"/>
  <c r="I156" i="1"/>
  <c r="I155" i="1" s="1"/>
  <c r="H156" i="1"/>
  <c r="H155" i="1" s="1"/>
  <c r="J149" i="1"/>
  <c r="I149" i="1"/>
  <c r="I148" i="1" s="1"/>
  <c r="I147" i="1" s="1"/>
  <c r="H149" i="1"/>
  <c r="H148" i="1" s="1"/>
  <c r="H147" i="1" s="1"/>
  <c r="J148" i="1"/>
  <c r="J147" i="1" s="1"/>
  <c r="J145" i="1"/>
  <c r="I145" i="1"/>
  <c r="H145" i="1"/>
  <c r="J143" i="1"/>
  <c r="I143" i="1"/>
  <c r="H143" i="1"/>
  <c r="J141" i="1"/>
  <c r="I141" i="1"/>
  <c r="H141" i="1"/>
  <c r="J139" i="1"/>
  <c r="I139" i="1"/>
  <c r="H139" i="1"/>
  <c r="J137" i="1"/>
  <c r="I137" i="1"/>
  <c r="H137" i="1"/>
  <c r="J130" i="1"/>
  <c r="J129" i="1" s="1"/>
  <c r="J128" i="1" s="1"/>
  <c r="J127" i="1" s="1"/>
  <c r="J126" i="1" s="1"/>
  <c r="J125" i="1" s="1"/>
  <c r="I130" i="1"/>
  <c r="I129" i="1" s="1"/>
  <c r="I128" i="1" s="1"/>
  <c r="I127" i="1" s="1"/>
  <c r="I126" i="1" s="1"/>
  <c r="I125" i="1" s="1"/>
  <c r="H130" i="1"/>
  <c r="H129" i="1" s="1"/>
  <c r="H128" i="1" s="1"/>
  <c r="H127" i="1" s="1"/>
  <c r="H126" i="1" s="1"/>
  <c r="H125" i="1" s="1"/>
  <c r="J124" i="1"/>
  <c r="I124" i="1"/>
  <c r="H124" i="1"/>
  <c r="H123" i="1" s="1"/>
  <c r="H122" i="1" s="1"/>
  <c r="H121" i="1" s="1"/>
  <c r="H120" i="1" s="1"/>
  <c r="J123" i="1"/>
  <c r="J122" i="1" s="1"/>
  <c r="J121" i="1" s="1"/>
  <c r="J120" i="1" s="1"/>
  <c r="I123" i="1"/>
  <c r="I122" i="1" s="1"/>
  <c r="I121" i="1" s="1"/>
  <c r="I120" i="1" s="1"/>
  <c r="H119" i="1"/>
  <c r="H117" i="1" s="1"/>
  <c r="H116" i="1" s="1"/>
  <c r="H118" i="1"/>
  <c r="J117" i="1"/>
  <c r="J116" i="1" s="1"/>
  <c r="I117" i="1"/>
  <c r="I116" i="1" s="1"/>
  <c r="J114" i="1"/>
  <c r="J113" i="1" s="1"/>
  <c r="I114" i="1"/>
  <c r="I113" i="1" s="1"/>
  <c r="H114" i="1"/>
  <c r="H113" i="1"/>
  <c r="H112" i="1" s="1"/>
  <c r="J108" i="1"/>
  <c r="J107" i="1" s="1"/>
  <c r="J106" i="1" s="1"/>
  <c r="I108" i="1"/>
  <c r="I107" i="1" s="1"/>
  <c r="I106" i="1" s="1"/>
  <c r="H108" i="1"/>
  <c r="H107" i="1" s="1"/>
  <c r="H106" i="1" s="1"/>
  <c r="J103" i="1"/>
  <c r="J102" i="1" s="1"/>
  <c r="I103" i="1"/>
  <c r="I102" i="1" s="1"/>
  <c r="H103" i="1"/>
  <c r="H102" i="1" s="1"/>
  <c r="J99" i="1"/>
  <c r="I99" i="1"/>
  <c r="H99" i="1"/>
  <c r="J97" i="1"/>
  <c r="I97" i="1"/>
  <c r="H97" i="1"/>
  <c r="J94" i="1"/>
  <c r="J93" i="1" s="1"/>
  <c r="I94" i="1"/>
  <c r="I93" i="1" s="1"/>
  <c r="H94" i="1"/>
  <c r="H93" i="1"/>
  <c r="J91" i="1"/>
  <c r="J90" i="1" s="1"/>
  <c r="I91" i="1"/>
  <c r="I90" i="1" s="1"/>
  <c r="H91" i="1"/>
  <c r="H90" i="1" s="1"/>
  <c r="J88" i="1"/>
  <c r="J87" i="1" s="1"/>
  <c r="I88" i="1"/>
  <c r="I87" i="1" s="1"/>
  <c r="H88" i="1"/>
  <c r="H87" i="1"/>
  <c r="J85" i="1"/>
  <c r="J84" i="1" s="1"/>
  <c r="I85" i="1"/>
  <c r="I84" i="1" s="1"/>
  <c r="H85" i="1"/>
  <c r="H84" i="1" s="1"/>
  <c r="J80" i="1"/>
  <c r="I80" i="1"/>
  <c r="I79" i="1" s="1"/>
  <c r="I78" i="1" s="1"/>
  <c r="H80" i="1"/>
  <c r="H79" i="1" s="1"/>
  <c r="H78" i="1" s="1"/>
  <c r="J79" i="1"/>
  <c r="J78" i="1" s="1"/>
  <c r="J76" i="1"/>
  <c r="J75" i="1" s="1"/>
  <c r="I76" i="1"/>
  <c r="I75" i="1" s="1"/>
  <c r="I71" i="1" s="1"/>
  <c r="H76" i="1"/>
  <c r="H75" i="1" s="1"/>
  <c r="J72" i="1"/>
  <c r="I72" i="1"/>
  <c r="H72" i="1"/>
  <c r="J69" i="1"/>
  <c r="J68" i="1" s="1"/>
  <c r="I69" i="1"/>
  <c r="I68" i="1" s="1"/>
  <c r="I67" i="1" s="1"/>
  <c r="H69" i="1"/>
  <c r="H68" i="1" s="1"/>
  <c r="J64" i="1"/>
  <c r="I64" i="1"/>
  <c r="H64" i="1"/>
  <c r="J62" i="1"/>
  <c r="I62" i="1"/>
  <c r="I61" i="1" s="1"/>
  <c r="H62" i="1"/>
  <c r="H61" i="1" s="1"/>
  <c r="J58" i="1"/>
  <c r="J57" i="1" s="1"/>
  <c r="J56" i="1" s="1"/>
  <c r="I58" i="1"/>
  <c r="I57" i="1" s="1"/>
  <c r="I56" i="1" s="1"/>
  <c r="H58" i="1"/>
  <c r="H57" i="1" s="1"/>
  <c r="H56" i="1" s="1"/>
  <c r="J54" i="1"/>
  <c r="J53" i="1" s="1"/>
  <c r="J52" i="1" s="1"/>
  <c r="I54" i="1"/>
  <c r="I53" i="1" s="1"/>
  <c r="I52" i="1" s="1"/>
  <c r="H54" i="1"/>
  <c r="H53" i="1" s="1"/>
  <c r="H52" i="1" s="1"/>
  <c r="J49" i="1"/>
  <c r="J48" i="1" s="1"/>
  <c r="J47" i="1" s="1"/>
  <c r="J46" i="1" s="1"/>
  <c r="I49" i="1"/>
  <c r="I48" i="1" s="1"/>
  <c r="I47" i="1" s="1"/>
  <c r="I46" i="1" s="1"/>
  <c r="H49" i="1"/>
  <c r="H48" i="1"/>
  <c r="H47" i="1" s="1"/>
  <c r="H46" i="1" s="1"/>
  <c r="J45" i="1"/>
  <c r="J43" i="1" s="1"/>
  <c r="J42" i="1" s="1"/>
  <c r="J41" i="1" s="1"/>
  <c r="J40" i="1" s="1"/>
  <c r="I45" i="1"/>
  <c r="H45" i="1"/>
  <c r="I43" i="1"/>
  <c r="I42" i="1" s="1"/>
  <c r="I41" i="1" s="1"/>
  <c r="I40" i="1" s="1"/>
  <c r="H43" i="1"/>
  <c r="H42" i="1" s="1"/>
  <c r="H41" i="1" s="1"/>
  <c r="H40" i="1" s="1"/>
  <c r="H39" i="1"/>
  <c r="J38" i="1"/>
  <c r="J37" i="1" s="1"/>
  <c r="J36" i="1" s="1"/>
  <c r="I38" i="1"/>
  <c r="I37" i="1" s="1"/>
  <c r="I36" i="1" s="1"/>
  <c r="H38" i="1"/>
  <c r="H37" i="1" s="1"/>
  <c r="H36" i="1" s="1"/>
  <c r="J34" i="1"/>
  <c r="J33" i="1" s="1"/>
  <c r="I34" i="1"/>
  <c r="I33" i="1" s="1"/>
  <c r="H34" i="1"/>
  <c r="H33" i="1" s="1"/>
  <c r="J31" i="1"/>
  <c r="I31" i="1"/>
  <c r="H31" i="1"/>
  <c r="J30" i="1"/>
  <c r="J29" i="1" s="1"/>
  <c r="I30" i="1"/>
  <c r="I29" i="1" s="1"/>
  <c r="H30" i="1"/>
  <c r="H29" i="1" s="1"/>
  <c r="J28" i="1"/>
  <c r="J25" i="1" s="1"/>
  <c r="I28" i="1"/>
  <c r="H28" i="1"/>
  <c r="H27" i="1"/>
  <c r="J26" i="1"/>
  <c r="I26" i="1"/>
  <c r="H26" i="1"/>
  <c r="H25" i="1" s="1"/>
  <c r="J19" i="1"/>
  <c r="I19" i="1"/>
  <c r="I18" i="1" s="1"/>
  <c r="I17" i="1" s="1"/>
  <c r="I16" i="1" s="1"/>
  <c r="H19" i="1"/>
  <c r="H18" i="1" s="1"/>
  <c r="H17" i="1" s="1"/>
  <c r="H16" i="1" s="1"/>
  <c r="J18" i="1"/>
  <c r="J17" i="1" s="1"/>
  <c r="J16" i="1" s="1"/>
  <c r="J14" i="1"/>
  <c r="J13" i="1" s="1"/>
  <c r="J12" i="1" s="1"/>
  <c r="J11" i="1" s="1"/>
  <c r="J10" i="1" s="1"/>
  <c r="J9" i="1" s="1"/>
  <c r="I14" i="1"/>
  <c r="I13" i="1" s="1"/>
  <c r="I12" i="1" s="1"/>
  <c r="I11" i="1" s="1"/>
  <c r="I10" i="1" s="1"/>
  <c r="I9" i="1" s="1"/>
  <c r="H14" i="1"/>
  <c r="H13" i="1" s="1"/>
  <c r="H12" i="1" s="1"/>
  <c r="H11" i="1" s="1"/>
  <c r="H10" i="1" s="1"/>
  <c r="H9" i="1" s="1"/>
  <c r="I66" i="1" l="1"/>
  <c r="I219" i="1"/>
  <c r="I218" i="1" s="1"/>
  <c r="I258" i="1"/>
  <c r="I257" i="1" s="1"/>
  <c r="H331" i="1"/>
  <c r="H330" i="1" s="1"/>
  <c r="H329" i="1" s="1"/>
  <c r="H571" i="1"/>
  <c r="H570" i="1" s="1"/>
  <c r="H258" i="1"/>
  <c r="H257" i="1" s="1"/>
  <c r="H295" i="1"/>
  <c r="H294" i="1" s="1"/>
  <c r="H293" i="1" s="1"/>
  <c r="H292" i="1" s="1"/>
  <c r="J240" i="1"/>
  <c r="J280" i="1"/>
  <c r="H465" i="1"/>
  <c r="H464" i="1" s="1"/>
  <c r="H463" i="1" s="1"/>
  <c r="H462" i="1" s="1"/>
  <c r="J478" i="1"/>
  <c r="J477" i="1" s="1"/>
  <c r="J476" i="1" s="1"/>
  <c r="J475" i="1" s="1"/>
  <c r="J474" i="1" s="1"/>
  <c r="I506" i="1"/>
  <c r="I505" i="1" s="1"/>
  <c r="H71" i="1"/>
  <c r="H67" i="1" s="1"/>
  <c r="H66" i="1" s="1"/>
  <c r="I193" i="1"/>
  <c r="I192" i="1" s="1"/>
  <c r="H198" i="1"/>
  <c r="J316" i="1"/>
  <c r="J315" i="1" s="1"/>
  <c r="J308" i="1" s="1"/>
  <c r="J112" i="1"/>
  <c r="I198" i="1"/>
  <c r="I225" i="1"/>
  <c r="H492" i="1"/>
  <c r="H491" i="1" s="1"/>
  <c r="J679" i="1"/>
  <c r="J678" i="1" s="1"/>
  <c r="J677" i="1" s="1"/>
  <c r="J676" i="1" s="1"/>
  <c r="J675" i="1" s="1"/>
  <c r="I183" i="1"/>
  <c r="I182" i="1" s="1"/>
  <c r="I181" i="1" s="1"/>
  <c r="I594" i="1"/>
  <c r="H679" i="1"/>
  <c r="H678" i="1" s="1"/>
  <c r="H677" i="1" s="1"/>
  <c r="H676" i="1" s="1"/>
  <c r="H675" i="1" s="1"/>
  <c r="H695" i="1"/>
  <c r="H694" i="1" s="1"/>
  <c r="H693" i="1" s="1"/>
  <c r="H136" i="1"/>
  <c r="H231" i="1"/>
  <c r="H230" i="1" s="1"/>
  <c r="H225" i="1" s="1"/>
  <c r="H419" i="1"/>
  <c r="H418" i="1" s="1"/>
  <c r="H417" i="1" s="1"/>
  <c r="H416" i="1" s="1"/>
  <c r="J614" i="1"/>
  <c r="J613" i="1" s="1"/>
  <c r="J608" i="1" s="1"/>
  <c r="J607" i="1" s="1"/>
  <c r="I679" i="1"/>
  <c r="I678" i="1" s="1"/>
  <c r="I677" i="1" s="1"/>
  <c r="I676" i="1" s="1"/>
  <c r="I675" i="1" s="1"/>
  <c r="H183" i="1"/>
  <c r="H182" i="1" s="1"/>
  <c r="H181" i="1" s="1"/>
  <c r="H280" i="1"/>
  <c r="H273" i="1" s="1"/>
  <c r="H272" i="1" s="1"/>
  <c r="H374" i="1"/>
  <c r="H372" i="1" s="1"/>
  <c r="H371" i="1" s="1"/>
  <c r="H363" i="1" s="1"/>
  <c r="I455" i="1"/>
  <c r="I454" i="1" s="1"/>
  <c r="I453" i="1" s="1"/>
  <c r="I465" i="1"/>
  <c r="I464" i="1" s="1"/>
  <c r="I463" i="1" s="1"/>
  <c r="I462" i="1" s="1"/>
  <c r="H105" i="1"/>
  <c r="I280" i="1"/>
  <c r="I273" i="1" s="1"/>
  <c r="I272" i="1" s="1"/>
  <c r="I271" i="1" s="1"/>
  <c r="I348" i="1"/>
  <c r="H241" i="1"/>
  <c r="H240" i="1" s="1"/>
  <c r="H239" i="1" s="1"/>
  <c r="H238" i="1" s="1"/>
  <c r="H613" i="1"/>
  <c r="H608" i="1" s="1"/>
  <c r="H607" i="1" s="1"/>
  <c r="I154" i="1"/>
  <c r="I153" i="1" s="1"/>
  <c r="I152" i="1" s="1"/>
  <c r="I151" i="1" s="1"/>
  <c r="J154" i="1"/>
  <c r="J153" i="1" s="1"/>
  <c r="H166" i="1"/>
  <c r="H165" i="1" s="1"/>
  <c r="J465" i="1"/>
  <c r="J464" i="1" s="1"/>
  <c r="J463" i="1" s="1"/>
  <c r="J462" i="1" s="1"/>
  <c r="J695" i="1"/>
  <c r="J694" i="1" s="1"/>
  <c r="J693" i="1" s="1"/>
  <c r="J71" i="1"/>
  <c r="I166" i="1"/>
  <c r="I165" i="1" s="1"/>
  <c r="H594" i="1"/>
  <c r="H593" i="1" s="1"/>
  <c r="J166" i="1"/>
  <c r="J165" i="1" s="1"/>
  <c r="J554" i="1"/>
  <c r="J553" i="1" s="1"/>
  <c r="J552" i="1" s="1"/>
  <c r="J551" i="1" s="1"/>
  <c r="J582" i="1"/>
  <c r="J581" i="1" s="1"/>
  <c r="I647" i="1"/>
  <c r="J61" i="1"/>
  <c r="H287" i="1"/>
  <c r="H286" i="1" s="1"/>
  <c r="H285" i="1" s="1"/>
  <c r="J594" i="1"/>
  <c r="J593" i="1" s="1"/>
  <c r="J647" i="1"/>
  <c r="I695" i="1"/>
  <c r="I694" i="1" s="1"/>
  <c r="I693" i="1" s="1"/>
  <c r="I112" i="1"/>
  <c r="I105" i="1" s="1"/>
  <c r="J219" i="1"/>
  <c r="J218" i="1" s="1"/>
  <c r="J211" i="1" s="1"/>
  <c r="J210" i="1" s="1"/>
  <c r="I342" i="1"/>
  <c r="H384" i="1"/>
  <c r="H383" i="1" s="1"/>
  <c r="I419" i="1"/>
  <c r="I418" i="1" s="1"/>
  <c r="I417" i="1" s="1"/>
  <c r="I416" i="1" s="1"/>
  <c r="I449" i="1"/>
  <c r="H641" i="1"/>
  <c r="H647" i="1"/>
  <c r="I724" i="1"/>
  <c r="I723" i="1" s="1"/>
  <c r="I722" i="1" s="1"/>
  <c r="I136" i="1"/>
  <c r="I135" i="1" s="1"/>
  <c r="I134" i="1" s="1"/>
  <c r="I133" i="1" s="1"/>
  <c r="I132" i="1" s="1"/>
  <c r="I383" i="1"/>
  <c r="J419" i="1"/>
  <c r="J418" i="1" s="1"/>
  <c r="J417" i="1" s="1"/>
  <c r="J416" i="1" s="1"/>
  <c r="I641" i="1"/>
  <c r="I710" i="1"/>
  <c r="I709" i="1" s="1"/>
  <c r="I708" i="1" s="1"/>
  <c r="I707" i="1" s="1"/>
  <c r="I706" i="1" s="1"/>
  <c r="I674" i="1" s="1"/>
  <c r="I25" i="1"/>
  <c r="I24" i="1" s="1"/>
  <c r="I23" i="1" s="1"/>
  <c r="I22" i="1" s="1"/>
  <c r="I15" i="1" s="1"/>
  <c r="H96" i="1"/>
  <c r="H83" i="1" s="1"/>
  <c r="H82" i="1" s="1"/>
  <c r="H60" i="1" s="1"/>
  <c r="J136" i="1"/>
  <c r="I330" i="1"/>
  <c r="I329" i="1" s="1"/>
  <c r="I328" i="1" s="1"/>
  <c r="I327" i="1" s="1"/>
  <c r="I326" i="1" s="1"/>
  <c r="J571" i="1"/>
  <c r="J570" i="1" s="1"/>
  <c r="J710" i="1"/>
  <c r="I96" i="1"/>
  <c r="I83" i="1" s="1"/>
  <c r="I82" i="1" s="1"/>
  <c r="H316" i="1"/>
  <c r="H315" i="1" s="1"/>
  <c r="H308" i="1" s="1"/>
  <c r="H517" i="1"/>
  <c r="H516" i="1" s="1"/>
  <c r="H512" i="1" s="1"/>
  <c r="H504" i="1" s="1"/>
  <c r="H503" i="1" s="1"/>
  <c r="H502" i="1" s="1"/>
  <c r="J96" i="1"/>
  <c r="J83" i="1" s="1"/>
  <c r="J82" i="1" s="1"/>
  <c r="I295" i="1"/>
  <c r="I294" i="1" s="1"/>
  <c r="I293" i="1" s="1"/>
  <c r="I292" i="1" s="1"/>
  <c r="J372" i="1"/>
  <c r="H560" i="1"/>
  <c r="H559" i="1" s="1"/>
  <c r="H552" i="1" s="1"/>
  <c r="H551" i="1" s="1"/>
  <c r="H24" i="1"/>
  <c r="H23" i="1" s="1"/>
  <c r="H22" i="1" s="1"/>
  <c r="H15" i="1" s="1"/>
  <c r="J105" i="1"/>
  <c r="J24" i="1"/>
  <c r="J23" i="1" s="1"/>
  <c r="J22" i="1" s="1"/>
  <c r="J15" i="1" s="1"/>
  <c r="J67" i="1"/>
  <c r="J66" i="1" s="1"/>
  <c r="J198" i="1"/>
  <c r="J191" i="1" s="1"/>
  <c r="J190" i="1" s="1"/>
  <c r="J383" i="1"/>
  <c r="J371" i="1" s="1"/>
  <c r="J363" i="1" s="1"/>
  <c r="J492" i="1"/>
  <c r="J491" i="1" s="1"/>
  <c r="H709" i="1"/>
  <c r="H708" i="1" s="1"/>
  <c r="H707" i="1" s="1"/>
  <c r="H706" i="1" s="1"/>
  <c r="J225" i="1"/>
  <c r="J258" i="1"/>
  <c r="J257" i="1" s="1"/>
  <c r="J239" i="1" s="1"/>
  <c r="J238" i="1" s="1"/>
  <c r="I316" i="1"/>
  <c r="I315" i="1" s="1"/>
  <c r="I308" i="1" s="1"/>
  <c r="I448" i="1"/>
  <c r="I447" i="1" s="1"/>
  <c r="I571" i="1"/>
  <c r="I570" i="1" s="1"/>
  <c r="H634" i="1"/>
  <c r="H633" i="1" s="1"/>
  <c r="H622" i="1" s="1"/>
  <c r="I426" i="1"/>
  <c r="I425" i="1"/>
  <c r="I424" i="1" s="1"/>
  <c r="I402" i="1" s="1"/>
  <c r="J449" i="1"/>
  <c r="I512" i="1"/>
  <c r="I504" i="1" s="1"/>
  <c r="I503" i="1" s="1"/>
  <c r="I502" i="1" s="1"/>
  <c r="I593" i="1"/>
  <c r="I634" i="1"/>
  <c r="I633" i="1" s="1"/>
  <c r="I622" i="1" s="1"/>
  <c r="H348" i="1"/>
  <c r="H342" i="1" s="1"/>
  <c r="H328" i="1" s="1"/>
  <c r="H327" i="1" s="1"/>
  <c r="H326" i="1" s="1"/>
  <c r="J622" i="1"/>
  <c r="I373" i="1"/>
  <c r="I372" i="1"/>
  <c r="I371" i="1" s="1"/>
  <c r="I363" i="1" s="1"/>
  <c r="H426" i="1"/>
  <c r="H425" i="1"/>
  <c r="H424" i="1" s="1"/>
  <c r="H455" i="1"/>
  <c r="H454" i="1" s="1"/>
  <c r="H453" i="1" s="1"/>
  <c r="H449" i="1" s="1"/>
  <c r="J504" i="1"/>
  <c r="J503" i="1" s="1"/>
  <c r="J502" i="1" s="1"/>
  <c r="I554" i="1"/>
  <c r="I553" i="1" s="1"/>
  <c r="I552" i="1" s="1"/>
  <c r="I551" i="1" s="1"/>
  <c r="J135" i="1"/>
  <c r="J134" i="1" s="1"/>
  <c r="J133" i="1" s="1"/>
  <c r="J273" i="1"/>
  <c r="J272" i="1" s="1"/>
  <c r="J271" i="1" s="1"/>
  <c r="J348" i="1"/>
  <c r="J342" i="1" s="1"/>
  <c r="J328" i="1" s="1"/>
  <c r="J327" i="1" s="1"/>
  <c r="J326" i="1" s="1"/>
  <c r="H406" i="1"/>
  <c r="H405" i="1" s="1"/>
  <c r="H404" i="1" s="1"/>
  <c r="H403" i="1" s="1"/>
  <c r="H582" i="1"/>
  <c r="H581" i="1" s="1"/>
  <c r="I613" i="1"/>
  <c r="I608" i="1" s="1"/>
  <c r="I607" i="1" s="1"/>
  <c r="J709" i="1"/>
  <c r="J708" i="1" s="1"/>
  <c r="J707" i="1" s="1"/>
  <c r="J706" i="1" s="1"/>
  <c r="J724" i="1"/>
  <c r="J723" i="1" s="1"/>
  <c r="J722" i="1" s="1"/>
  <c r="H191" i="1"/>
  <c r="H190" i="1" s="1"/>
  <c r="I582" i="1"/>
  <c r="I581" i="1" s="1"/>
  <c r="H724" i="1"/>
  <c r="H723" i="1" s="1"/>
  <c r="H722" i="1" s="1"/>
  <c r="H674" i="1" s="1"/>
  <c r="I191" i="1"/>
  <c r="I190" i="1" s="1"/>
  <c r="H135" i="1"/>
  <c r="H134" i="1" s="1"/>
  <c r="H133" i="1" s="1"/>
  <c r="H154" i="1"/>
  <c r="H153" i="1" s="1"/>
  <c r="H152" i="1" s="1"/>
  <c r="H151" i="1" s="1"/>
  <c r="I211" i="1"/>
  <c r="I210" i="1" s="1"/>
  <c r="H219" i="1"/>
  <c r="H218" i="1" s="1"/>
  <c r="H211" i="1" s="1"/>
  <c r="H210" i="1" s="1"/>
  <c r="I239" i="1"/>
  <c r="I238" i="1" s="1"/>
  <c r="I492" i="1"/>
  <c r="I491" i="1" s="1"/>
  <c r="J425" i="1"/>
  <c r="J424" i="1" s="1"/>
  <c r="J402" i="1" s="1"/>
  <c r="J674" i="1" l="1"/>
  <c r="H271" i="1"/>
  <c r="J569" i="1"/>
  <c r="J568" i="1" s="1"/>
  <c r="J550" i="1" s="1"/>
  <c r="J535" i="1" s="1"/>
  <c r="J152" i="1"/>
  <c r="J151" i="1" s="1"/>
  <c r="H569" i="1"/>
  <c r="H568" i="1" s="1"/>
  <c r="H550" i="1" s="1"/>
  <c r="H535" i="1" s="1"/>
  <c r="H373" i="1"/>
  <c r="J132" i="1"/>
  <c r="I174" i="1"/>
  <c r="H448" i="1"/>
  <c r="H447" i="1" s="1"/>
  <c r="J448" i="1"/>
  <c r="J447" i="1" s="1"/>
  <c r="H490" i="1"/>
  <c r="H224" i="1"/>
  <c r="J174" i="1"/>
  <c r="I60" i="1"/>
  <c r="I224" i="1"/>
  <c r="J60" i="1"/>
  <c r="J8" i="1" s="1"/>
  <c r="J490" i="1"/>
  <c r="H8" i="1"/>
  <c r="I8" i="1"/>
  <c r="I7" i="1" s="1"/>
  <c r="H174" i="1"/>
  <c r="H402" i="1"/>
  <c r="J224" i="1"/>
  <c r="I490" i="1"/>
  <c r="I569" i="1"/>
  <c r="I568" i="1" s="1"/>
  <c r="I550" i="1" s="1"/>
  <c r="I535" i="1" s="1"/>
  <c r="H132" i="1"/>
  <c r="J7" i="1" l="1"/>
  <c r="J737" i="1" s="1"/>
  <c r="J739" i="1" s="1"/>
  <c r="H7" i="1"/>
  <c r="H737" i="1" s="1"/>
  <c r="H739" i="1" s="1"/>
  <c r="I737" i="1"/>
  <c r="I739" i="1" s="1"/>
</calcChain>
</file>

<file path=xl/sharedStrings.xml><?xml version="1.0" encoding="utf-8"?>
<sst xmlns="http://schemas.openxmlformats.org/spreadsheetml/2006/main" count="3718" uniqueCount="640">
  <si>
    <t xml:space="preserve">Приложение 4  
к решению Представительного Собрания Нюксенского муниципального округа Вологодской области  от ХХ.12.2024 года № ХХ "О бюджете Нюксенского муниципального округа Вологодской области на 2025 год и плановый период 2026 и 2027 годов"      </t>
  </si>
  <si>
    <t>Ведомственная структура расходов бюджета муниципального округа по главным распорядителям бюджетных средств, разделам, подразделам и (или) целевым статьям (государственным программам и непрограммным направлениям деятельности), группам (группам и подгруппам) видов расходов классификации расходов бюджетов на 2025 год и плановый период 2026 и 2027 годов</t>
  </si>
  <si>
    <t>(тыс.руб.)</t>
  </si>
  <si>
    <t>Наименование</t>
  </si>
  <si>
    <t>ГРБС</t>
  </si>
  <si>
    <t>РЗ</t>
  </si>
  <si>
    <t>ПР</t>
  </si>
  <si>
    <t>КЦСР</t>
  </si>
  <si>
    <t>КВР</t>
  </si>
  <si>
    <t>Администрация Нюксенского муниципального округа</t>
  </si>
  <si>
    <t>158</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</si>
  <si>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</si>
  <si>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</si>
  <si>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</si>
  <si>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</si>
  <si>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Муниципальная программа "Совершенствование муниципального управления в Нюксенском муниципальном округе"</t>
  </si>
  <si>
    <t>04 0 00 00000</t>
  </si>
  <si>
    <t>Комплекс процессных мероприятий</t>
  </si>
  <si>
    <t>04 4 00 00000</t>
  </si>
  <si>
    <t>Комплекс процессных мероприятий "Обеспечение деятельности администрации округа"</t>
  </si>
  <si>
    <t>04 4 05 00000</t>
  </si>
  <si>
    <t>Глава муниципального округа</t>
  </si>
  <si>
    <t>04 4 05 00191</t>
  </si>
  <si>
    <t>Расходы на выплаты персоналу государственных (муниципальных) органов</t>
  </si>
  <si>
    <t>120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</si>
  <si>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</si>
  <si>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 </t>
  </si>
  <si>
    <t>04</t>
  </si>
  <si>
    <t>Муниципальная программа "Социальная поддержка населения и социально ориентированных некоммерческих организаций Нюксенского муниципального округа "</t>
  </si>
  <si>
    <t>01 0 00 00000</t>
  </si>
  <si>
    <t>01 4 00 00000</t>
  </si>
  <si>
    <t>Комплекс процессных мероприятий "Обеспечение организации и осуществления органами местного самоуправления деятельности по опеке и попечительству"</t>
  </si>
  <si>
    <t>01 4 02 00000</t>
  </si>
  <si>
    <t>Выполнение отдельных государственных полномочий по закону области от 17 декабря 2007 года №1720-ОЗ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детей-сирот и детей, оставшихся без попечения родителей (за исключением детей обучающихся в федеральных образовательных учреждениях), лиц из числа детей указанных категорий"</t>
  </si>
  <si>
    <t>01 4 02 72310</t>
  </si>
  <si>
    <t>Иные закупки товаров, работ и услуг для обеспечения государственных (муниципальных) нужд</t>
  </si>
  <si>
    <t>240</t>
  </si>
  <si>
    <t>Расходы на обеспечение функций муниципальных органов</t>
  </si>
  <si>
    <t>04 4 05 00190</t>
  </si>
  <si>
    <t>Уплата налогов, сборов и иных платежей</t>
  </si>
  <si>
    <t>850</t>
  </si>
  <si>
    <t>Реализация расходных обязательств в части обеспечения выплаты заработной платы работникам муниципальных учреждений</t>
  </si>
  <si>
    <t>04 4 05 70030</t>
  </si>
  <si>
    <t>Субвенция на осуществление отдельных государственных полномочий в соответствии с законом области от 28 апреля 2006 года № 1443-ОЗ "О наделении органов местного самоуправления муниципальных районов, муниципальных округов и городских округов Вологодской области отдельными полномочиями в сфере архивного дела"</t>
  </si>
  <si>
    <t>04 4 05 72190</t>
  </si>
  <si>
    <t>Комплекс процессных мероприятий "Повышение открытости и доступности информации о деятельности органов местного самоуправления, предоставляемых государственные и муниципальные услуги"</t>
  </si>
  <si>
    <t>04 4 06 00000</t>
  </si>
  <si>
    <t>Реализация мероприятий по развитию информационного общества</t>
  </si>
  <si>
    <t>04 4 06 20320</t>
  </si>
  <si>
    <t>Муниципальный проект, не связанный с национальным проектом</t>
  </si>
  <si>
    <t>04 2 00 00000</t>
  </si>
  <si>
    <t>Муниципальный проект "Развитие сетевой и серверной инфраструктуры, систем и средств конфиденциального характера в администрации округа"</t>
  </si>
  <si>
    <t>04 2 01 00000</t>
  </si>
  <si>
    <t>Реализация мероприятий, направленных на развитие сетевой и серверной инфраструктуры органов исполнительной муниципальной власти округа</t>
  </si>
  <si>
    <t>04 2 01 20330</t>
  </si>
  <si>
    <t>Муниципальная программа "Обеспечение профилактики правонарушений, безопасности населения и территории Нюксенского муниципального округа"</t>
  </si>
  <si>
    <t>07 0 00 00000</t>
  </si>
  <si>
    <t>Комплексы процессных мероприятий</t>
  </si>
  <si>
    <t>07 4 00 00000</t>
  </si>
  <si>
    <t>Комплекс процессных мероприятий "Осуществление отдельных государственных полномочий в сфере административных отношений"</t>
  </si>
  <si>
    <t>07 4 01 00000</t>
  </si>
  <si>
    <t>Осуществление отдельных государственных полномочий в сфере административных отношений в соответствии с законом области от 28 ноября 2005 года №1369-ОЗ "О наделении органов местного самоуправления отдельными государственными полномочиями в сфере административных отношений"</t>
  </si>
  <si>
    <t>07 4 01 72310</t>
  </si>
  <si>
    <t>Муниципальная программа "Охрана окружающей среды и обеспечение экологической безопасности Нюксенского муниципального округа "</t>
  </si>
  <si>
    <t>08 0 00 00000</t>
  </si>
  <si>
    <t xml:space="preserve">Комплексы процессных мероприятий </t>
  </si>
  <si>
    <t>08 4 00 00000</t>
  </si>
  <si>
    <t>Комплекс процессных мероприятий "Осуществление отдельных государственных полномочий в сфере охраны окружающей среды"</t>
  </si>
  <si>
    <t>08 4 01 00000</t>
  </si>
  <si>
    <t>Осуществление отдельных государственных полномочий в соответствии с законом области от 28 июня 2006 года № 1465-ОЗ "О наделении органов местного самоуправления отдельными государственными полномочиями в сфере охраны окружающей среды"</t>
  </si>
  <si>
    <t>08 4 01 72310</t>
  </si>
  <si>
    <t>Судебная система</t>
  </si>
  <si>
    <t>05</t>
  </si>
  <si>
    <t>Осуществление отдельных государственных полномочий</t>
  </si>
  <si>
    <t>78 0 00 00000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</si>
  <si>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</si>
  <si>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78 0 00 51200</t>
  </si>
  <si>
    <t>Резервные фонды</t>
  </si>
  <si>
    <t>11</t>
  </si>
  <si>
    <t>70 0 00 00000</t>
  </si>
  <si>
    <t>Резервные фонды местных администраций</t>
  </si>
  <si>
    <t>70 5 00 00000</t>
  </si>
  <si>
    <t>Резервные средства</t>
  </si>
  <si>
    <t>870</t>
  </si>
  <si>
    <t>Другие общегосударственные вопросы</t>
  </si>
  <si>
    <t>13</t>
  </si>
  <si>
    <t>Реализация муниципальных функций, связанных с решением вопросов местного значения</t>
  </si>
  <si>
    <t>97 0 00 00000</t>
  </si>
  <si>
    <t>Мероприятия, связанные с градостроительной деятельностью муниципального округа</t>
  </si>
  <si>
    <t>97 0 00 21140</t>
  </si>
  <si>
    <t>Иные закупки товаров, работ и услуг для государственных (муниципальных) нужд</t>
  </si>
  <si>
    <t>Мероприятия, связанные с выполнением работ по мобилизационной подготовке</t>
  </si>
  <si>
    <t>97 0 00 21170</t>
  </si>
  <si>
    <t>Муниципальная программа "Социальная поддержка населения и социально ориентированных некоммерческих организаций Нюксенского муниципального округа"</t>
  </si>
  <si>
    <t>01 2 00 00000</t>
  </si>
  <si>
    <t>Муниципальный проект "Предоставление финансовой и имущественной поддержки социально ориентированным некоммерческим организациям"</t>
  </si>
  <si>
    <t>01 2 01 00000</t>
  </si>
  <si>
    <t xml:space="preserve">Предоставление субсидий социально ориентированным некоммерческим организациям </t>
  </si>
  <si>
    <t>01 2 01 25150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</si>
  <si>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</si>
  <si>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</si>
  <si>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Муниципальный проект "Здоровье нюксян"</t>
  </si>
  <si>
    <t>01 2 02 00000</t>
  </si>
  <si>
    <t>Мероприятия, направленные на формирование здорового образа жизни населения</t>
  </si>
  <si>
    <t>01 2 02 29070</t>
  </si>
  <si>
    <t xml:space="preserve">Субсидии бюджетным учреждениям </t>
  </si>
  <si>
    <t>610</t>
  </si>
  <si>
    <t>Мероприятия, направленных на развитие кадрового потенциала в области здравоохранения</t>
  </si>
  <si>
    <t>01 2 02 29030</t>
  </si>
  <si>
    <t>Создание условия для развития кадрового потенциала</t>
  </si>
  <si>
    <t>Комплекс процессных мероприятий "Предоставление мер социальной поддержки отдельным категориям граждан и иных социальных выплат"</t>
  </si>
  <si>
    <t>01 4 01 00000</t>
  </si>
  <si>
    <t>Ежемесячное денежное вознаграждение лицам, удостоенным звания "Почетный гражданин Нюксенского муниципального округа"</t>
  </si>
  <si>
    <t>01 4 01 80020</t>
  </si>
  <si>
    <t xml:space="preserve">Публичные нормативные выплаты гражданам несоциального характера
</t>
  </si>
  <si>
    <t>330</t>
  </si>
  <si>
    <t>Муниципальная программа  "Совершенствование муниципального управления в Нюксенском муниципальном округе"</t>
  </si>
  <si>
    <t>Комплекс процессных мероприятий "Привлечение квалифицированных специалистов на территорию муниципального округа"</t>
  </si>
  <si>
    <t>04 4 01 00000</t>
  </si>
  <si>
    <t>Ежемесячная денежная выплата студентам, заключившим договора с администрацией округа</t>
  </si>
  <si>
    <t>04 4 01 80800</t>
  </si>
  <si>
    <t>Комплекс процессных мероприятий "Совершенствование и повышение профессионального уровня кадров"</t>
  </si>
  <si>
    <t>04 4 02 00000</t>
  </si>
  <si>
    <t xml:space="preserve">Мероприятия, направленные на повышение квалификационного уровня </t>
  </si>
  <si>
    <t>04 4 02 20800</t>
  </si>
  <si>
    <t>Комплекс процессных мероприятий "Реализация и развитие механизмов противодействия коррупции в сфере муниципальной службы"</t>
  </si>
  <si>
    <t>04 4 03 00000</t>
  </si>
  <si>
    <t>Организация правового просвещения и правового информирования граждан по вопросам противодействия коррупции</t>
  </si>
  <si>
    <t>04 4 03 20240</t>
  </si>
  <si>
    <t>Комплекс процессных мероприятий "Организация деятельности по оказанию государственных и муниципальных услуг (выполнению работ) муниципальным учреждением  "МФЦ Нюксенского муниципального округа"</t>
  </si>
  <si>
    <t>04 4 04 00000</t>
  </si>
  <si>
    <t>Осуществление отдельных государственных полномочий в соответствии с законом области от 10 декабря 2014 года №3526-ОЗ "О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t>
  </si>
  <si>
    <t>04 4 04 72250</t>
  </si>
  <si>
    <t>Расходы на выплаты персоналу казенных учреждений</t>
  </si>
  <si>
    <t>110</t>
  </si>
  <si>
    <t>Членский взнос в ассоциацию муниципальных образований</t>
  </si>
  <si>
    <t>04 4 05 21010</t>
  </si>
  <si>
    <t>Членский взнос в ассоциацию "Здоровые города, районы и поселки"</t>
  </si>
  <si>
    <t>04 4 05 21020</t>
  </si>
  <si>
    <t>Комплекс процессных мероприятий «Содействие развитию связи и информационно – телекоммуникационной сферы»</t>
  </si>
  <si>
    <t>04 4 07 00000</t>
  </si>
  <si>
    <t>Создание условий для обеспечения населения услугами сети  «Интернет»</t>
  </si>
  <si>
    <t>04 4 07 20340</t>
  </si>
  <si>
    <t>Муниципальная программа "Развитие культуры, туризма, молодежной политики, физической культуры и спорта  Нюксенского муниципального округа"</t>
  </si>
  <si>
    <t>05 0 00 00000</t>
  </si>
  <si>
    <t>05 2 00 00000</t>
  </si>
  <si>
    <t>Муниципальный проект "Инвестиции в инфраструктуру туризма округа"</t>
  </si>
  <si>
    <t>05 2 02 00000</t>
  </si>
  <si>
    <t>Развитие туристического потенциала в Нюксенском муниципальном округе</t>
  </si>
  <si>
    <t>05 2 02 01590</t>
  </si>
  <si>
    <t>Субсидии бюджетным учреждениям</t>
  </si>
  <si>
    <t xml:space="preserve">Субсидии автономным учреждениям
</t>
  </si>
  <si>
    <t>620</t>
  </si>
  <si>
    <t>05 4 00 00000</t>
  </si>
  <si>
    <t>Комплекс процессных мероприятий "Организация и проведение культурных проектов, мероприятий, посвященных праздничным и памятным датам"</t>
  </si>
  <si>
    <t>05 4 01 00000</t>
  </si>
  <si>
    <t>Мероприятия в сфере культуры</t>
  </si>
  <si>
    <t>05 4 01 28010</t>
  </si>
  <si>
    <t>Комплекс процессных мероприятий "Обеспечение деятельности в сфере туризма"</t>
  </si>
  <si>
    <t>05 4 03 00000</t>
  </si>
  <si>
    <t>05 4 03 01590</t>
  </si>
  <si>
    <t>Комплекс процессных мероприятий "Обеспечение общественной безопасности на территории Нюксенского муниципального округа"</t>
  </si>
  <si>
    <t>07 4 02 00000</t>
  </si>
  <si>
    <t>Мероприятия, направленные на повышение качества и результативности противодействия преступности, охраны общественного порядка, обеспечения общественной безопасности, снижение количества зарегистрированных преступлений</t>
  </si>
  <si>
    <t>07 4 02 23090</t>
  </si>
  <si>
    <t>Национальная оборона</t>
  </si>
  <si>
    <t>Мобилизационная и вневойсковая подготовка</t>
  </si>
  <si>
    <t>03</t>
  </si>
  <si>
    <t>Осуществление первичного воинского учета на территориях, где отсутствуют военные комиссариаты</t>
  </si>
  <si>
    <t>04 4 05 51180</t>
  </si>
  <si>
    <t>Национальная безопасность и правоохранительная деятельность</t>
  </si>
  <si>
    <t>Гражданская оборона</t>
  </si>
  <si>
    <t>09</t>
  </si>
  <si>
    <t>Обеспечение прогнозных данных для принятия предупредительных мер</t>
  </si>
  <si>
    <t>07 4 02 23040</t>
  </si>
  <si>
    <t>Обеспечение безопасности граждан труднодоступных населенных пунктов</t>
  </si>
  <si>
    <t>07 4 02 23041</t>
  </si>
  <si>
    <t>Предупреждение возникновения и развития чрезвычайных ситуаций (происшествий) на территории Нюксенского муниципального округа, снижение размеров ущерба и потерь от чрезвычайных ситуаций</t>
  </si>
  <si>
    <t>07 4 02 23050</t>
  </si>
  <si>
    <t>Мероприятия по поддержанию в готовности и совершенствованию системы оповещения населения</t>
  </si>
  <si>
    <t>07 4 02 23120</t>
  </si>
  <si>
    <t>Комплекс процессных мероприятий "Обеспечение деятельности ЕДДС"</t>
  </si>
  <si>
    <t>07 4 04 00000</t>
  </si>
  <si>
    <t>Мероприятия по снижению  рисков и смягчению последствий чрезвычайных ситуаций природного и техногенного характера</t>
  </si>
  <si>
    <t>07 4 04 23040</t>
  </si>
  <si>
    <t>Другие вопросы в области национальной безопасности и правоохранительной деятельности</t>
  </si>
  <si>
    <t>14</t>
  </si>
  <si>
    <t>Муниципальные проекты, не связанные с национальными проектами</t>
  </si>
  <si>
    <t>07 2 00 00000</t>
  </si>
  <si>
    <t>Муниципальный проект "Обеспечение общественной безопасности на территории Нюксенского муниципального округа"</t>
  </si>
  <si>
    <t>07 2 01 00000</t>
  </si>
  <si>
    <t>Внедрение и (или) эксплуатация аппаратно-программного комплекса "Безопасный город"</t>
  </si>
  <si>
    <t>07 2 01 S1060</t>
  </si>
  <si>
    <t>Мероприятия, направленные на антитеррористическую защищенность мест массового пребывания людей</t>
  </si>
  <si>
    <t>07 2 01 S1130</t>
  </si>
  <si>
    <t>Мероприятия по профилактики преступлений и иных правонарушений</t>
  </si>
  <si>
    <t>07 2 01 23060</t>
  </si>
  <si>
    <t>Иные выплаты населению</t>
  </si>
  <si>
    <t>360</t>
  </si>
  <si>
    <t>Муниципальный проект "Обеспечение сохранности материальных ценностей на территории Нюксенского муниципального округа"</t>
  </si>
  <si>
    <t>07 2 03 00000</t>
  </si>
  <si>
    <t>Мероприятия по разработке проектно-сметной документации</t>
  </si>
  <si>
    <t>07 2 03 23140</t>
  </si>
  <si>
    <t>Мероприятия, направленные на повышение эффективности системы профилактики безнадзорности, правонарушений и преступлений, совершенных несовершеннолетними, а также защиты их прав и снижение количества преступлений, совершенных несовершеннолетними</t>
  </si>
  <si>
    <t>07 4 02 23060</t>
  </si>
  <si>
    <t>Снижение числа дорожно-транспортных происшествий с пострадавшими, в том числе несовершеннолетними</t>
  </si>
  <si>
    <t>07 4 02 23080</t>
  </si>
  <si>
    <t>Национальная экономика</t>
  </si>
  <si>
    <t>Общеэкономические вопросы</t>
  </si>
  <si>
    <t>Муниципальная программа "Развитие образования Нюксенского муниципального округа"</t>
  </si>
  <si>
    <t>06 0 00 00000</t>
  </si>
  <si>
    <t>06 4 00 00000</t>
  </si>
  <si>
    <t>Комплекс процессных мероприятий "Создание условий временного трудоустройства несовершеннолетних граждан"</t>
  </si>
  <si>
    <t>06 4 04 00000</t>
  </si>
  <si>
    <t xml:space="preserve">Мероприятия по содействию занятости населения </t>
  </si>
  <si>
    <t>06 4 04 24010</t>
  </si>
  <si>
    <t>Транспорт</t>
  </si>
  <si>
    <t>08</t>
  </si>
  <si>
    <t>Муниципальная программа "Дорожная сеть и транспортное обслуживание"</t>
  </si>
  <si>
    <t>02 0 00 00000</t>
  </si>
  <si>
    <t>02 4 00 00000</t>
  </si>
  <si>
    <t>Комплекс процессных мероприятий "Транспортное обслуживание населения"</t>
  </si>
  <si>
    <t>02 4 02 00000</t>
  </si>
  <si>
    <t>Организация транспортного обслуживания населения на муниципальных маршрутах регулярных перевозок по регулируемым тарифам</t>
  </si>
  <si>
    <t>02 4 02 S1370</t>
  </si>
  <si>
    <t>Комплекс процессных мероприятий "Обеспечение деятельности муниципального бюджетного учреждения "Нюксеницаавтотранс"</t>
  </si>
  <si>
    <t>02 4 03 00000</t>
  </si>
  <si>
    <t>Расходы на обеспечение деятельности (оказание услуг) муниципальных учреждений</t>
  </si>
  <si>
    <t>02 4 03 41400</t>
  </si>
  <si>
    <t>Дорожное хозяйство (дорожные фонды)</t>
  </si>
  <si>
    <t>02 2 00 00000</t>
  </si>
  <si>
    <t>Муниципальный проект "Ремонт и капитальный ремонт автомобильных дорог и искусственных сооружений"</t>
  </si>
  <si>
    <t>02 2 01 00000</t>
  </si>
  <si>
    <t>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 предоставляемым отдельным категориям граждан</t>
  </si>
  <si>
    <t>02 2 01 9Д150</t>
  </si>
  <si>
    <t>Выполнение работ по ремонту и капитальному ремонту автомобильных дорог и искусственных сооружений</t>
  </si>
  <si>
    <t>02 2 01 41300</t>
  </si>
  <si>
    <t>Комплекс процессных мероприятий "Содержание автомобильных дорог общего пользования местного значения"</t>
  </si>
  <si>
    <t>02 4 01 00000</t>
  </si>
  <si>
    <t>Выполнение работ по содержанию автомобильных дорог и  искусственных сооружений</t>
  </si>
  <si>
    <t>02 4 01 41200</t>
  </si>
  <si>
    <t>Комплекс процессных мероприятий  "Безопасность дорожного движения"</t>
  </si>
  <si>
    <t>02 4 04 00000</t>
  </si>
  <si>
    <t>Мероприятия по профилактике дорожно-транспортных происшествий</t>
  </si>
  <si>
    <t>02 4 04 23070</t>
  </si>
  <si>
    <t>Другие вопросы в области национальной экономики</t>
  </si>
  <si>
    <t>12</t>
  </si>
  <si>
    <t>Муниципальная программа "Экономическое развитие Нюксенского муниципального округа"</t>
  </si>
  <si>
    <t>10 0 00 00000</t>
  </si>
  <si>
    <t>Муниципальный проект</t>
  </si>
  <si>
    <t>10 3 00 00000</t>
  </si>
  <si>
    <t>Муниципальный проект "Инвестиции в развитие округа"</t>
  </si>
  <si>
    <t>10 3 01 00000</t>
  </si>
  <si>
    <t>Создание условий для развития торговли</t>
  </si>
  <si>
    <t>10 3 01 20440</t>
  </si>
  <si>
    <t>Расходы на повышение инвестиционной привлекательности муниципального округа</t>
  </si>
  <si>
    <t>10 3 01 20460</t>
  </si>
  <si>
    <t>10 4 00 00000</t>
  </si>
  <si>
    <t>Комплекс процессных мероприятий "Развитие малого и среднего предпринимательства в Нюксенском муниципальном округе"</t>
  </si>
  <si>
    <t>10 4 01 00000</t>
  </si>
  <si>
    <t>Развитие мобильной торговли в малонаселенных и труднодоступных населенных пунктах</t>
  </si>
  <si>
    <t>10 4 01 S1250</t>
  </si>
  <si>
    <t>Доставка товаров в "социально значимые" магазины в малонаселенных и (или) труднодоступных населенных пунктах</t>
  </si>
  <si>
    <t>10 4 01 S1251</t>
  </si>
  <si>
    <t>Жилищно-коммунальное хозяйство</t>
  </si>
  <si>
    <t>Жилищное хозяйство</t>
  </si>
  <si>
    <t>Муниципальная программа "Совершенствование системы управления и распоряжения земельно-имущественным комплексом Нюксенского муниципального округа"</t>
  </si>
  <si>
    <t>16 2 00 00000</t>
  </si>
  <si>
    <t>Основное мероприятие "Содержание имущества, находящегося в муниципальной собственности"</t>
  </si>
  <si>
    <t>Мероприятия в сфере управления и распоряжения имуществом, земельными ресурсами</t>
  </si>
  <si>
    <t>16 2 00 20500</t>
  </si>
  <si>
    <t>Муниципальная программа "Обеспечение населения Нюксенского муниципального округа доступным жильем и создание благоприятных условий проживания"</t>
  </si>
  <si>
    <t>13 0 00 00000</t>
  </si>
  <si>
    <t>13 2 00 00000</t>
  </si>
  <si>
    <t>Муниципальный проект "Капитальный и текущий ремонт объектов жилищного фонда"</t>
  </si>
  <si>
    <t>13 2 01 00000</t>
  </si>
  <si>
    <t>Мероприятия, связанные с капитальным и текущим ремонтом объектов жилищного фонда</t>
  </si>
  <si>
    <t>13 2 01 20570</t>
  </si>
  <si>
    <t>Муниципальный проект "Демонтаж и снос аварийного и ветхого жилья на территории муниципального округа"</t>
  </si>
  <si>
    <t>13 2 02 00000</t>
  </si>
  <si>
    <t>Мероприятия по сносу пришедших в негодность расселенных ветхих и аварийных многоквартирных домов</t>
  </si>
  <si>
    <t>13 2 02 20571</t>
  </si>
  <si>
    <t>Коммунальное хозяйство</t>
  </si>
  <si>
    <t>Муниципальная программа "Развитие топливно-энергетического комплекса и коммунальной инфраструктуры на территории Нюксенского муниципального округа"</t>
  </si>
  <si>
    <t>09 0 00 00000</t>
  </si>
  <si>
    <t>Муниципальный проект, не связанный с реализацией национального проекта</t>
  </si>
  <si>
    <t>09 2 00 00000</t>
  </si>
  <si>
    <t>Муниципальный проект "Строительство, реконструкция и модернизация объектов жилищно-коммунальной инфраструктуры муниципального округа"</t>
  </si>
  <si>
    <t>09 2 01 00000</t>
  </si>
  <si>
    <t>Мероприятия на подготовку объектов теплоэнергетики к работе в осенне-зимний период</t>
  </si>
  <si>
    <t>09 2 01 9Т100</t>
  </si>
  <si>
    <t>Бюджетные инвестиции</t>
  </si>
  <si>
    <t>410</t>
  </si>
  <si>
    <t>Мероприятия, направленные на строительство, реконструкцию и капитальный ремонт централизованных систем водоснабжения и водоотведения</t>
  </si>
  <si>
    <t>09 2 01 S3040</t>
  </si>
  <si>
    <t>Муниципальные проект "Подготовка объектов теплоэнергетики к работе в осенне-зимний период"</t>
  </si>
  <si>
    <t>09 2 02 00000</t>
  </si>
  <si>
    <t>Мероприятия в области энергосбережения</t>
  </si>
  <si>
    <t>09 2 02 20560</t>
  </si>
  <si>
    <t>Муниципальный проект "Капитальный ремонт и ремонт централизованных систем водоснабжения и водоотведения"</t>
  </si>
  <si>
    <t>09 2 03 00000</t>
  </si>
  <si>
    <t xml:space="preserve">158 </t>
  </si>
  <si>
    <t>09 2 03 20560</t>
  </si>
  <si>
    <t>Муниципальный проект "Поддержка коммунального хозяйства"</t>
  </si>
  <si>
    <t>09 2 04 00000</t>
  </si>
  <si>
    <t>Мероприятия, связанные с поддержкой муниципальных предприятий в области ЖКХ</t>
  </si>
  <si>
    <t>09 2 04 21190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</si>
  <si>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</si>
  <si>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</si>
  <si>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09 4 00 00000</t>
  </si>
  <si>
    <t>Комплекс процессных мероприятий "Энергосбережение и комплексная модернизация систем коммунальной инфраструктуры Нюксенского муниципального округа"</t>
  </si>
  <si>
    <t>09 4 01 00000</t>
  </si>
  <si>
    <t>Мероприятия в области энергосбережения, исполнение судебных решений</t>
  </si>
  <si>
    <t>09 4 01 20560</t>
  </si>
  <si>
    <t xml:space="preserve">Исполнение судебных актов Российской Федерации и мировых соглашений по возмещению причиненного вреда
</t>
  </si>
  <si>
    <t>830</t>
  </si>
  <si>
    <t>Производственный контроль качества питьевой воды из источников водоснабжения</t>
  </si>
  <si>
    <t>09 4 01 20610</t>
  </si>
  <si>
    <t>Мероприятия, направленные на производственный контроль качества сточных вод</t>
  </si>
  <si>
    <t>09 4 01 20620</t>
  </si>
  <si>
    <t>12 0 00 00000</t>
  </si>
  <si>
    <t>12 4 00 00000</t>
  </si>
  <si>
    <t>Комплекс процессных мероприятий "Управление муниципальным имуществом и земельными ресурсами Нюксенского муниципального округа"</t>
  </si>
  <si>
    <t>12 4 02 00000</t>
  </si>
  <si>
    <t>12 4 02 20500</t>
  </si>
  <si>
    <t>Благоустройство</t>
  </si>
  <si>
    <t>Муниципальная программа "Формирование современного облика территории Нюксенского муниципального округа"</t>
  </si>
  <si>
    <t>03 0 00 00000</t>
  </si>
  <si>
    <t>03 2 00 00000</t>
  </si>
  <si>
    <t>Муниципальный проект "Формирование современной городской среды на территории Нюксенского муниципального округа"</t>
  </si>
  <si>
    <t>03 2 01 00000</t>
  </si>
  <si>
    <t>Обустройство детских и спортивных площадок</t>
  </si>
  <si>
    <t>03 2 01 S1553</t>
  </si>
  <si>
    <t>Муниципальный проект "Предотвращение распространения сорного растения борщевик Сосновского"</t>
  </si>
  <si>
    <t>03 2 02 00000</t>
  </si>
  <si>
    <t>Мероприятия по предотвращению распространения сорного растения борщевик Сосновского</t>
  </si>
  <si>
    <t>03 2 02 S1400</t>
  </si>
  <si>
    <t>Муниципальный проект "Инвестиции в создание благоустройства общественных территорий округа"</t>
  </si>
  <si>
    <t>03 2 03 00000</t>
  </si>
  <si>
    <t>Обустройство общественных территорий</t>
  </si>
  <si>
    <t>03 2 03 23210</t>
  </si>
  <si>
    <t>Мероприятия, направленные на обустройство систем уличного освещения</t>
  </si>
  <si>
    <t>03 2 03 S3350</t>
  </si>
  <si>
    <t>Комплекс процессных мероприятий "Обеспечение деятельности службы коммунального хозяйства и благоустройства"</t>
  </si>
  <si>
    <t>09 4 02 00000</t>
  </si>
  <si>
    <t>09 4 02 41500</t>
  </si>
  <si>
    <t>09 4 02 70030</t>
  </si>
  <si>
    <t>Охрана окружающей среды</t>
  </si>
  <si>
    <t>06</t>
  </si>
  <si>
    <t>Другие вопросы в области охраны окружающей среды</t>
  </si>
  <si>
    <t>Муниципальная программа "Охрана окружающей среды и обеспечение экологической безопасности Нюксенского муниципального округа"</t>
  </si>
  <si>
    <t>08 2 00 00000</t>
  </si>
  <si>
    <t>Муниципальный проект "Обеспечение населения округа качественной питьевой водой"</t>
  </si>
  <si>
    <t>08 2 01 00000</t>
  </si>
  <si>
    <t>Охрана и рациональное использование водных ресурсов</t>
  </si>
  <si>
    <t>08 2 01 20110</t>
  </si>
  <si>
    <t>Муниципальный проект "Снижение негативного воздействия на окружающую среду отходов производства и потребления"</t>
  </si>
  <si>
    <t>08 2 02 00000</t>
  </si>
  <si>
    <t>Предотвращение загрязнения окружающей среды отходами производства и потребления</t>
  </si>
  <si>
    <t>163</t>
  </si>
  <si>
    <t>08 2 02 20120</t>
  </si>
  <si>
    <t>Комплекс процессных мероприятий "Экологическое образование, просвещение и информирование населения"</t>
  </si>
  <si>
    <t>08 4 03 00000</t>
  </si>
  <si>
    <t>Природоохранные мероприятия</t>
  </si>
  <si>
    <t>08 4 03 20112</t>
  </si>
  <si>
    <t>Субсидии автономным учреждениям</t>
  </si>
  <si>
    <t>ОБРАЗОВАНИЕ</t>
  </si>
  <si>
    <t>07</t>
  </si>
  <si>
    <t>Дополнительное образование детей</t>
  </si>
  <si>
    <t>Комплекс процессных мероприятий "Обеспечение деятельности учреждений в сфере культуры"</t>
  </si>
  <si>
    <t>05 4 02 00000</t>
  </si>
  <si>
    <t xml:space="preserve">Обеспечение деятельности по внешкольной работе с детьми </t>
  </si>
  <si>
    <t>05 4 02 15590</t>
  </si>
  <si>
    <t>Молодёжная политика</t>
  </si>
  <si>
    <t>Муниципальный проект "Инвестиции в инфраструктуру молодежи"</t>
  </si>
  <si>
    <t>05 2 03 00000</t>
  </si>
  <si>
    <t xml:space="preserve">Мероприятия, направленные на обеспечение развития и укрепление материально-технической базы </t>
  </si>
  <si>
    <t>05 2 03 20590</t>
  </si>
  <si>
    <t>Комплекс процессных мероприятий "Обеспечение деятельности в сфере молодежной политики"</t>
  </si>
  <si>
    <t>05 4 04 00000</t>
  </si>
  <si>
    <t>Проведение мероприятий для детей и молодежи</t>
  </si>
  <si>
    <t>05 4 04 20590</t>
  </si>
  <si>
    <t>Культура, кинематография</t>
  </si>
  <si>
    <t>Культура</t>
  </si>
  <si>
    <t>Муниципальный проект "Инвестиции в инфраструктуру учреждений культуры муниципального округа"</t>
  </si>
  <si>
    <t>05 2 01 00000</t>
  </si>
  <si>
    <t>Мероприятия, направленные на обеспечение развития и укрепление материально-технической базы муниципальных учреждений отрасли культуры</t>
  </si>
  <si>
    <t>05 2 01 S1960</t>
  </si>
  <si>
    <t>Обеспечение реализации мероприятий по укреплению материально-технической базы государственных учреждений отрасли культуры</t>
  </si>
  <si>
    <t>05 2 01 01590</t>
  </si>
  <si>
    <t>Муниципальный проект "Безопасный труд"</t>
  </si>
  <si>
    <t>05 2 06 00000</t>
  </si>
  <si>
    <t>Иные межбюджетные трансферты по стимулированию создания рабочих мест для инвалидов</t>
  </si>
  <si>
    <t>05 2 06 74070</t>
  </si>
  <si>
    <t>05 4 02 01590</t>
  </si>
  <si>
    <t>05 4 02 70030</t>
  </si>
  <si>
    <t>Здравоохранение</t>
  </si>
  <si>
    <t>Санитарно-эпидемиологическое благополучие</t>
  </si>
  <si>
    <t>Осуществление отдельных государственных полномочий в соответствии с законом области от 15 января 2013 года № 2966-ОЗ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</si>
  <si>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78 0 00 72230</t>
  </si>
  <si>
    <t>Социальная политика</t>
  </si>
  <si>
    <t>10</t>
  </si>
  <si>
    <t>Пенсионное обеспечение</t>
  </si>
  <si>
    <t xml:space="preserve">Доплаты к пенсиям </t>
  </si>
  <si>
    <t>01 4 01 80010</t>
  </si>
  <si>
    <t xml:space="preserve">Публичные нормативные социальные выплаты гражданам
</t>
  </si>
  <si>
    <t>310</t>
  </si>
  <si>
    <t>Социальное обеспечение населения</t>
  </si>
  <si>
    <t>Мероприятия в области социальной политики</t>
  </si>
  <si>
    <t>01 4 01 25140</t>
  </si>
  <si>
    <t>Социальные выплаты гражданам, кроме публичных нормативных социальных выплат</t>
  </si>
  <si>
    <t>320</t>
  </si>
  <si>
    <t xml:space="preserve">Субсидии автономным учреждениям </t>
  </si>
  <si>
    <t>Реализация мер социальной поддержки граждан, призванных на военную службу по мобилизации, по контракту и членов их семей</t>
  </si>
  <si>
    <t>01 4 01 25160</t>
  </si>
  <si>
    <t>Публичные нормативные социальные выплаты гражданам</t>
  </si>
  <si>
    <t>Муниципальный проект, связанный с реализацией регионального проекта "Оказание поддержки отдельным категориям граждан в приобретении жилья"</t>
  </si>
  <si>
    <t>13 2 03 00000</t>
  </si>
  <si>
    <t>Предоставление социальных выплат молодым семьям – участникам основного мероприятия "Оказание государственной поддержки отдельным категориям граждан на приобретение жилья" подпрограммы "Создание условий для обеспечения доступным жильем граждан области" государственной программы Вологодской области "Обеспечение населения Вологодской области доступным жильем и создание благоприятных условий проживания"</t>
  </si>
  <si>
    <t>13 2 03 L4970</t>
  </si>
  <si>
    <t>Муниципальный проект "Оказание содействия в обеспечении сельского населения доступным и комфортным жильем"</t>
  </si>
  <si>
    <t>13 2 04 00000</t>
  </si>
  <si>
    <t>Улучшение жилищных условий граждан, проживающих на сельских территориях</t>
  </si>
  <si>
    <t>13 2 04 L5764</t>
  </si>
  <si>
    <t>13 4 00 00000</t>
  </si>
  <si>
    <t>Комплекс процессных мероприятий "Обеспечение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</si>
  <si>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13 4 01 00000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</si>
  <si>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</si>
  <si>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13 4 01 51760</t>
  </si>
  <si>
    <t>Другие вопросы в области социальной политики</t>
  </si>
  <si>
    <t>Реализация мер социальной поддержки граждан, призванных на военную службу по мобилизации, по контракту, и членов их семей</t>
  </si>
  <si>
    <t>Физическая культура и спорт</t>
  </si>
  <si>
    <t xml:space="preserve">Физическая культура </t>
  </si>
  <si>
    <t>Комплекс процессных мероприятий " Обеспечение деятельности в сфере физической культуры и спорта"</t>
  </si>
  <si>
    <t>05 4 05 00000</t>
  </si>
  <si>
    <t>Расходы на обеспечение деятельности (оказание услуг) государственных учреждений</t>
  </si>
  <si>
    <t>05 4 05 01590</t>
  </si>
  <si>
    <t>05 4 05 70030</t>
  </si>
  <si>
    <t>Мероприятия в области физической культуры и спорта</t>
  </si>
  <si>
    <t>05 4 05 20600</t>
  </si>
  <si>
    <t>Массовый спорт</t>
  </si>
  <si>
    <t>Муниципальный проект "Развитие спорта на территории Нюксенского муниципального округа"</t>
  </si>
  <si>
    <t>05 2 05 00000</t>
  </si>
  <si>
    <t>Мероприятия, направленные на создание условий для занятий инвалидов, лиц с ограниченными возможностями здоровья физической культурой и спортом</t>
  </si>
  <si>
    <t>05 2 05 S1610</t>
  </si>
  <si>
    <t>Мероприятия, направленные на организацию и проведение на территории муниципального образования по месту жительства и (или) по месту отдыха организованных занятий граждан физической культурой</t>
  </si>
  <si>
    <t>05 2 05 S1760</t>
  </si>
  <si>
    <t>Другие вопросы в области физической культуры и спорта</t>
  </si>
  <si>
    <t>Муниципальный проект "Инвестиции в инфраструктуру физической культуры и спорта"</t>
  </si>
  <si>
    <t>05 2 04 00000</t>
  </si>
  <si>
    <t>Мероприятия, направленные на укрепление материально-технической базы муниципальных физкультурно-спортивных организаций</t>
  </si>
  <si>
    <t>05 2 04 S1040</t>
  </si>
  <si>
    <t>Представительное Собрание Нюксенского муниципального округа</t>
  </si>
  <si>
    <t>154</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</si>
  <si>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</si>
  <si>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представительных  органов муниципальной власти</t>
  </si>
  <si>
    <t>92 0 00 00000</t>
  </si>
  <si>
    <t>92 0 00 00190</t>
  </si>
  <si>
    <t>Контрольно-счетная комиссия</t>
  </si>
  <si>
    <t>152</t>
  </si>
  <si>
    <t>Обеспечение деятельности финансовых, налоговых и таможенных органов и органов финансового (финансово-бюджетного) надзора</t>
  </si>
  <si>
    <t>Обеспечение деятельности органов муниципальной власти</t>
  </si>
  <si>
    <t>91 0 00 00000</t>
  </si>
  <si>
    <t>Обеспечение деятельности контрольно-счетной комиссии</t>
  </si>
  <si>
    <t>91 0 00 00190</t>
  </si>
  <si>
    <t>Финансовое управление администрации Нюксенского муниципального округа</t>
  </si>
  <si>
    <t>151</t>
  </si>
  <si>
    <t>Осуществление отдельных государственных полномочий в соответствии с законом области от 5 октября 2006 года № 1501-ОЗ "О наделении органов местного самоуправления муниципальных районов, муниципальных округов и городских округов Вологодской области отдельными государственными полномочиями в сфере регулирования цен (тарифов)"</t>
  </si>
  <si>
    <t>78 0 00 72310</t>
  </si>
  <si>
    <t>Муниципальная программа "Управление муниципальными финансами Нюксенского муниципального округа "</t>
  </si>
  <si>
    <t>11 0 00 00000</t>
  </si>
  <si>
    <t>11 4 00 00000</t>
  </si>
  <si>
    <t>Комплекс процессных мероприятий  "Обеспечение организационных условий для реализации муниципальной программы"</t>
  </si>
  <si>
    <t>11 4 02 00000</t>
  </si>
  <si>
    <t>11 4 02 00190</t>
  </si>
  <si>
    <t>11 4 03 00190</t>
  </si>
  <si>
    <t>Расходы на повышение квалификационного уровня муниципальных служащих</t>
  </si>
  <si>
    <t>11 4 02 20800</t>
  </si>
  <si>
    <t>Членский взнос в НП "Сообщество финансистов России"</t>
  </si>
  <si>
    <t>11 4 02 20820</t>
  </si>
  <si>
    <t>11 4 02 00590</t>
  </si>
  <si>
    <t>11 4 02 70030</t>
  </si>
  <si>
    <t>Расходы по популяризации роли предпринимательства</t>
  </si>
  <si>
    <t>10 4 01 20450</t>
  </si>
  <si>
    <t>10 4 01 20460</t>
  </si>
  <si>
    <t>ОБСЛУЖИВАНИЕ ГОСУДАРСТВЕННОГО (МУНИЦИПАЛЬНОГО) ДОЛГА</t>
  </si>
  <si>
    <t>Обслуживание государственного (муниципального) внутреннего долга</t>
  </si>
  <si>
    <t>Комплекс процессных мероприятий  "Управление муниципальным долгом и муниципальными финансовыми активами Нюксенского муниципального округа"</t>
  </si>
  <si>
    <t>11 4 01 00000</t>
  </si>
  <si>
    <t>Процентные платежи по долговым обязательствам муниципального округа</t>
  </si>
  <si>
    <t>11 4 01 20900</t>
  </si>
  <si>
    <t>Обслуживание муниципального долга</t>
  </si>
  <si>
    <t>730</t>
  </si>
  <si>
    <t>Комитет земельно-имущественных отношений администрации Нюксенского муниципального округа</t>
  </si>
  <si>
    <t>040</t>
  </si>
  <si>
    <t>12 2 00 00000</t>
  </si>
  <si>
    <t>Муниципальный проект "Организация проведения комплексных кадастровых работ"</t>
  </si>
  <si>
    <t>12 2 01 00000</t>
  </si>
  <si>
    <t>Мероприятия, направленные на проведение комплексных кадастровых работ, за исключением расходов, предусмотренных на софинансирование субсидий из федерального бюджета</t>
  </si>
  <si>
    <t>12 2 01 S5110</t>
  </si>
  <si>
    <t>Мероприятия, направленные на проведение комплексных кадастровых работ, за счет средств бюджета муниципального округа</t>
  </si>
  <si>
    <t>12 2 01 20510</t>
  </si>
  <si>
    <t>Комплекс процессных мероприятий "Финансовая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 имеющим трех и более детей"</t>
  </si>
  <si>
    <t>12 4 01 00000</t>
  </si>
  <si>
    <t>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 имеющим трех и более детей, состоящим на учете в качестве лиц, имеющих право на предоставление земельных участков в собственность бесплатно</t>
  </si>
  <si>
    <t>12 4 01 72300</t>
  </si>
  <si>
    <t>Комплекс процессных мероприятий "Обеспечение деятельности комитета земельно-имущественных отношений администрации Нюксенского муниципального округа"</t>
  </si>
  <si>
    <t>12 4 03 00000</t>
  </si>
  <si>
    <t>12 4 03 00190</t>
  </si>
  <si>
    <t>Управление образования администрации Нюксенского муниципального округа</t>
  </si>
  <si>
    <t>156</t>
  </si>
  <si>
    <t>Мероприятия, направленные на профилактику и предупреждение дорожно-транспортных происшествий с участием детей</t>
  </si>
  <si>
    <t>02 4 04 23080</t>
  </si>
  <si>
    <t>Образование</t>
  </si>
  <si>
    <t>Дошкольное образование</t>
  </si>
  <si>
    <t>06 2 00 00000</t>
  </si>
  <si>
    <t>Муниципальный проект "Развитие дошкольного, общего и дополнительного образования детей"</t>
  </si>
  <si>
    <t>06 2 01 00000</t>
  </si>
  <si>
    <t>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(детей-инвалидов)</t>
  </si>
  <si>
    <t>06 2 01 S1180</t>
  </si>
  <si>
    <t>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</si>
  <si>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 xml:space="preserve"> 06 2 01 S1490</t>
  </si>
  <si>
    <t>Комплекс процессных мероприятий "Развитие дошкольного, общего и дополнительного образования детей"</t>
  </si>
  <si>
    <t>06 4 01 00000</t>
  </si>
  <si>
    <t>Обеспечение дошкольного образования и общеобразовательного процесса в муниципальных образовательных организациях</t>
  </si>
  <si>
    <t>06 4 01 72010</t>
  </si>
  <si>
    <t>Дошкольные учреждения</t>
  </si>
  <si>
    <t>06 4 01 14590</t>
  </si>
  <si>
    <t xml:space="preserve">Основное мероприятие "Организация методического сопровождения повышения профессиональной компетентности педагогических и руководящих кадров" </t>
  </si>
  <si>
    <t>08 1 05 00000</t>
  </si>
  <si>
    <t>08 1 05 14590</t>
  </si>
  <si>
    <t>Общее образование</t>
  </si>
  <si>
    <t>Муниципальный проект, связанный с национальным проектом</t>
  </si>
  <si>
    <t>06 1 00 00000</t>
  </si>
  <si>
    <t>Муниципальный проект "Модернизация школьных систем образования", связанный с региональным проектом "Все лучшее детям"</t>
  </si>
  <si>
    <t>06 1 Ю4 00000</t>
  </si>
  <si>
    <t>Мероприятия по модернизации школьных систем образования</t>
  </si>
  <si>
    <t>06 1 Ю4 57500</t>
  </si>
  <si>
    <t>Мероприятия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</si>
  <si>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06 1 Ю4 57501</t>
  </si>
  <si>
    <t>Мероприятия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 за исключением расходов, предусмотренных на софинансирование субсидий из федерального бюджета</t>
  </si>
  <si>
    <t>06 1 Ю4 А7501</t>
  </si>
  <si>
    <t>Муниципальный проект "Педагоги и наставники"</t>
  </si>
  <si>
    <t>06 1 Ю6 00000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</si>
  <si>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</si>
  <si>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06 1 Ю6 51790</t>
  </si>
  <si>
    <t>Мероприятия, направленные на организацию школьных музеев</t>
  </si>
  <si>
    <t>06 2 01 S1010</t>
  </si>
  <si>
    <t>Создание агроклассов и (или) лесных классов в общеобразовательных организациях области</t>
  </si>
  <si>
    <t>06 2 01 S1070</t>
  </si>
  <si>
    <t>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</si>
  <si>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06 2 01 S1540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</si>
  <si>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</si>
  <si>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 2 01 L3040</t>
  </si>
  <si>
    <t>06 4 01 13590</t>
  </si>
  <si>
    <t>06 4 01 70030</t>
  </si>
  <si>
    <t>Комплекс процессных мероприятий "Обеспечение предоставления мер социальной поддержки"</t>
  </si>
  <si>
    <t>06 4 02 00000</t>
  </si>
  <si>
    <t>Обеспечение предоставления мер социальной поддержки отдельным категориям обучающихся в муниципальных образовательных организациях</t>
  </si>
  <si>
    <t>06 4 02 72020</t>
  </si>
  <si>
    <t>Комплекс процессных мероприятий "Обеспечение создания условий для проявления и развития способностей обучающихся и самореализации"</t>
  </si>
  <si>
    <t>06 4 03 00000</t>
  </si>
  <si>
    <t>Развитие системы поддержки талантливых детей в образовательных учреждениях</t>
  </si>
  <si>
    <t>06 4 03 16600</t>
  </si>
  <si>
    <t>Муниципальный проект ""Развитие спорта высших достижений, системы подготовки спортивного резерва и массового спорта"</t>
  </si>
  <si>
    <t>06 2 02 00000</t>
  </si>
  <si>
    <t>Мероприятия по подготовке спортивного резерва для спортивных сборных команд Вологодской области</t>
  </si>
  <si>
    <t>06 2 02 S1730</t>
  </si>
  <si>
    <t xml:space="preserve">Учреждения по внешкольной работе с детьми </t>
  </si>
  <si>
    <t>06 4 01 15590</t>
  </si>
  <si>
    <t>Обеспечение персонифицированного финансирования дополнительного образования детей</t>
  </si>
  <si>
    <t>06 4 01 16590</t>
  </si>
  <si>
    <t>Другие вопросы в области образования</t>
  </si>
  <si>
    <t>Муниципальная программа "Формирование законопослушного поведения участников дорожного движения на территории Нюксенского муниципального округа на 2019-2030 годы"</t>
  </si>
  <si>
    <t>Основное мероприятие "Профилактика и предупреждение дорожно-транспортных происшествий с участием детей"</t>
  </si>
  <si>
    <t>03 1 00 00000</t>
  </si>
  <si>
    <t>Реализация мероприятий по обеспечению безопасности жизни и здоровья детей, обучающихся в общеобразовательных организациях района</t>
  </si>
  <si>
    <t>03 1 00 23080</t>
  </si>
  <si>
    <t>Подпрограмма "Обеспечение реализации муниципальной программы "Совершенствование муниципального управления в Нюксенском муниципальном округе"</t>
  </si>
  <si>
    <t>Основное мероприятие "Поощрение муниципальной управленческой команды Нюксенского муниципального округа"</t>
  </si>
  <si>
    <t>Иные межбюджетные трансферты на поощрение за содействие достижению значений (уровней) показателей для оценки эффективности деятельности высших должностных лиц (руководителей высших исполнительных органов государственной власти) субъектов Российской Федерации и деятельности органов исполнительной власти субъектов Российской Федерации за счет средств дотации (гранта)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t>
  </si>
  <si>
    <t>05 4 02 55490</t>
  </si>
  <si>
    <t>Организация содержательного досуга детей в каникулярное время</t>
  </si>
  <si>
    <t>06 4 03 16700</t>
  </si>
  <si>
    <t>Комплекс процессных мероприятий "Обеспечение создания условий для реализации программы"</t>
  </si>
  <si>
    <t>06 4 05 00000</t>
  </si>
  <si>
    <t xml:space="preserve">Расходы на обеспечение функций муниципальных органов </t>
  </si>
  <si>
    <t>06 4 05 00190</t>
  </si>
  <si>
    <t>Организация методического сопровождения повышения профессиональной компетентности педагогических и руководящих кадров</t>
  </si>
  <si>
    <t>06 4 05 16800</t>
  </si>
  <si>
    <t>Охрана семьи и детства</t>
  </si>
  <si>
    <t>Подпрограмма "Развитие дошкольного, общего и дополнительного образования детей"</t>
  </si>
  <si>
    <t>08 1 00 00000</t>
  </si>
  <si>
    <t>Основное мероприятие "Обеспечение предоставления мер социальной поддержки отдельным категориям обучающихся в муниципальных образовательных организациях"</t>
  </si>
  <si>
    <t>08 1 04 00000</t>
  </si>
  <si>
    <t>Осуществление отдельных государственных полномочий в соответствии с законом области от 17 декабря 2007 года № 1719-ОЗ "О наделении органов местного самоуправления отдельными государственными полномочиями в сфере образования"</t>
  </si>
  <si>
    <t>08 1 04 72020</t>
  </si>
  <si>
    <t>Комплекс процессных мероприятий "Обеспечение деятельности в сфере физической культуры и спорта"</t>
  </si>
  <si>
    <t>Нюксенский территориальный отдел администрации Нюксенского муниципального округа Вологодской области</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</si>
  <si>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</si>
  <si>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</si>
  <si>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Муниципальный проект "Обеспечение пожарной безопасности на территории Нюксенского муниципального округа"</t>
  </si>
  <si>
    <t>07 2 02 00000</t>
  </si>
  <si>
    <t>Мероприятия, направленные на создание и (или) ремонт источников наружного водоснабжения для забора воды в целях пожаротушения</t>
  </si>
  <si>
    <t>07 2 02 S1810</t>
  </si>
  <si>
    <t>Мероприятия по обеспечению пожарной безопасности населения</t>
  </si>
  <si>
    <t>07 2 02 23110</t>
  </si>
  <si>
    <t>Комплекс процессных мероприятий "Обеспечение пожарной безопасности на территории Нюксенского муниципального округа"</t>
  </si>
  <si>
    <t>07 4 03 00000</t>
  </si>
  <si>
    <t>07 4 03 23110</t>
  </si>
  <si>
    <t>ЖИЛИЩНО-КОММУНАЛЬНОЕ ХОЗЯЙСТВО</t>
  </si>
  <si>
    <t>03 4 00 00000</t>
  </si>
  <si>
    <t>Комплекс процессных мероприятий "Организация уличного освещения"</t>
  </si>
  <si>
    <t>03 4 01 00000</t>
  </si>
  <si>
    <t>Мероприятия, направленные на организацию уличного освещения</t>
  </si>
  <si>
    <t>03 4 01 S1090</t>
  </si>
  <si>
    <t xml:space="preserve">Уплата налогов, сборов и иных платежей
</t>
  </si>
  <si>
    <t xml:space="preserve">Уличное освещение </t>
  </si>
  <si>
    <t>03 4 01 23400</t>
  </si>
  <si>
    <t>Комплекс процессных мероприятий "Проведение мероприятий в сфере благоустройства"</t>
  </si>
  <si>
    <t>03 4 02 00000</t>
  </si>
  <si>
    <t>Проведение мероприятий в сфере благоустройства</t>
  </si>
  <si>
    <t>03 4 02 23200</t>
  </si>
  <si>
    <t>Комплекс процессных мероприятий "Организация ритуальных услуг и содержание мест захоронения"</t>
  </si>
  <si>
    <t>03 4 03 00000</t>
  </si>
  <si>
    <t>Организация ритуальных услуг и содержание мест захоронения</t>
  </si>
  <si>
    <t>03 4 03 23300</t>
  </si>
  <si>
    <t>ОХРАНА ОКРУЖАЮЩЕЙ СРЕДЫ</t>
  </si>
  <si>
    <t>Мероприятия, направленные на обустройство контейнерных площадок</t>
  </si>
  <si>
    <t>08 2 02 S1100</t>
  </si>
  <si>
    <t>Мероприятия, направленные на обустройство контейнерных площадок (дополнительные средства)</t>
  </si>
  <si>
    <t>08 2 02 20121</t>
  </si>
  <si>
    <t>Комплекс процессных мероприятий "Снижение негативного воздействия на окружающую среду отходов производства и потребления"</t>
  </si>
  <si>
    <t>08 4 02 00000</t>
  </si>
  <si>
    <t>Содержание мест для накопления (сбора) твердых коммунальных отходов</t>
  </si>
  <si>
    <t>08 4 02 20111</t>
  </si>
  <si>
    <t>Итого расходов</t>
  </si>
  <si>
    <t>Условно утверждаемые расходы</t>
  </si>
  <si>
    <t>Всего расходов</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</si>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</sst>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0"/>
    <numFmt numFmtId="167" formatCode="0.0"/>
  </numFmts>
  <fonts count="17" x14ac:knownFonts="1">
    <font>
      <sz val="10"/>
      <name val="Arial Cyr"/>
      <charset val="204"/>
    </font>
    <font>
      <sz val="10"/>
      <name val="Arial Cyr"/>
      <charset val="204"/>
    </font>
    <font>
      <sz val="8"/>
      <name val="Times New Roman"/>
      <family val="1"/>
      <charset val="204"/>
    </font>
    <font>
      <sz val="10"/>
      <name val="Times New Roman"/>
      <family val="1"/>
      <charset val="204"/>
    </font>
    <font>
      <sz val="11"/>
      <name val="Times New Roman"/>
      <family val="1"/>
      <charset val="204"/>
    </font>
    <font>
      <b/>
      <sz val="10"/>
      <name val="Times New Roman"/>
      <family val="1"/>
      <charset val="204"/>
    </font>
    <font>
      <i/>
      <sz val="10"/>
      <name val="Times New Roman"/>
      <family val="1"/>
      <charset val="204"/>
    </font>
    <font>
      <b/>
      <sz val="12"/>
      <name val="Times New Roman"/>
      <family val="1"/>
      <charset val="204"/>
    </font>
    <font>
      <sz val="10"/>
      <name val="Arial"/>
      <family val="2"/>
      <charset val="204"/>
    </font>
    <font>
      <sz val="10"/>
      <color theme="1"/>
      <name val="Times New Roman"/>
      <family val="1"/>
      <charset val="204"/>
    </font>
    <font>
      <sz val="10"/>
      <color rgb="FFFF0000"/>
      <name val="Arial Cyr"/>
      <charset val="204"/>
    </font>
    <font>
      <b/>
      <sz val="10"/>
      <name val="Arial Cyr"/>
      <charset val="204"/>
    </font>
    <font>
      <sz val="10"/>
      <color rgb="FFFF0000"/>
      <name val="Times New Roman"/>
      <family val="1"/>
      <charset val="204"/>
    </font>
    <font>
      <b/>
      <sz val="10"/>
      <color rgb="FFFF0000"/>
      <name val="Arial Cyr"/>
      <charset val="204"/>
    </font>
    <font>
      <sz val="10"/>
      <color indexed="8"/>
      <name val="Times New Roman"/>
      <family val="1"/>
      <charset val="204"/>
    </font>
    <font>
      <b/>
      <sz val="10"/>
      <color theme="1"/>
      <name val="Times New Roman"/>
      <family val="1"/>
      <charset val="204"/>
    </font>
    <font>
      <b/>
      <sz val="11"/>
      <name val="Times New Roman"/>
      <family val="1"/>
      <charset val="204"/>
    </font>
  </fonts>
  <fills count="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cellStyleXfs>
  <cellXfs count="159">
    <xf numFmtId="0" fontId="0" fillId="0" borderId="0" xfId="0"/>
    <xf numFmtId="0" fontId="3" fillId="0" borderId="0" xfId="0" applyFont="1" applyFill="1" applyAlignment="1"/>
    <xf numFmtId="0" fontId="1" fillId="0" borderId="0" xfId="0" applyFont="1" applyFill="1"/>
    <xf numFmtId="0" fontId="3" fillId="0" borderId="0" xfId="0" applyFont="1" applyFill="1" applyAlignment="1">
      <alignment horizontal="right" vertical="center" wrapText="1"/>
    </xf>
    <xf numFmtId="0" fontId="2" fillId="0" borderId="0" xfId="0" applyFont="1" applyFill="1" applyAlignment="1">
      <alignment horizontal="right" vertical="center" wrapText="1"/>
    </xf>
    <xf numFmtId="0" fontId="3" fillId="0" borderId="0" xfId="0" applyFont="1" applyFill="1" applyAlignment="1">
      <alignment horizontal="right" wrapText="1"/>
    </xf>
    <xf numFmtId="0" fontId="3" fillId="0" borderId="0" xfId="0" applyFont="1" applyFill="1" applyAlignment="1">
      <alignment horizont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right"/>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0" xfId="0" applyFont="1" applyFill="1" applyAlignment="1">
      <alignment horizontal="center" vertical="center"/>
    </xf>
    <xf numFmtId="0" fontId="5" fillId="0" borderId="3" xfId="0" applyFont="1" applyFill="1" applyBorder="1" applyAlignment="1">
      <alignment vertical="center" wrapText="1"/>
    </xf>
    <xf numFmtId="49" fontId="5" fillId="0" borderId="3" xfId="0" applyNumberFormat="1" applyFont="1" applyFill="1" applyBorder="1" applyAlignment="1">
      <alignment horizontal="center"/>
    </xf>
    <xf numFmtId="164" fontId="5" fillId="0" borderId="3" xfId="0" applyNumberFormat="1" applyFont="1" applyFill="1" applyBorder="1" applyAlignment="1"/>
    <xf numFmtId="0" fontId="0" fillId="0" borderId="0" xfId="0" applyFont="1" applyFill="1"/>
    <xf numFmtId="0" fontId="7" fillId="0" borderId="3" xfId="0" applyFont="1" applyFill="1" applyBorder="1" applyAlignment="1">
      <alignment vertical="center" wrapText="1"/>
    </xf>
    <xf numFmtId="164" fontId="3" fillId="0" borderId="3" xfId="0" applyNumberFormat="1" applyFont="1" applyFill="1" applyBorder="1" applyAlignment="1"/>
    <xf numFmtId="0" fontId="3" fillId="0" borderId="3" xfId="0" applyFont="1" applyFill="1" applyBorder="1" applyAlignment="1">
      <alignment vertical="center" wrapText="1"/>
    </xf>
    <xf numFmtId="49" fontId="3" fillId="0" borderId="3" xfId="0" applyNumberFormat="1" applyFont="1" applyFill="1" applyBorder="1" applyAlignment="1">
      <alignment horizontal="center"/>
    </xf>
    <xf numFmtId="0" fontId="3" fillId="0" borderId="4" xfId="1" applyNumberFormat="1" applyFont="1" applyFill="1" applyBorder="1" applyAlignment="1" applyProtection="1">
      <alignment horizontal="left" wrapText="1"/>
      <protection hidden="1"/>
    </xf>
    <xf numFmtId="0" fontId="3" fillId="0" borderId="3" xfId="0" applyFont="1" applyFill="1" applyBorder="1" applyAlignment="1">
      <alignment horizontal="center" wrapText="1"/>
    </xf>
    <xf numFmtId="0" fontId="3" fillId="0" borderId="3" xfId="0" applyFont="1" applyFill="1" applyBorder="1" applyAlignment="1">
      <alignment vertical="distributed" wrapText="1"/>
    </xf>
    <xf numFmtId="0" fontId="3" fillId="0" borderId="3" xfId="0" applyNumberFormat="1" applyFont="1" applyFill="1" applyBorder="1" applyAlignment="1" applyProtection="1">
      <alignment horizontal="left" vertical="distributed" shrinkToFit="1"/>
    </xf>
    <xf numFmtId="0" fontId="5" fillId="0" borderId="3" xfId="0" applyFont="1" applyFill="1" applyBorder="1" applyAlignment="1">
      <alignment vertical="center" wrapText="1" shrinkToFit="1"/>
    </xf>
    <xf numFmtId="49" fontId="3" fillId="0" borderId="3" xfId="0" applyNumberFormat="1" applyFont="1" applyFill="1" applyBorder="1" applyAlignment="1" applyProtection="1">
      <alignment horizontal="left" vertical="center" wrapText="1" shrinkToFit="1"/>
    </xf>
    <xf numFmtId="49" fontId="3" fillId="0" borderId="3" xfId="0" applyNumberFormat="1" applyFont="1" applyFill="1" applyBorder="1" applyAlignment="1" applyProtection="1">
      <alignment horizontal="center"/>
    </xf>
    <xf numFmtId="0" fontId="9" fillId="0" borderId="4" xfId="0" applyFont="1" applyFill="1" applyBorder="1" applyAlignment="1">
      <alignment horizontal="left" vertical="center" wrapText="1"/>
    </xf>
    <xf numFmtId="0" fontId="3" fillId="0" borderId="4" xfId="1" applyNumberFormat="1" applyFont="1" applyFill="1" applyBorder="1" applyAlignment="1" applyProtection="1">
      <alignment horizontal="left" vertical="center" wrapText="1"/>
      <protection hidden="1"/>
    </xf>
    <xf numFmtId="0" fontId="9" fillId="0" borderId="3" xfId="0" applyFont="1" applyFill="1" applyBorder="1" applyAlignment="1">
      <alignment horizont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vertical="justify" wrapText="1"/>
    </xf>
    <xf numFmtId="49"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0" xfId="0" applyFill="1"/>
    <xf numFmtId="164" fontId="3" fillId="0" borderId="3" xfId="0" applyNumberFormat="1" applyFont="1" applyFill="1" applyBorder="1" applyAlignment="1" applyProtection="1">
      <alignment horizontal="right"/>
    </xf>
    <xf numFmtId="0" fontId="3" fillId="0" borderId="3" xfId="0" applyFont="1" applyFill="1" applyBorder="1" applyAlignment="1">
      <alignment vertical="center" wrapText="1" shrinkToFi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1" applyNumberFormat="1" applyFont="1" applyFill="1" applyBorder="1" applyAlignment="1" applyProtection="1">
      <alignment horizontal="left" vertical="center" wrapText="1"/>
      <protection hidden="1"/>
    </xf>
    <xf numFmtId="0" fontId="9" fillId="0" borderId="3" xfId="0" applyFont="1" applyFill="1" applyBorder="1" applyAlignment="1">
      <alignment vertical="center" wrapText="1"/>
    </xf>
    <xf numFmtId="0" fontId="3" fillId="0" borderId="3" xfId="0" applyNumberFormat="1" applyFont="1" applyFill="1" applyBorder="1" applyAlignment="1" applyProtection="1">
      <alignment vertical="center" wrapText="1"/>
    </xf>
    <xf numFmtId="0" fontId="5" fillId="0" borderId="2" xfId="1" applyNumberFormat="1" applyFont="1" applyFill="1" applyBorder="1" applyAlignment="1" applyProtection="1">
      <alignment horizontal="left" vertical="center" wrapText="1"/>
      <protection hidden="1"/>
    </xf>
    <xf numFmtId="0" fontId="3" fillId="0" borderId="3" xfId="0" applyNumberFormat="1" applyFont="1" applyFill="1" applyBorder="1" applyAlignment="1" applyProtection="1">
      <alignment horizontal="justify" vertical="center" wrapText="1"/>
    </xf>
    <xf numFmtId="0" fontId="3" fillId="0" borderId="5" xfId="0" applyFont="1" applyFill="1" applyBorder="1" applyAlignment="1">
      <alignment vertical="center" wrapText="1"/>
    </xf>
    <xf numFmtId="0" fontId="3" fillId="0" borderId="3" xfId="0" applyFont="1" applyFill="1" applyBorder="1" applyAlignment="1">
      <alignment horizontal="left" vertical="center" wrapText="1"/>
    </xf>
    <xf numFmtId="49" fontId="9" fillId="0" borderId="3" xfId="0" applyNumberFormat="1" applyFont="1" applyFill="1" applyBorder="1" applyAlignment="1">
      <alignment horizontal="center" wrapText="1"/>
    </xf>
    <xf numFmtId="49" fontId="3" fillId="0" borderId="3" xfId="0" applyNumberFormat="1" applyFont="1" applyFill="1" applyBorder="1" applyAlignment="1">
      <alignment horizontal="center" wrapText="1"/>
    </xf>
    <xf numFmtId="0" fontId="3" fillId="0" borderId="1" xfId="0" applyFont="1" applyFill="1" applyBorder="1" applyAlignment="1">
      <alignment horizontal="left" vertical="center" wrapText="1"/>
    </xf>
    <xf numFmtId="0" fontId="3" fillId="0" borderId="2" xfId="1" applyNumberFormat="1" applyFont="1" applyFill="1" applyBorder="1" applyAlignment="1" applyProtection="1">
      <alignment horizontal="left" vertical="center" wrapText="1"/>
      <protection hidden="1"/>
    </xf>
    <xf numFmtId="0" fontId="9" fillId="0" borderId="3" xfId="0" applyFont="1" applyFill="1" applyBorder="1" applyAlignment="1">
      <alignment horizontal="left" vertical="center" wrapText="1"/>
    </xf>
    <xf numFmtId="0" fontId="3" fillId="0" borderId="3" xfId="0" applyFont="1" applyFill="1" applyBorder="1" applyAlignment="1">
      <alignment vertical="center"/>
    </xf>
    <xf numFmtId="0" fontId="10" fillId="0" borderId="0" xfId="0" applyFont="1" applyFill="1"/>
    <xf numFmtId="0" fontId="3" fillId="0" borderId="1" xfId="0" applyFont="1" applyFill="1" applyBorder="1" applyAlignment="1">
      <alignment vertical="center"/>
    </xf>
    <xf numFmtId="49" fontId="3" fillId="0" borderId="3" xfId="0" applyNumberFormat="1" applyFont="1" applyFill="1" applyBorder="1" applyAlignment="1" applyProtection="1">
      <alignment vertical="center" wrapText="1"/>
    </xf>
    <xf numFmtId="0" fontId="3" fillId="0" borderId="1" xfId="0" applyFont="1" applyFill="1" applyBorder="1" applyAlignment="1">
      <alignment horizontal="left" vertical="center"/>
    </xf>
    <xf numFmtId="164" fontId="3" fillId="0" borderId="2" xfId="0" applyNumberFormat="1" applyFont="1" applyFill="1" applyBorder="1" applyAlignment="1"/>
    <xf numFmtId="0" fontId="0" fillId="0" borderId="0" xfId="0" applyFont="1" applyFill="1" applyBorder="1"/>
    <xf numFmtId="0" fontId="5" fillId="0" borderId="3" xfId="0" applyNumberFormat="1" applyFont="1" applyFill="1" applyBorder="1" applyAlignment="1" applyProtection="1">
      <alignment vertical="center" wrapText="1"/>
    </xf>
    <xf numFmtId="0" fontId="11" fillId="0" borderId="0" xfId="0" applyFont="1" applyFill="1"/>
    <xf numFmtId="0" fontId="5" fillId="0" borderId="3" xfId="0" applyNumberFormat="1" applyFont="1" applyFill="1" applyBorder="1" applyAlignment="1" applyProtection="1">
      <alignment vertical="center" wrapText="1" shrinkToFit="1"/>
    </xf>
    <xf numFmtId="0" fontId="0" fillId="2" borderId="0" xfId="0" applyFill="1"/>
    <xf numFmtId="0" fontId="3" fillId="0" borderId="3" xfId="0" applyFont="1" applyFill="1" applyBorder="1" applyAlignment="1">
      <alignment vertical="top" wrapText="1"/>
    </xf>
    <xf numFmtId="0" fontId="3" fillId="0" borderId="3" xfId="0" applyNumberFormat="1" applyFont="1" applyFill="1" applyBorder="1" applyAlignment="1" applyProtection="1">
      <alignment vertical="top" wrapText="1"/>
    </xf>
    <xf numFmtId="0" fontId="3" fillId="0" borderId="3" xfId="1" applyNumberFormat="1" applyFont="1" applyFill="1" applyBorder="1" applyAlignment="1" applyProtection="1">
      <alignment horizontal="left" wrapText="1"/>
      <protection hidden="1"/>
    </xf>
    <xf numFmtId="0" fontId="10" fillId="3" borderId="0" xfId="0" applyFont="1" applyFill="1"/>
    <xf numFmtId="0" fontId="3" fillId="0" borderId="1" xfId="0" applyFont="1" applyFill="1" applyBorder="1" applyAlignment="1">
      <alignment horizontal="left" vertical="center" shrinkToFit="1"/>
    </xf>
    <xf numFmtId="0" fontId="3" fillId="0" borderId="1" xfId="0" applyFont="1" applyFill="1" applyBorder="1" applyAlignment="1">
      <alignment wrapText="1"/>
    </xf>
    <xf numFmtId="164" fontId="3" fillId="0" borderId="5" xfId="0" applyNumberFormat="1" applyFont="1" applyFill="1" applyBorder="1" applyAlignment="1"/>
    <xf numFmtId="0" fontId="9" fillId="0" borderId="5" xfId="0" applyFont="1" applyFill="1" applyBorder="1" applyAlignment="1">
      <alignment horizontal="center" wrapText="1"/>
    </xf>
    <xf numFmtId="164" fontId="3" fillId="0" borderId="6" xfId="0" applyNumberFormat="1" applyFont="1" applyFill="1" applyBorder="1" applyAlignment="1"/>
    <xf numFmtId="0" fontId="5" fillId="0" borderId="3" xfId="0" applyFont="1" applyFill="1" applyBorder="1" applyAlignment="1">
      <alignment horizontal="center" wrapText="1"/>
    </xf>
    <xf numFmtId="0" fontId="3" fillId="0" borderId="1" xfId="0" applyFont="1" applyFill="1" applyBorder="1" applyAlignment="1">
      <alignment horizontal="left" vertical="center" wrapText="1" shrinkToFit="1"/>
    </xf>
    <xf numFmtId="49" fontId="12" fillId="0" borderId="3" xfId="0" applyNumberFormat="1" applyFont="1" applyFill="1" applyBorder="1" applyAlignment="1" applyProtection="1">
      <alignment horizontal="center"/>
    </xf>
    <xf numFmtId="49" fontId="5" fillId="0" borderId="3" xfId="0" applyNumberFormat="1" applyFont="1" applyFill="1" applyBorder="1" applyAlignment="1" applyProtection="1">
      <alignment vertical="center" wrapText="1"/>
    </xf>
    <xf numFmtId="0" fontId="13" fillId="0" borderId="0" xfId="0" applyFont="1" applyFill="1"/>
    <xf numFmtId="0" fontId="3" fillId="0" borderId="1" xfId="0" applyFont="1" applyFill="1" applyBorder="1" applyAlignment="1">
      <alignment vertical="center" wrapText="1" shrinkToFit="1"/>
    </xf>
    <xf numFmtId="0" fontId="5" fillId="0" borderId="3" xfId="0" applyNumberFormat="1" applyFont="1" applyFill="1" applyBorder="1" applyAlignment="1" applyProtection="1">
      <alignment horizontal="justify" vertical="center" wrapText="1"/>
    </xf>
    <xf numFmtId="49" fontId="3" fillId="0" borderId="3" xfId="0" applyNumberFormat="1" applyFont="1" applyFill="1" applyBorder="1" applyAlignment="1" applyProtection="1">
      <alignment horizontal="justify" vertical="center" wrapText="1"/>
    </xf>
    <xf numFmtId="0" fontId="0" fillId="0" borderId="0" xfId="0" applyFill="1" applyBorder="1"/>
    <xf numFmtId="0" fontId="3" fillId="0" borderId="7" xfId="0" applyNumberFormat="1" applyFont="1" applyFill="1" applyBorder="1" applyAlignment="1" applyProtection="1">
      <alignment vertical="center" wrapText="1"/>
      <protection hidden="1"/>
    </xf>
    <xf numFmtId="0" fontId="3" fillId="0" borderId="4" xfId="0" applyFont="1" applyFill="1" applyBorder="1" applyAlignment="1">
      <alignment horizontal="left" vertical="top" wrapText="1"/>
    </xf>
    <xf numFmtId="0" fontId="3" fillId="0" borderId="4" xfId="0" applyFont="1" applyFill="1" applyBorder="1" applyAlignment="1">
      <alignment vertical="center" wrapText="1"/>
    </xf>
    <xf numFmtId="0" fontId="10" fillId="0" borderId="0" xfId="0" applyFont="1" applyFill="1" applyBorder="1"/>
    <xf numFmtId="49" fontId="9" fillId="0" borderId="3" xfId="0" applyNumberFormat="1" applyFont="1" applyFill="1" applyBorder="1" applyAlignment="1" applyProtection="1">
      <alignment horizontal="justify" vertical="center" wrapText="1"/>
    </xf>
    <xf numFmtId="0" fontId="3" fillId="0" borderId="1" xfId="0" applyFont="1" applyFill="1" applyBorder="1" applyAlignment="1">
      <alignment horizontal="left" vertical="justify" wrapText="1"/>
    </xf>
    <xf numFmtId="0" fontId="3" fillId="0" borderId="1" xfId="0" applyFont="1" applyFill="1" applyBorder="1" applyAlignment="1">
      <alignment vertical="justify" wrapText="1"/>
    </xf>
    <xf numFmtId="0" fontId="3" fillId="0" borderId="1" xfId="0" applyFont="1" applyFill="1" applyBorder="1" applyAlignment="1">
      <alignment horizontal="left" wrapText="1"/>
    </xf>
    <xf numFmtId="0" fontId="5" fillId="0" borderId="3"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wrapText="1"/>
    </xf>
    <xf numFmtId="0" fontId="14" fillId="0" borderId="8" xfId="0" applyNumberFormat="1" applyFont="1" applyFill="1" applyBorder="1" applyAlignment="1" applyProtection="1">
      <alignment horizontal="left" vertical="center"/>
    </xf>
    <xf numFmtId="0" fontId="5" fillId="0" borderId="1" xfId="0" applyFont="1" applyFill="1" applyBorder="1" applyAlignment="1">
      <alignment vertical="center" wrapText="1"/>
    </xf>
    <xf numFmtId="0" fontId="0" fillId="0" borderId="0" xfId="0" applyFont="1" applyFill="1" applyBorder="1" applyAlignment="1"/>
    <xf numFmtId="0" fontId="10" fillId="0" borderId="0" xfId="0" applyFont="1" applyFill="1" applyBorder="1" applyAlignment="1"/>
    <xf numFmtId="0" fontId="5" fillId="0" borderId="1" xfId="0" applyFont="1" applyFill="1" applyBorder="1" applyAlignment="1">
      <alignment horizontal="left" vertical="center" wrapText="1"/>
    </xf>
    <xf numFmtId="0" fontId="3" fillId="0" borderId="3" xfId="0" applyNumberFormat="1" applyFont="1" applyFill="1" applyBorder="1" applyAlignment="1" applyProtection="1">
      <alignment horizontal="center"/>
    </xf>
    <xf numFmtId="0" fontId="3" fillId="0" borderId="3" xfId="0" applyFont="1" applyFill="1" applyBorder="1" applyAlignment="1">
      <alignment vertical="top" wrapText="1" shrinkToFit="1"/>
    </xf>
    <xf numFmtId="164" fontId="3" fillId="0" borderId="3" xfId="0" applyNumberFormat="1" applyFont="1" applyFill="1" applyBorder="1" applyAlignment="1">
      <alignment horizontal="right"/>
    </xf>
    <xf numFmtId="0" fontId="0" fillId="0" borderId="0" xfId="0" applyFont="1" applyFill="1" applyAlignment="1">
      <alignment horizontal="center" vertical="justify"/>
    </xf>
    <xf numFmtId="0" fontId="15" fillId="0" borderId="3" xfId="0" applyFont="1" applyFill="1" applyBorder="1" applyAlignment="1">
      <alignment vertical="center" wrapText="1"/>
    </xf>
    <xf numFmtId="0" fontId="15" fillId="0" borderId="3" xfId="0" applyFont="1" applyFill="1" applyBorder="1" applyAlignment="1">
      <alignment horizontal="center" wrapText="1"/>
    </xf>
    <xf numFmtId="0" fontId="14" fillId="0" borderId="9" xfId="0" applyNumberFormat="1" applyFont="1" applyFill="1" applyBorder="1" applyAlignment="1" applyProtection="1">
      <alignment horizontal="left" wrapText="1"/>
    </xf>
    <xf numFmtId="0" fontId="3" fillId="0" borderId="1" xfId="0" applyFont="1" applyFill="1" applyBorder="1" applyAlignment="1">
      <alignment horizontal="left" vertical="top" wrapText="1"/>
    </xf>
    <xf numFmtId="0" fontId="3" fillId="0" borderId="2" xfId="1" applyNumberFormat="1" applyFont="1" applyFill="1" applyBorder="1" applyAlignment="1" applyProtection="1">
      <alignment horizontal="left" wrapText="1"/>
      <protection hidden="1"/>
    </xf>
    <xf numFmtId="0" fontId="3" fillId="0" borderId="3" xfId="0" applyFont="1" applyFill="1" applyBorder="1" applyAlignment="1">
      <alignment horizontal="center"/>
    </xf>
    <xf numFmtId="49" fontId="5" fillId="0" borderId="3" xfId="0" applyNumberFormat="1" applyFont="1" applyFill="1" applyBorder="1" applyAlignment="1" applyProtection="1">
      <alignment horizontal="center"/>
    </xf>
    <xf numFmtId="0" fontId="5" fillId="0" borderId="3" xfId="0" applyFont="1" applyFill="1" applyBorder="1" applyAlignment="1">
      <alignment horizontal="center"/>
    </xf>
    <xf numFmtId="0" fontId="3" fillId="0" borderId="3" xfId="0" applyNumberFormat="1" applyFont="1" applyFill="1" applyBorder="1" applyAlignment="1">
      <alignment horizontal="left" vertical="center" wrapText="1" shrinkToFit="1"/>
    </xf>
    <xf numFmtId="0" fontId="3" fillId="0" borderId="3" xfId="1" applyNumberFormat="1" applyFont="1" applyFill="1" applyBorder="1" applyAlignment="1" applyProtection="1">
      <alignment horizontal="left" vertical="center" wrapText="1" shrinkToFit="1"/>
      <protection hidden="1"/>
    </xf>
    <xf numFmtId="49" fontId="5" fillId="0" borderId="3" xfId="0" applyNumberFormat="1" applyFont="1" applyFill="1" applyBorder="1" applyAlignment="1">
      <alignment horizontal="center" wrapText="1"/>
    </xf>
    <xf numFmtId="0" fontId="0" fillId="0" borderId="0" xfId="0" applyFill="1" applyBorder="1" applyAlignment="1"/>
    <xf numFmtId="49" fontId="9" fillId="0" borderId="3" xfId="0" applyNumberFormat="1" applyFont="1" applyFill="1" applyBorder="1" applyAlignment="1" applyProtection="1">
      <alignment horizontal="justify" vertical="justify" wrapText="1"/>
    </xf>
    <xf numFmtId="0" fontId="5" fillId="0" borderId="3" xfId="0" applyFont="1" applyFill="1" applyBorder="1" applyAlignment="1">
      <alignment horizontal="left" vertical="center" wrapText="1"/>
    </xf>
    <xf numFmtId="0" fontId="3" fillId="0" borderId="3" xfId="0" applyNumberFormat="1" applyFont="1" applyFill="1" applyBorder="1" applyAlignment="1" applyProtection="1">
      <alignment wrapText="1"/>
    </xf>
    <xf numFmtId="0" fontId="9" fillId="0" borderId="1" xfId="0" applyFont="1" applyFill="1" applyBorder="1" applyAlignment="1">
      <alignment vertical="center" wrapText="1"/>
    </xf>
    <xf numFmtId="164" fontId="3" fillId="0" borderId="1" xfId="0" applyNumberFormat="1" applyFont="1" applyFill="1" applyBorder="1" applyAlignment="1"/>
    <xf numFmtId="0" fontId="9" fillId="0" borderId="1" xfId="0" applyFont="1" applyFill="1" applyBorder="1" applyAlignment="1">
      <alignment horizontal="center" wrapText="1"/>
    </xf>
    <xf numFmtId="0" fontId="9" fillId="0" borderId="1" xfId="0" applyFont="1" applyFill="1" applyBorder="1" applyAlignment="1">
      <alignment horizontal="left" vertical="center" wrapText="1"/>
    </xf>
    <xf numFmtId="0" fontId="3" fillId="0" borderId="3" xfId="0" applyFont="1" applyFill="1" applyBorder="1" applyAlignment="1">
      <alignment horizontal="left" vertical="center" wrapText="1" shrinkToFit="1"/>
    </xf>
    <xf numFmtId="0" fontId="3" fillId="0" borderId="1" xfId="0" applyFont="1" applyFill="1" applyBorder="1" applyAlignment="1">
      <alignment horizontal="left" vertical="distributed"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3" xfId="0" applyFont="1" applyFill="1" applyBorder="1" applyAlignment="1">
      <alignment horizontal="left" vertical="center" shrinkToFit="1"/>
    </xf>
    <xf numFmtId="0" fontId="9" fillId="0" borderId="1" xfId="0" applyFont="1" applyFill="1" applyBorder="1" applyAlignment="1">
      <alignment horizontal="left" vertical="justify" wrapText="1"/>
    </xf>
    <xf numFmtId="0" fontId="10" fillId="0" borderId="0" xfId="0" applyFont="1" applyFill="1" applyAlignment="1">
      <alignment vertical="top"/>
    </xf>
    <xf numFmtId="0" fontId="3" fillId="0" borderId="3" xfId="0" applyNumberFormat="1" applyFont="1" applyFill="1" applyBorder="1" applyAlignment="1" applyProtection="1">
      <alignment horizontal="left" vertical="center" wrapText="1" shrinkToFit="1"/>
    </xf>
    <xf numFmtId="49" fontId="9" fillId="0" borderId="5" xfId="0" applyNumberFormat="1" applyFont="1" applyFill="1" applyBorder="1" applyAlignment="1">
      <alignment horizontal="center" wrapText="1"/>
    </xf>
    <xf numFmtId="49" fontId="5" fillId="0" borderId="3" xfId="0" applyNumberFormat="1" applyFont="1" applyFill="1" applyBorder="1" applyAlignment="1" applyProtection="1">
      <alignment horizontal="left" vertical="center" wrapText="1" shrinkToFit="1"/>
    </xf>
    <xf numFmtId="0" fontId="9" fillId="0" borderId="4" xfId="0" applyFont="1" applyFill="1" applyBorder="1" applyAlignment="1">
      <alignment horizontal="left" wrapText="1"/>
    </xf>
    <xf numFmtId="0" fontId="16" fillId="0" borderId="3" xfId="0" applyFont="1" applyFill="1" applyBorder="1" applyAlignment="1">
      <alignment horizontal="left" vertical="center" wrapText="1" shrinkToFit="1"/>
    </xf>
    <xf numFmtId="0" fontId="16" fillId="0" borderId="3" xfId="0" applyNumberFormat="1" applyFont="1" applyFill="1" applyBorder="1" applyAlignment="1">
      <alignment horizontal="left" vertical="center" wrapText="1" shrinkToFit="1"/>
    </xf>
    <xf numFmtId="165" fontId="16" fillId="0" borderId="3" xfId="0" applyNumberFormat="1" applyFont="1" applyFill="1" applyBorder="1" applyAlignment="1">
      <alignment horizontal="center"/>
    </xf>
    <xf numFmtId="166" fontId="16" fillId="0" borderId="3" xfId="0" applyNumberFormat="1" applyFont="1" applyFill="1" applyBorder="1" applyAlignment="1">
      <alignment horizontal="center"/>
    </xf>
    <xf numFmtId="0" fontId="5" fillId="0" borderId="3" xfId="0" applyNumberFormat="1" applyFont="1" applyFill="1" applyBorder="1" applyAlignment="1" applyProtection="1">
      <alignment horizontal="justify" vertical="center" wrapText="1" shrinkToFit="1"/>
    </xf>
    <xf numFmtId="166" fontId="4" fillId="0" borderId="3" xfId="0" applyNumberFormat="1" applyFont="1" applyFill="1" applyBorder="1" applyAlignment="1">
      <alignment horizontal="center"/>
    </xf>
    <xf numFmtId="0" fontId="16" fillId="0" borderId="3" xfId="0" applyFont="1" applyFill="1" applyBorder="1" applyAlignment="1">
      <alignment horizontal="left" vertical="center" wrapText="1"/>
    </xf>
    <xf numFmtId="0" fontId="5" fillId="0" borderId="3" xfId="0" applyNumberFormat="1" applyFont="1" applyFill="1" applyBorder="1" applyAlignment="1" applyProtection="1">
      <alignment horizontal="left" vertical="center" wrapText="1" shrinkToFit="1"/>
    </xf>
    <xf numFmtId="0" fontId="3" fillId="0" borderId="3" xfId="0" applyFont="1" applyFill="1" applyBorder="1" applyAlignment="1">
      <alignment vertical="top"/>
    </xf>
    <xf numFmtId="49" fontId="5" fillId="0" borderId="3" xfId="0" applyNumberFormat="1" applyFont="1" applyFill="1" applyBorder="1" applyAlignment="1" applyProtection="1">
      <alignment horizontal="center" wrapText="1"/>
    </xf>
    <xf numFmtId="0" fontId="5" fillId="4" borderId="3" xfId="0" applyFont="1" applyFill="1" applyBorder="1" applyAlignment="1">
      <alignment vertical="center" wrapText="1"/>
    </xf>
    <xf numFmtId="49" fontId="5" fillId="4" borderId="3" xfId="0" applyNumberFormat="1" applyFont="1" applyFill="1" applyBorder="1" applyAlignment="1">
      <alignment horizontal="center"/>
    </xf>
    <xf numFmtId="164" fontId="5" fillId="4" borderId="3" xfId="0" applyNumberFormat="1" applyFont="1" applyFill="1" applyBorder="1" applyAlignment="1"/>
    <xf numFmtId="0" fontId="5" fillId="4" borderId="3" xfId="0" applyFont="1" applyFill="1" applyBorder="1" applyAlignment="1"/>
    <xf numFmtId="0" fontId="3" fillId="0" borderId="0" xfId="0" applyFont="1" applyFill="1" applyAlignment="1">
      <alignment vertical="center" wrapText="1"/>
    </xf>
    <xf numFmtId="49" fontId="3" fillId="0" borderId="0" xfId="0" applyNumberFormat="1" applyFont="1" applyFill="1" applyBorder="1" applyAlignment="1">
      <alignment horizontal="center"/>
    </xf>
    <xf numFmtId="0" fontId="3" fillId="0" borderId="0" xfId="0" applyFont="1" applyFill="1" applyBorder="1" applyAlignment="1"/>
    <xf numFmtId="167" fontId="3" fillId="0" borderId="0" xfId="0" applyNumberFormat="1" applyFont="1" applyFill="1" applyBorder="1" applyAlignment="1"/>
    <xf numFmtId="167" fontId="0" fillId="0" borderId="0" xfId="0" applyNumberFormat="1" applyFont="1" applyFill="1" applyAlignment="1"/>
    <xf numFmtId="0" fontId="0" fillId="0" borderId="0" xfId="0" applyFont="1" applyFill="1" applyAlignment="1"/>
    <xf numFmtId="0" fontId="1" fillId="0" borderId="0" xfId="0" applyFont="1" applyFill="1" applyAlignment="1">
      <alignment vertical="center" wrapText="1"/>
    </xf>
    <xf numFmtId="167" fontId="3" fillId="0" borderId="0" xfId="0" applyNumberFormat="1" applyFont="1" applyFill="1" applyAlignment="1"/>
    <xf numFmtId="2" fontId="3" fillId="0" borderId="0" xfId="0" applyNumberFormat="1" applyFont="1" applyFill="1" applyAlignment="1"/>
    <xf numFmtId="0" fontId="3" fillId="0" borderId="0" xfId="0" applyFont="1" applyFill="1" applyBorder="1" applyAlignment="1">
      <alignment horizontal="center"/>
    </xf>
    <xf numFmtId="0" fontId="3" fillId="0" borderId="0" xfId="0" applyFont="1" applyFill="1" applyAlignment="1">
      <alignment vertical="center"/>
    </xf>
  </cellXfs>
  <cellStyles count="2">
    <cellStyle name="Обычный" xfId="0" builtinId="0"/>
    <cellStyle name="Обычный 2" xfId="1" xr:uid="{475BAD58-1FC5-4C1E-81D8-1E3A878E1D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0;&#1083;&#1086;&#1078;&#1077;&#1085;&#1080;&#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
      <sheetName val="Прил 2 Проект"/>
      <sheetName val="Прил 3 Проект"/>
      <sheetName val="Прил 4 Проект"/>
      <sheetName val="Прил 5 Проект Новый"/>
      <sheetName val="Приложение № 6"/>
      <sheetName val="Разделы, подразделы"/>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C712-8AA3-40A0-9D88-C19CCF97F9C1}">
  <sheetPr>
    <pageSetUpPr fitToPage="1"/>
  </sheetPr>
  <dimension ref="A1:K760"/>
  <sheetViews>
    <sheetView tabSelected="1" view="pageBreakPreview" topLeftCell="B1" zoomScale="90" zoomScaleNormal="115" zoomScaleSheetLayoutView="90" workbookViewId="0">
      <selection activeCell="N11" sqref="N11"/>
    </sheetView>
  </sheetViews>
  <sheetFormatPr defaultRowHeight="12.75" x14ac:dyDescent="0.2"/>
  <cols>
    <col min="1" max="1" width="2.5703125" style="2" hidden="1" customWidth="1"/>
    <col min="2" max="2" width="60.140625" style="148" customWidth="1"/>
    <col min="3" max="3" width="6.140625" style="1" customWidth="1"/>
    <col min="4" max="4" width="4.85546875" style="1" customWidth="1"/>
    <col min="5" max="5" width="5.140625" style="1" customWidth="1"/>
    <col min="6" max="6" width="16.5703125" style="1" customWidth="1"/>
    <col min="7" max="7" width="10.42578125" style="9" customWidth="1"/>
    <col min="8" max="9" width="13.42578125" style="1" customWidth="1"/>
    <col min="10" max="10" width="15.42578125" style="1" customWidth="1"/>
    <col min="11" max="256" width="9.140625" style="2"/>
    <col min="257" max="257" width="0" style="2" hidden="1" customWidth="1"/>
    <col min="258" max="258" width="60.140625" style="2" customWidth="1"/>
    <col min="259" max="259" width="6.140625" style="2" customWidth="1"/>
    <col min="260" max="260" width="4.85546875" style="2" customWidth="1"/>
    <col min="261" max="261" width="5.140625" style="2" customWidth="1"/>
    <col min="262" max="262" width="16.5703125" style="2" customWidth="1"/>
    <col min="263" max="263" width="10.42578125" style="2" customWidth="1"/>
    <col min="264" max="265" width="13.42578125" style="2" customWidth="1"/>
    <col min="266" max="266" width="15.42578125" style="2" customWidth="1"/>
    <col min="267" max="512" width="9.140625" style="2"/>
    <col min="513" max="513" width="0" style="2" hidden="1" customWidth="1"/>
    <col min="514" max="514" width="60.140625" style="2" customWidth="1"/>
    <col min="515" max="515" width="6.140625" style="2" customWidth="1"/>
    <col min="516" max="516" width="4.85546875" style="2" customWidth="1"/>
    <col min="517" max="517" width="5.140625" style="2" customWidth="1"/>
    <col min="518" max="518" width="16.5703125" style="2" customWidth="1"/>
    <col min="519" max="519" width="10.42578125" style="2" customWidth="1"/>
    <col min="520" max="521" width="13.42578125" style="2" customWidth="1"/>
    <col min="522" max="522" width="15.42578125" style="2" customWidth="1"/>
    <col min="523" max="768" width="9.140625" style="2"/>
    <col min="769" max="769" width="0" style="2" hidden="1" customWidth="1"/>
    <col min="770" max="770" width="60.140625" style="2" customWidth="1"/>
    <col min="771" max="771" width="6.140625" style="2" customWidth="1"/>
    <col min="772" max="772" width="4.85546875" style="2" customWidth="1"/>
    <col min="773" max="773" width="5.140625" style="2" customWidth="1"/>
    <col min="774" max="774" width="16.5703125" style="2" customWidth="1"/>
    <col min="775" max="775" width="10.42578125" style="2" customWidth="1"/>
    <col min="776" max="777" width="13.42578125" style="2" customWidth="1"/>
    <col min="778" max="778" width="15.42578125" style="2" customWidth="1"/>
    <col min="779" max="1024" width="9.140625" style="2"/>
    <col min="1025" max="1025" width="0" style="2" hidden="1" customWidth="1"/>
    <col min="1026" max="1026" width="60.140625" style="2" customWidth="1"/>
    <col min="1027" max="1027" width="6.140625" style="2" customWidth="1"/>
    <col min="1028" max="1028" width="4.85546875" style="2" customWidth="1"/>
    <col min="1029" max="1029" width="5.140625" style="2" customWidth="1"/>
    <col min="1030" max="1030" width="16.5703125" style="2" customWidth="1"/>
    <col min="1031" max="1031" width="10.42578125" style="2" customWidth="1"/>
    <col min="1032" max="1033" width="13.42578125" style="2" customWidth="1"/>
    <col min="1034" max="1034" width="15.42578125" style="2" customWidth="1"/>
    <col min="1035" max="1280" width="9.140625" style="2"/>
    <col min="1281" max="1281" width="0" style="2" hidden="1" customWidth="1"/>
    <col min="1282" max="1282" width="60.140625" style="2" customWidth="1"/>
    <col min="1283" max="1283" width="6.140625" style="2" customWidth="1"/>
    <col min="1284" max="1284" width="4.85546875" style="2" customWidth="1"/>
    <col min="1285" max="1285" width="5.140625" style="2" customWidth="1"/>
    <col min="1286" max="1286" width="16.5703125" style="2" customWidth="1"/>
    <col min="1287" max="1287" width="10.42578125" style="2" customWidth="1"/>
    <col min="1288" max="1289" width="13.42578125" style="2" customWidth="1"/>
    <col min="1290" max="1290" width="15.42578125" style="2" customWidth="1"/>
    <col min="1291" max="1536" width="9.140625" style="2"/>
    <col min="1537" max="1537" width="0" style="2" hidden="1" customWidth="1"/>
    <col min="1538" max="1538" width="60.140625" style="2" customWidth="1"/>
    <col min="1539" max="1539" width="6.140625" style="2" customWidth="1"/>
    <col min="1540" max="1540" width="4.85546875" style="2" customWidth="1"/>
    <col min="1541" max="1541" width="5.140625" style="2" customWidth="1"/>
    <col min="1542" max="1542" width="16.5703125" style="2" customWidth="1"/>
    <col min="1543" max="1543" width="10.42578125" style="2" customWidth="1"/>
    <col min="1544" max="1545" width="13.42578125" style="2" customWidth="1"/>
    <col min="1546" max="1546" width="15.42578125" style="2" customWidth="1"/>
    <col min="1547" max="1792" width="9.140625" style="2"/>
    <col min="1793" max="1793" width="0" style="2" hidden="1" customWidth="1"/>
    <col min="1794" max="1794" width="60.140625" style="2" customWidth="1"/>
    <col min="1795" max="1795" width="6.140625" style="2" customWidth="1"/>
    <col min="1796" max="1796" width="4.85546875" style="2" customWidth="1"/>
    <col min="1797" max="1797" width="5.140625" style="2" customWidth="1"/>
    <col min="1798" max="1798" width="16.5703125" style="2" customWidth="1"/>
    <col min="1799" max="1799" width="10.42578125" style="2" customWidth="1"/>
    <col min="1800" max="1801" width="13.42578125" style="2" customWidth="1"/>
    <col min="1802" max="1802" width="15.42578125" style="2" customWidth="1"/>
    <col min="1803" max="2048" width="9.140625" style="2"/>
    <col min="2049" max="2049" width="0" style="2" hidden="1" customWidth="1"/>
    <col min="2050" max="2050" width="60.140625" style="2" customWidth="1"/>
    <col min="2051" max="2051" width="6.140625" style="2" customWidth="1"/>
    <col min="2052" max="2052" width="4.85546875" style="2" customWidth="1"/>
    <col min="2053" max="2053" width="5.140625" style="2" customWidth="1"/>
    <col min="2054" max="2054" width="16.5703125" style="2" customWidth="1"/>
    <col min="2055" max="2055" width="10.42578125" style="2" customWidth="1"/>
    <col min="2056" max="2057" width="13.42578125" style="2" customWidth="1"/>
    <col min="2058" max="2058" width="15.42578125" style="2" customWidth="1"/>
    <col min="2059" max="2304" width="9.140625" style="2"/>
    <col min="2305" max="2305" width="0" style="2" hidden="1" customWidth="1"/>
    <col min="2306" max="2306" width="60.140625" style="2" customWidth="1"/>
    <col min="2307" max="2307" width="6.140625" style="2" customWidth="1"/>
    <col min="2308" max="2308" width="4.85546875" style="2" customWidth="1"/>
    <col min="2309" max="2309" width="5.140625" style="2" customWidth="1"/>
    <col min="2310" max="2310" width="16.5703125" style="2" customWidth="1"/>
    <col min="2311" max="2311" width="10.42578125" style="2" customWidth="1"/>
    <col min="2312" max="2313" width="13.42578125" style="2" customWidth="1"/>
    <col min="2314" max="2314" width="15.42578125" style="2" customWidth="1"/>
    <col min="2315" max="2560" width="9.140625" style="2"/>
    <col min="2561" max="2561" width="0" style="2" hidden="1" customWidth="1"/>
    <col min="2562" max="2562" width="60.140625" style="2" customWidth="1"/>
    <col min="2563" max="2563" width="6.140625" style="2" customWidth="1"/>
    <col min="2564" max="2564" width="4.85546875" style="2" customWidth="1"/>
    <col min="2565" max="2565" width="5.140625" style="2" customWidth="1"/>
    <col min="2566" max="2566" width="16.5703125" style="2" customWidth="1"/>
    <col min="2567" max="2567" width="10.42578125" style="2" customWidth="1"/>
    <col min="2568" max="2569" width="13.42578125" style="2" customWidth="1"/>
    <col min="2570" max="2570" width="15.42578125" style="2" customWidth="1"/>
    <col min="2571" max="2816" width="9.140625" style="2"/>
    <col min="2817" max="2817" width="0" style="2" hidden="1" customWidth="1"/>
    <col min="2818" max="2818" width="60.140625" style="2" customWidth="1"/>
    <col min="2819" max="2819" width="6.140625" style="2" customWidth="1"/>
    <col min="2820" max="2820" width="4.85546875" style="2" customWidth="1"/>
    <col min="2821" max="2821" width="5.140625" style="2" customWidth="1"/>
    <col min="2822" max="2822" width="16.5703125" style="2" customWidth="1"/>
    <col min="2823" max="2823" width="10.42578125" style="2" customWidth="1"/>
    <col min="2824" max="2825" width="13.42578125" style="2" customWidth="1"/>
    <col min="2826" max="2826" width="15.42578125" style="2" customWidth="1"/>
    <col min="2827" max="3072" width="9.140625" style="2"/>
    <col min="3073" max="3073" width="0" style="2" hidden="1" customWidth="1"/>
    <col min="3074" max="3074" width="60.140625" style="2" customWidth="1"/>
    <col min="3075" max="3075" width="6.140625" style="2" customWidth="1"/>
    <col min="3076" max="3076" width="4.85546875" style="2" customWidth="1"/>
    <col min="3077" max="3077" width="5.140625" style="2" customWidth="1"/>
    <col min="3078" max="3078" width="16.5703125" style="2" customWidth="1"/>
    <col min="3079" max="3079" width="10.42578125" style="2" customWidth="1"/>
    <col min="3080" max="3081" width="13.42578125" style="2" customWidth="1"/>
    <col min="3082" max="3082" width="15.42578125" style="2" customWidth="1"/>
    <col min="3083" max="3328" width="9.140625" style="2"/>
    <col min="3329" max="3329" width="0" style="2" hidden="1" customWidth="1"/>
    <col min="3330" max="3330" width="60.140625" style="2" customWidth="1"/>
    <col min="3331" max="3331" width="6.140625" style="2" customWidth="1"/>
    <col min="3332" max="3332" width="4.85546875" style="2" customWidth="1"/>
    <col min="3333" max="3333" width="5.140625" style="2" customWidth="1"/>
    <col min="3334" max="3334" width="16.5703125" style="2" customWidth="1"/>
    <col min="3335" max="3335" width="10.42578125" style="2" customWidth="1"/>
    <col min="3336" max="3337" width="13.42578125" style="2" customWidth="1"/>
    <col min="3338" max="3338" width="15.42578125" style="2" customWidth="1"/>
    <col min="3339" max="3584" width="9.140625" style="2"/>
    <col min="3585" max="3585" width="0" style="2" hidden="1" customWidth="1"/>
    <col min="3586" max="3586" width="60.140625" style="2" customWidth="1"/>
    <col min="3587" max="3587" width="6.140625" style="2" customWidth="1"/>
    <col min="3588" max="3588" width="4.85546875" style="2" customWidth="1"/>
    <col min="3589" max="3589" width="5.140625" style="2" customWidth="1"/>
    <col min="3590" max="3590" width="16.5703125" style="2" customWidth="1"/>
    <col min="3591" max="3591" width="10.42578125" style="2" customWidth="1"/>
    <col min="3592" max="3593" width="13.42578125" style="2" customWidth="1"/>
    <col min="3594" max="3594" width="15.42578125" style="2" customWidth="1"/>
    <col min="3595" max="3840" width="9.140625" style="2"/>
    <col min="3841" max="3841" width="0" style="2" hidden="1" customWidth="1"/>
    <col min="3842" max="3842" width="60.140625" style="2" customWidth="1"/>
    <col min="3843" max="3843" width="6.140625" style="2" customWidth="1"/>
    <col min="3844" max="3844" width="4.85546875" style="2" customWidth="1"/>
    <col min="3845" max="3845" width="5.140625" style="2" customWidth="1"/>
    <col min="3846" max="3846" width="16.5703125" style="2" customWidth="1"/>
    <col min="3847" max="3847" width="10.42578125" style="2" customWidth="1"/>
    <col min="3848" max="3849" width="13.42578125" style="2" customWidth="1"/>
    <col min="3850" max="3850" width="15.42578125" style="2" customWidth="1"/>
    <col min="3851" max="4096" width="9.140625" style="2"/>
    <col min="4097" max="4097" width="0" style="2" hidden="1" customWidth="1"/>
    <col min="4098" max="4098" width="60.140625" style="2" customWidth="1"/>
    <col min="4099" max="4099" width="6.140625" style="2" customWidth="1"/>
    <col min="4100" max="4100" width="4.85546875" style="2" customWidth="1"/>
    <col min="4101" max="4101" width="5.140625" style="2" customWidth="1"/>
    <col min="4102" max="4102" width="16.5703125" style="2" customWidth="1"/>
    <col min="4103" max="4103" width="10.42578125" style="2" customWidth="1"/>
    <col min="4104" max="4105" width="13.42578125" style="2" customWidth="1"/>
    <col min="4106" max="4106" width="15.42578125" style="2" customWidth="1"/>
    <col min="4107" max="4352" width="9.140625" style="2"/>
    <col min="4353" max="4353" width="0" style="2" hidden="1" customWidth="1"/>
    <col min="4354" max="4354" width="60.140625" style="2" customWidth="1"/>
    <col min="4355" max="4355" width="6.140625" style="2" customWidth="1"/>
    <col min="4356" max="4356" width="4.85546875" style="2" customWidth="1"/>
    <col min="4357" max="4357" width="5.140625" style="2" customWidth="1"/>
    <col min="4358" max="4358" width="16.5703125" style="2" customWidth="1"/>
    <col min="4359" max="4359" width="10.42578125" style="2" customWidth="1"/>
    <col min="4360" max="4361" width="13.42578125" style="2" customWidth="1"/>
    <col min="4362" max="4362" width="15.42578125" style="2" customWidth="1"/>
    <col min="4363" max="4608" width="9.140625" style="2"/>
    <col min="4609" max="4609" width="0" style="2" hidden="1" customWidth="1"/>
    <col min="4610" max="4610" width="60.140625" style="2" customWidth="1"/>
    <col min="4611" max="4611" width="6.140625" style="2" customWidth="1"/>
    <col min="4612" max="4612" width="4.85546875" style="2" customWidth="1"/>
    <col min="4613" max="4613" width="5.140625" style="2" customWidth="1"/>
    <col min="4614" max="4614" width="16.5703125" style="2" customWidth="1"/>
    <col min="4615" max="4615" width="10.42578125" style="2" customWidth="1"/>
    <col min="4616" max="4617" width="13.42578125" style="2" customWidth="1"/>
    <col min="4618" max="4618" width="15.42578125" style="2" customWidth="1"/>
    <col min="4619" max="4864" width="9.140625" style="2"/>
    <col min="4865" max="4865" width="0" style="2" hidden="1" customWidth="1"/>
    <col min="4866" max="4866" width="60.140625" style="2" customWidth="1"/>
    <col min="4867" max="4867" width="6.140625" style="2" customWidth="1"/>
    <col min="4868" max="4868" width="4.85546875" style="2" customWidth="1"/>
    <col min="4869" max="4869" width="5.140625" style="2" customWidth="1"/>
    <col min="4870" max="4870" width="16.5703125" style="2" customWidth="1"/>
    <col min="4871" max="4871" width="10.42578125" style="2" customWidth="1"/>
    <col min="4872" max="4873" width="13.42578125" style="2" customWidth="1"/>
    <col min="4874" max="4874" width="15.42578125" style="2" customWidth="1"/>
    <col min="4875" max="5120" width="9.140625" style="2"/>
    <col min="5121" max="5121" width="0" style="2" hidden="1" customWidth="1"/>
    <col min="5122" max="5122" width="60.140625" style="2" customWidth="1"/>
    <col min="5123" max="5123" width="6.140625" style="2" customWidth="1"/>
    <col min="5124" max="5124" width="4.85546875" style="2" customWidth="1"/>
    <col min="5125" max="5125" width="5.140625" style="2" customWidth="1"/>
    <col min="5126" max="5126" width="16.5703125" style="2" customWidth="1"/>
    <col min="5127" max="5127" width="10.42578125" style="2" customWidth="1"/>
    <col min="5128" max="5129" width="13.42578125" style="2" customWidth="1"/>
    <col min="5130" max="5130" width="15.42578125" style="2" customWidth="1"/>
    <col min="5131" max="5376" width="9.140625" style="2"/>
    <col min="5377" max="5377" width="0" style="2" hidden="1" customWidth="1"/>
    <col min="5378" max="5378" width="60.140625" style="2" customWidth="1"/>
    <col min="5379" max="5379" width="6.140625" style="2" customWidth="1"/>
    <col min="5380" max="5380" width="4.85546875" style="2" customWidth="1"/>
    <col min="5381" max="5381" width="5.140625" style="2" customWidth="1"/>
    <col min="5382" max="5382" width="16.5703125" style="2" customWidth="1"/>
    <col min="5383" max="5383" width="10.42578125" style="2" customWidth="1"/>
    <col min="5384" max="5385" width="13.42578125" style="2" customWidth="1"/>
    <col min="5386" max="5386" width="15.42578125" style="2" customWidth="1"/>
    <col min="5387" max="5632" width="9.140625" style="2"/>
    <col min="5633" max="5633" width="0" style="2" hidden="1" customWidth="1"/>
    <col min="5634" max="5634" width="60.140625" style="2" customWidth="1"/>
    <col min="5635" max="5635" width="6.140625" style="2" customWidth="1"/>
    <col min="5636" max="5636" width="4.85546875" style="2" customWidth="1"/>
    <col min="5637" max="5637" width="5.140625" style="2" customWidth="1"/>
    <col min="5638" max="5638" width="16.5703125" style="2" customWidth="1"/>
    <col min="5639" max="5639" width="10.42578125" style="2" customWidth="1"/>
    <col min="5640" max="5641" width="13.42578125" style="2" customWidth="1"/>
    <col min="5642" max="5642" width="15.42578125" style="2" customWidth="1"/>
    <col min="5643" max="5888" width="9.140625" style="2"/>
    <col min="5889" max="5889" width="0" style="2" hidden="1" customWidth="1"/>
    <col min="5890" max="5890" width="60.140625" style="2" customWidth="1"/>
    <col min="5891" max="5891" width="6.140625" style="2" customWidth="1"/>
    <col min="5892" max="5892" width="4.85546875" style="2" customWidth="1"/>
    <col min="5893" max="5893" width="5.140625" style="2" customWidth="1"/>
    <col min="5894" max="5894" width="16.5703125" style="2" customWidth="1"/>
    <col min="5895" max="5895" width="10.42578125" style="2" customWidth="1"/>
    <col min="5896" max="5897" width="13.42578125" style="2" customWidth="1"/>
    <col min="5898" max="5898" width="15.42578125" style="2" customWidth="1"/>
    <col min="5899" max="6144" width="9.140625" style="2"/>
    <col min="6145" max="6145" width="0" style="2" hidden="1" customWidth="1"/>
    <col min="6146" max="6146" width="60.140625" style="2" customWidth="1"/>
    <col min="6147" max="6147" width="6.140625" style="2" customWidth="1"/>
    <col min="6148" max="6148" width="4.85546875" style="2" customWidth="1"/>
    <col min="6149" max="6149" width="5.140625" style="2" customWidth="1"/>
    <col min="6150" max="6150" width="16.5703125" style="2" customWidth="1"/>
    <col min="6151" max="6151" width="10.42578125" style="2" customWidth="1"/>
    <col min="6152" max="6153" width="13.42578125" style="2" customWidth="1"/>
    <col min="6154" max="6154" width="15.42578125" style="2" customWidth="1"/>
    <col min="6155" max="6400" width="9.140625" style="2"/>
    <col min="6401" max="6401" width="0" style="2" hidden="1" customWidth="1"/>
    <col min="6402" max="6402" width="60.140625" style="2" customWidth="1"/>
    <col min="6403" max="6403" width="6.140625" style="2" customWidth="1"/>
    <col min="6404" max="6404" width="4.85546875" style="2" customWidth="1"/>
    <col min="6405" max="6405" width="5.140625" style="2" customWidth="1"/>
    <col min="6406" max="6406" width="16.5703125" style="2" customWidth="1"/>
    <col min="6407" max="6407" width="10.42578125" style="2" customWidth="1"/>
    <col min="6408" max="6409" width="13.42578125" style="2" customWidth="1"/>
    <col min="6410" max="6410" width="15.42578125" style="2" customWidth="1"/>
    <col min="6411" max="6656" width="9.140625" style="2"/>
    <col min="6657" max="6657" width="0" style="2" hidden="1" customWidth="1"/>
    <col min="6658" max="6658" width="60.140625" style="2" customWidth="1"/>
    <col min="6659" max="6659" width="6.140625" style="2" customWidth="1"/>
    <col min="6660" max="6660" width="4.85546875" style="2" customWidth="1"/>
    <col min="6661" max="6661" width="5.140625" style="2" customWidth="1"/>
    <col min="6662" max="6662" width="16.5703125" style="2" customWidth="1"/>
    <col min="6663" max="6663" width="10.42578125" style="2" customWidth="1"/>
    <col min="6664" max="6665" width="13.42578125" style="2" customWidth="1"/>
    <col min="6666" max="6666" width="15.42578125" style="2" customWidth="1"/>
    <col min="6667" max="6912" width="9.140625" style="2"/>
    <col min="6913" max="6913" width="0" style="2" hidden="1" customWidth="1"/>
    <col min="6914" max="6914" width="60.140625" style="2" customWidth="1"/>
    <col min="6915" max="6915" width="6.140625" style="2" customWidth="1"/>
    <col min="6916" max="6916" width="4.85546875" style="2" customWidth="1"/>
    <col min="6917" max="6917" width="5.140625" style="2" customWidth="1"/>
    <col min="6918" max="6918" width="16.5703125" style="2" customWidth="1"/>
    <col min="6919" max="6919" width="10.42578125" style="2" customWidth="1"/>
    <col min="6920" max="6921" width="13.42578125" style="2" customWidth="1"/>
    <col min="6922" max="6922" width="15.42578125" style="2" customWidth="1"/>
    <col min="6923" max="7168" width="9.140625" style="2"/>
    <col min="7169" max="7169" width="0" style="2" hidden="1" customWidth="1"/>
    <col min="7170" max="7170" width="60.140625" style="2" customWidth="1"/>
    <col min="7171" max="7171" width="6.140625" style="2" customWidth="1"/>
    <col min="7172" max="7172" width="4.85546875" style="2" customWidth="1"/>
    <col min="7173" max="7173" width="5.140625" style="2" customWidth="1"/>
    <col min="7174" max="7174" width="16.5703125" style="2" customWidth="1"/>
    <col min="7175" max="7175" width="10.42578125" style="2" customWidth="1"/>
    <col min="7176" max="7177" width="13.42578125" style="2" customWidth="1"/>
    <col min="7178" max="7178" width="15.42578125" style="2" customWidth="1"/>
    <col min="7179" max="7424" width="9.140625" style="2"/>
    <col min="7425" max="7425" width="0" style="2" hidden="1" customWidth="1"/>
    <col min="7426" max="7426" width="60.140625" style="2" customWidth="1"/>
    <col min="7427" max="7427" width="6.140625" style="2" customWidth="1"/>
    <col min="7428" max="7428" width="4.85546875" style="2" customWidth="1"/>
    <col min="7429" max="7429" width="5.140625" style="2" customWidth="1"/>
    <col min="7430" max="7430" width="16.5703125" style="2" customWidth="1"/>
    <col min="7431" max="7431" width="10.42578125" style="2" customWidth="1"/>
    <col min="7432" max="7433" width="13.42578125" style="2" customWidth="1"/>
    <col min="7434" max="7434" width="15.42578125" style="2" customWidth="1"/>
    <col min="7435" max="7680" width="9.140625" style="2"/>
    <col min="7681" max="7681" width="0" style="2" hidden="1" customWidth="1"/>
    <col min="7682" max="7682" width="60.140625" style="2" customWidth="1"/>
    <col min="7683" max="7683" width="6.140625" style="2" customWidth="1"/>
    <col min="7684" max="7684" width="4.85546875" style="2" customWidth="1"/>
    <col min="7685" max="7685" width="5.140625" style="2" customWidth="1"/>
    <col min="7686" max="7686" width="16.5703125" style="2" customWidth="1"/>
    <col min="7687" max="7687" width="10.42578125" style="2" customWidth="1"/>
    <col min="7688" max="7689" width="13.42578125" style="2" customWidth="1"/>
    <col min="7690" max="7690" width="15.42578125" style="2" customWidth="1"/>
    <col min="7691" max="7936" width="9.140625" style="2"/>
    <col min="7937" max="7937" width="0" style="2" hidden="1" customWidth="1"/>
    <col min="7938" max="7938" width="60.140625" style="2" customWidth="1"/>
    <col min="7939" max="7939" width="6.140625" style="2" customWidth="1"/>
    <col min="7940" max="7940" width="4.85546875" style="2" customWidth="1"/>
    <col min="7941" max="7941" width="5.140625" style="2" customWidth="1"/>
    <col min="7942" max="7942" width="16.5703125" style="2" customWidth="1"/>
    <col min="7943" max="7943" width="10.42578125" style="2" customWidth="1"/>
    <col min="7944" max="7945" width="13.42578125" style="2" customWidth="1"/>
    <col min="7946" max="7946" width="15.42578125" style="2" customWidth="1"/>
    <col min="7947" max="8192" width="9.140625" style="2"/>
    <col min="8193" max="8193" width="0" style="2" hidden="1" customWidth="1"/>
    <col min="8194" max="8194" width="60.140625" style="2" customWidth="1"/>
    <col min="8195" max="8195" width="6.140625" style="2" customWidth="1"/>
    <col min="8196" max="8196" width="4.85546875" style="2" customWidth="1"/>
    <col min="8197" max="8197" width="5.140625" style="2" customWidth="1"/>
    <col min="8198" max="8198" width="16.5703125" style="2" customWidth="1"/>
    <col min="8199" max="8199" width="10.42578125" style="2" customWidth="1"/>
    <col min="8200" max="8201" width="13.42578125" style="2" customWidth="1"/>
    <col min="8202" max="8202" width="15.42578125" style="2" customWidth="1"/>
    <col min="8203" max="8448" width="9.140625" style="2"/>
    <col min="8449" max="8449" width="0" style="2" hidden="1" customWidth="1"/>
    <col min="8450" max="8450" width="60.140625" style="2" customWidth="1"/>
    <col min="8451" max="8451" width="6.140625" style="2" customWidth="1"/>
    <col min="8452" max="8452" width="4.85546875" style="2" customWidth="1"/>
    <col min="8453" max="8453" width="5.140625" style="2" customWidth="1"/>
    <col min="8454" max="8454" width="16.5703125" style="2" customWidth="1"/>
    <col min="8455" max="8455" width="10.42578125" style="2" customWidth="1"/>
    <col min="8456" max="8457" width="13.42578125" style="2" customWidth="1"/>
    <col min="8458" max="8458" width="15.42578125" style="2" customWidth="1"/>
    <col min="8459" max="8704" width="9.140625" style="2"/>
    <col min="8705" max="8705" width="0" style="2" hidden="1" customWidth="1"/>
    <col min="8706" max="8706" width="60.140625" style="2" customWidth="1"/>
    <col min="8707" max="8707" width="6.140625" style="2" customWidth="1"/>
    <col min="8708" max="8708" width="4.85546875" style="2" customWidth="1"/>
    <col min="8709" max="8709" width="5.140625" style="2" customWidth="1"/>
    <col min="8710" max="8710" width="16.5703125" style="2" customWidth="1"/>
    <col min="8711" max="8711" width="10.42578125" style="2" customWidth="1"/>
    <col min="8712" max="8713" width="13.42578125" style="2" customWidth="1"/>
    <col min="8714" max="8714" width="15.42578125" style="2" customWidth="1"/>
    <col min="8715" max="8960" width="9.140625" style="2"/>
    <col min="8961" max="8961" width="0" style="2" hidden="1" customWidth="1"/>
    <col min="8962" max="8962" width="60.140625" style="2" customWidth="1"/>
    <col min="8963" max="8963" width="6.140625" style="2" customWidth="1"/>
    <col min="8964" max="8964" width="4.85546875" style="2" customWidth="1"/>
    <col min="8965" max="8965" width="5.140625" style="2" customWidth="1"/>
    <col min="8966" max="8966" width="16.5703125" style="2" customWidth="1"/>
    <col min="8967" max="8967" width="10.42578125" style="2" customWidth="1"/>
    <col min="8968" max="8969" width="13.42578125" style="2" customWidth="1"/>
    <col min="8970" max="8970" width="15.42578125" style="2" customWidth="1"/>
    <col min="8971" max="9216" width="9.140625" style="2"/>
    <col min="9217" max="9217" width="0" style="2" hidden="1" customWidth="1"/>
    <col min="9218" max="9218" width="60.140625" style="2" customWidth="1"/>
    <col min="9219" max="9219" width="6.140625" style="2" customWidth="1"/>
    <col min="9220" max="9220" width="4.85546875" style="2" customWidth="1"/>
    <col min="9221" max="9221" width="5.140625" style="2" customWidth="1"/>
    <col min="9222" max="9222" width="16.5703125" style="2" customWidth="1"/>
    <col min="9223" max="9223" width="10.42578125" style="2" customWidth="1"/>
    <col min="9224" max="9225" width="13.42578125" style="2" customWidth="1"/>
    <col min="9226" max="9226" width="15.42578125" style="2" customWidth="1"/>
    <col min="9227" max="9472" width="9.140625" style="2"/>
    <col min="9473" max="9473" width="0" style="2" hidden="1" customWidth="1"/>
    <col min="9474" max="9474" width="60.140625" style="2" customWidth="1"/>
    <col min="9475" max="9475" width="6.140625" style="2" customWidth="1"/>
    <col min="9476" max="9476" width="4.85546875" style="2" customWidth="1"/>
    <col min="9477" max="9477" width="5.140625" style="2" customWidth="1"/>
    <col min="9478" max="9478" width="16.5703125" style="2" customWidth="1"/>
    <col min="9479" max="9479" width="10.42578125" style="2" customWidth="1"/>
    <col min="9480" max="9481" width="13.42578125" style="2" customWidth="1"/>
    <col min="9482" max="9482" width="15.42578125" style="2" customWidth="1"/>
    <col min="9483" max="9728" width="9.140625" style="2"/>
    <col min="9729" max="9729" width="0" style="2" hidden="1" customWidth="1"/>
    <col min="9730" max="9730" width="60.140625" style="2" customWidth="1"/>
    <col min="9731" max="9731" width="6.140625" style="2" customWidth="1"/>
    <col min="9732" max="9732" width="4.85546875" style="2" customWidth="1"/>
    <col min="9733" max="9733" width="5.140625" style="2" customWidth="1"/>
    <col min="9734" max="9734" width="16.5703125" style="2" customWidth="1"/>
    <col min="9735" max="9735" width="10.42578125" style="2" customWidth="1"/>
    <col min="9736" max="9737" width="13.42578125" style="2" customWidth="1"/>
    <col min="9738" max="9738" width="15.42578125" style="2" customWidth="1"/>
    <col min="9739" max="9984" width="9.140625" style="2"/>
    <col min="9985" max="9985" width="0" style="2" hidden="1" customWidth="1"/>
    <col min="9986" max="9986" width="60.140625" style="2" customWidth="1"/>
    <col min="9987" max="9987" width="6.140625" style="2" customWidth="1"/>
    <col min="9988" max="9988" width="4.85546875" style="2" customWidth="1"/>
    <col min="9989" max="9989" width="5.140625" style="2" customWidth="1"/>
    <col min="9990" max="9990" width="16.5703125" style="2" customWidth="1"/>
    <col min="9991" max="9991" width="10.42578125" style="2" customWidth="1"/>
    <col min="9992" max="9993" width="13.42578125" style="2" customWidth="1"/>
    <col min="9994" max="9994" width="15.42578125" style="2" customWidth="1"/>
    <col min="9995" max="10240" width="9.140625" style="2"/>
    <col min="10241" max="10241" width="0" style="2" hidden="1" customWidth="1"/>
    <col min="10242" max="10242" width="60.140625" style="2" customWidth="1"/>
    <col min="10243" max="10243" width="6.140625" style="2" customWidth="1"/>
    <col min="10244" max="10244" width="4.85546875" style="2" customWidth="1"/>
    <col min="10245" max="10245" width="5.140625" style="2" customWidth="1"/>
    <col min="10246" max="10246" width="16.5703125" style="2" customWidth="1"/>
    <col min="10247" max="10247" width="10.42578125" style="2" customWidth="1"/>
    <col min="10248" max="10249" width="13.42578125" style="2" customWidth="1"/>
    <col min="10250" max="10250" width="15.42578125" style="2" customWidth="1"/>
    <col min="10251" max="10496" width="9.140625" style="2"/>
    <col min="10497" max="10497" width="0" style="2" hidden="1" customWidth="1"/>
    <col min="10498" max="10498" width="60.140625" style="2" customWidth="1"/>
    <col min="10499" max="10499" width="6.140625" style="2" customWidth="1"/>
    <col min="10500" max="10500" width="4.85546875" style="2" customWidth="1"/>
    <col min="10501" max="10501" width="5.140625" style="2" customWidth="1"/>
    <col min="10502" max="10502" width="16.5703125" style="2" customWidth="1"/>
    <col min="10503" max="10503" width="10.42578125" style="2" customWidth="1"/>
    <col min="10504" max="10505" width="13.42578125" style="2" customWidth="1"/>
    <col min="10506" max="10506" width="15.42578125" style="2" customWidth="1"/>
    <col min="10507" max="10752" width="9.140625" style="2"/>
    <col min="10753" max="10753" width="0" style="2" hidden="1" customWidth="1"/>
    <col min="10754" max="10754" width="60.140625" style="2" customWidth="1"/>
    <col min="10755" max="10755" width="6.140625" style="2" customWidth="1"/>
    <col min="10756" max="10756" width="4.85546875" style="2" customWidth="1"/>
    <col min="10757" max="10757" width="5.140625" style="2" customWidth="1"/>
    <col min="10758" max="10758" width="16.5703125" style="2" customWidth="1"/>
    <col min="10759" max="10759" width="10.42578125" style="2" customWidth="1"/>
    <col min="10760" max="10761" width="13.42578125" style="2" customWidth="1"/>
    <col min="10762" max="10762" width="15.42578125" style="2" customWidth="1"/>
    <col min="10763" max="11008" width="9.140625" style="2"/>
    <col min="11009" max="11009" width="0" style="2" hidden="1" customWidth="1"/>
    <col min="11010" max="11010" width="60.140625" style="2" customWidth="1"/>
    <col min="11011" max="11011" width="6.140625" style="2" customWidth="1"/>
    <col min="11012" max="11012" width="4.85546875" style="2" customWidth="1"/>
    <col min="11013" max="11013" width="5.140625" style="2" customWidth="1"/>
    <col min="11014" max="11014" width="16.5703125" style="2" customWidth="1"/>
    <col min="11015" max="11015" width="10.42578125" style="2" customWidth="1"/>
    <col min="11016" max="11017" width="13.42578125" style="2" customWidth="1"/>
    <col min="11018" max="11018" width="15.42578125" style="2" customWidth="1"/>
    <col min="11019" max="11264" width="9.140625" style="2"/>
    <col min="11265" max="11265" width="0" style="2" hidden="1" customWidth="1"/>
    <col min="11266" max="11266" width="60.140625" style="2" customWidth="1"/>
    <col min="11267" max="11267" width="6.140625" style="2" customWidth="1"/>
    <col min="11268" max="11268" width="4.85546875" style="2" customWidth="1"/>
    <col min="11269" max="11269" width="5.140625" style="2" customWidth="1"/>
    <col min="11270" max="11270" width="16.5703125" style="2" customWidth="1"/>
    <col min="11271" max="11271" width="10.42578125" style="2" customWidth="1"/>
    <col min="11272" max="11273" width="13.42578125" style="2" customWidth="1"/>
    <col min="11274" max="11274" width="15.42578125" style="2" customWidth="1"/>
    <col min="11275" max="11520" width="9.140625" style="2"/>
    <col min="11521" max="11521" width="0" style="2" hidden="1" customWidth="1"/>
    <col min="11522" max="11522" width="60.140625" style="2" customWidth="1"/>
    <col min="11523" max="11523" width="6.140625" style="2" customWidth="1"/>
    <col min="11524" max="11524" width="4.85546875" style="2" customWidth="1"/>
    <col min="11525" max="11525" width="5.140625" style="2" customWidth="1"/>
    <col min="11526" max="11526" width="16.5703125" style="2" customWidth="1"/>
    <col min="11527" max="11527" width="10.42578125" style="2" customWidth="1"/>
    <col min="11528" max="11529" width="13.42578125" style="2" customWidth="1"/>
    <col min="11530" max="11530" width="15.42578125" style="2" customWidth="1"/>
    <col min="11531" max="11776" width="9.140625" style="2"/>
    <col min="11777" max="11777" width="0" style="2" hidden="1" customWidth="1"/>
    <col min="11778" max="11778" width="60.140625" style="2" customWidth="1"/>
    <col min="11779" max="11779" width="6.140625" style="2" customWidth="1"/>
    <col min="11780" max="11780" width="4.85546875" style="2" customWidth="1"/>
    <col min="11781" max="11781" width="5.140625" style="2" customWidth="1"/>
    <col min="11782" max="11782" width="16.5703125" style="2" customWidth="1"/>
    <col min="11783" max="11783" width="10.42578125" style="2" customWidth="1"/>
    <col min="11784" max="11785" width="13.42578125" style="2" customWidth="1"/>
    <col min="11786" max="11786" width="15.42578125" style="2" customWidth="1"/>
    <col min="11787" max="12032" width="9.140625" style="2"/>
    <col min="12033" max="12033" width="0" style="2" hidden="1" customWidth="1"/>
    <col min="12034" max="12034" width="60.140625" style="2" customWidth="1"/>
    <col min="12035" max="12035" width="6.140625" style="2" customWidth="1"/>
    <col min="12036" max="12036" width="4.85546875" style="2" customWidth="1"/>
    <col min="12037" max="12037" width="5.140625" style="2" customWidth="1"/>
    <col min="12038" max="12038" width="16.5703125" style="2" customWidth="1"/>
    <col min="12039" max="12039" width="10.42578125" style="2" customWidth="1"/>
    <col min="12040" max="12041" width="13.42578125" style="2" customWidth="1"/>
    <col min="12042" max="12042" width="15.42578125" style="2" customWidth="1"/>
    <col min="12043" max="12288" width="9.140625" style="2"/>
    <col min="12289" max="12289" width="0" style="2" hidden="1" customWidth="1"/>
    <col min="12290" max="12290" width="60.140625" style="2" customWidth="1"/>
    <col min="12291" max="12291" width="6.140625" style="2" customWidth="1"/>
    <col min="12292" max="12292" width="4.85546875" style="2" customWidth="1"/>
    <col min="12293" max="12293" width="5.140625" style="2" customWidth="1"/>
    <col min="12294" max="12294" width="16.5703125" style="2" customWidth="1"/>
    <col min="12295" max="12295" width="10.42578125" style="2" customWidth="1"/>
    <col min="12296" max="12297" width="13.42578125" style="2" customWidth="1"/>
    <col min="12298" max="12298" width="15.42578125" style="2" customWidth="1"/>
    <col min="12299" max="12544" width="9.140625" style="2"/>
    <col min="12545" max="12545" width="0" style="2" hidden="1" customWidth="1"/>
    <col min="12546" max="12546" width="60.140625" style="2" customWidth="1"/>
    <col min="12547" max="12547" width="6.140625" style="2" customWidth="1"/>
    <col min="12548" max="12548" width="4.85546875" style="2" customWidth="1"/>
    <col min="12549" max="12549" width="5.140625" style="2" customWidth="1"/>
    <col min="12550" max="12550" width="16.5703125" style="2" customWidth="1"/>
    <col min="12551" max="12551" width="10.42578125" style="2" customWidth="1"/>
    <col min="12552" max="12553" width="13.42578125" style="2" customWidth="1"/>
    <col min="12554" max="12554" width="15.42578125" style="2" customWidth="1"/>
    <col min="12555" max="12800" width="9.140625" style="2"/>
    <col min="12801" max="12801" width="0" style="2" hidden="1" customWidth="1"/>
    <col min="12802" max="12802" width="60.140625" style="2" customWidth="1"/>
    <col min="12803" max="12803" width="6.140625" style="2" customWidth="1"/>
    <col min="12804" max="12804" width="4.85546875" style="2" customWidth="1"/>
    <col min="12805" max="12805" width="5.140625" style="2" customWidth="1"/>
    <col min="12806" max="12806" width="16.5703125" style="2" customWidth="1"/>
    <col min="12807" max="12807" width="10.42578125" style="2" customWidth="1"/>
    <col min="12808" max="12809" width="13.42578125" style="2" customWidth="1"/>
    <col min="12810" max="12810" width="15.42578125" style="2" customWidth="1"/>
    <col min="12811" max="13056" width="9.140625" style="2"/>
    <col min="13057" max="13057" width="0" style="2" hidden="1" customWidth="1"/>
    <col min="13058" max="13058" width="60.140625" style="2" customWidth="1"/>
    <col min="13059" max="13059" width="6.140625" style="2" customWidth="1"/>
    <col min="13060" max="13060" width="4.85546875" style="2" customWidth="1"/>
    <col min="13061" max="13061" width="5.140625" style="2" customWidth="1"/>
    <col min="13062" max="13062" width="16.5703125" style="2" customWidth="1"/>
    <col min="13063" max="13063" width="10.42578125" style="2" customWidth="1"/>
    <col min="13064" max="13065" width="13.42578125" style="2" customWidth="1"/>
    <col min="13066" max="13066" width="15.42578125" style="2" customWidth="1"/>
    <col min="13067" max="13312" width="9.140625" style="2"/>
    <col min="13313" max="13313" width="0" style="2" hidden="1" customWidth="1"/>
    <col min="13314" max="13314" width="60.140625" style="2" customWidth="1"/>
    <col min="13315" max="13315" width="6.140625" style="2" customWidth="1"/>
    <col min="13316" max="13316" width="4.85546875" style="2" customWidth="1"/>
    <col min="13317" max="13317" width="5.140625" style="2" customWidth="1"/>
    <col min="13318" max="13318" width="16.5703125" style="2" customWidth="1"/>
    <col min="13319" max="13319" width="10.42578125" style="2" customWidth="1"/>
    <col min="13320" max="13321" width="13.42578125" style="2" customWidth="1"/>
    <col min="13322" max="13322" width="15.42578125" style="2" customWidth="1"/>
    <col min="13323" max="13568" width="9.140625" style="2"/>
    <col min="13569" max="13569" width="0" style="2" hidden="1" customWidth="1"/>
    <col min="13570" max="13570" width="60.140625" style="2" customWidth="1"/>
    <col min="13571" max="13571" width="6.140625" style="2" customWidth="1"/>
    <col min="13572" max="13572" width="4.85546875" style="2" customWidth="1"/>
    <col min="13573" max="13573" width="5.140625" style="2" customWidth="1"/>
    <col min="13574" max="13574" width="16.5703125" style="2" customWidth="1"/>
    <col min="13575" max="13575" width="10.42578125" style="2" customWidth="1"/>
    <col min="13576" max="13577" width="13.42578125" style="2" customWidth="1"/>
    <col min="13578" max="13578" width="15.42578125" style="2" customWidth="1"/>
    <col min="13579" max="13824" width="9.140625" style="2"/>
    <col min="13825" max="13825" width="0" style="2" hidden="1" customWidth="1"/>
    <col min="13826" max="13826" width="60.140625" style="2" customWidth="1"/>
    <col min="13827" max="13827" width="6.140625" style="2" customWidth="1"/>
    <col min="13828" max="13828" width="4.85546875" style="2" customWidth="1"/>
    <col min="13829" max="13829" width="5.140625" style="2" customWidth="1"/>
    <col min="13830" max="13830" width="16.5703125" style="2" customWidth="1"/>
    <col min="13831" max="13831" width="10.42578125" style="2" customWidth="1"/>
    <col min="13832" max="13833" width="13.42578125" style="2" customWidth="1"/>
    <col min="13834" max="13834" width="15.42578125" style="2" customWidth="1"/>
    <col min="13835" max="14080" width="9.140625" style="2"/>
    <col min="14081" max="14081" width="0" style="2" hidden="1" customWidth="1"/>
    <col min="14082" max="14082" width="60.140625" style="2" customWidth="1"/>
    <col min="14083" max="14083" width="6.140625" style="2" customWidth="1"/>
    <col min="14084" max="14084" width="4.85546875" style="2" customWidth="1"/>
    <col min="14085" max="14085" width="5.140625" style="2" customWidth="1"/>
    <col min="14086" max="14086" width="16.5703125" style="2" customWidth="1"/>
    <col min="14087" max="14087" width="10.42578125" style="2" customWidth="1"/>
    <col min="14088" max="14089" width="13.42578125" style="2" customWidth="1"/>
    <col min="14090" max="14090" width="15.42578125" style="2" customWidth="1"/>
    <col min="14091" max="14336" width="9.140625" style="2"/>
    <col min="14337" max="14337" width="0" style="2" hidden="1" customWidth="1"/>
    <col min="14338" max="14338" width="60.140625" style="2" customWidth="1"/>
    <col min="14339" max="14339" width="6.140625" style="2" customWidth="1"/>
    <col min="14340" max="14340" width="4.85546875" style="2" customWidth="1"/>
    <col min="14341" max="14341" width="5.140625" style="2" customWidth="1"/>
    <col min="14342" max="14342" width="16.5703125" style="2" customWidth="1"/>
    <col min="14343" max="14343" width="10.42578125" style="2" customWidth="1"/>
    <col min="14344" max="14345" width="13.42578125" style="2" customWidth="1"/>
    <col min="14346" max="14346" width="15.42578125" style="2" customWidth="1"/>
    <col min="14347" max="14592" width="9.140625" style="2"/>
    <col min="14593" max="14593" width="0" style="2" hidden="1" customWidth="1"/>
    <col min="14594" max="14594" width="60.140625" style="2" customWidth="1"/>
    <col min="14595" max="14595" width="6.140625" style="2" customWidth="1"/>
    <col min="14596" max="14596" width="4.85546875" style="2" customWidth="1"/>
    <col min="14597" max="14597" width="5.140625" style="2" customWidth="1"/>
    <col min="14598" max="14598" width="16.5703125" style="2" customWidth="1"/>
    <col min="14599" max="14599" width="10.42578125" style="2" customWidth="1"/>
    <col min="14600" max="14601" width="13.42578125" style="2" customWidth="1"/>
    <col min="14602" max="14602" width="15.42578125" style="2" customWidth="1"/>
    <col min="14603" max="14848" width="9.140625" style="2"/>
    <col min="14849" max="14849" width="0" style="2" hidden="1" customWidth="1"/>
    <col min="14850" max="14850" width="60.140625" style="2" customWidth="1"/>
    <col min="14851" max="14851" width="6.140625" style="2" customWidth="1"/>
    <col min="14852" max="14852" width="4.85546875" style="2" customWidth="1"/>
    <col min="14853" max="14853" width="5.140625" style="2" customWidth="1"/>
    <col min="14854" max="14854" width="16.5703125" style="2" customWidth="1"/>
    <col min="14855" max="14855" width="10.42578125" style="2" customWidth="1"/>
    <col min="14856" max="14857" width="13.42578125" style="2" customWidth="1"/>
    <col min="14858" max="14858" width="15.42578125" style="2" customWidth="1"/>
    <col min="14859" max="15104" width="9.140625" style="2"/>
    <col min="15105" max="15105" width="0" style="2" hidden="1" customWidth="1"/>
    <col min="15106" max="15106" width="60.140625" style="2" customWidth="1"/>
    <col min="15107" max="15107" width="6.140625" style="2" customWidth="1"/>
    <col min="15108" max="15108" width="4.85546875" style="2" customWidth="1"/>
    <col min="15109" max="15109" width="5.140625" style="2" customWidth="1"/>
    <col min="15110" max="15110" width="16.5703125" style="2" customWidth="1"/>
    <col min="15111" max="15111" width="10.42578125" style="2" customWidth="1"/>
    <col min="15112" max="15113" width="13.42578125" style="2" customWidth="1"/>
    <col min="15114" max="15114" width="15.42578125" style="2" customWidth="1"/>
    <col min="15115" max="15360" width="9.140625" style="2"/>
    <col min="15361" max="15361" width="0" style="2" hidden="1" customWidth="1"/>
    <col min="15362" max="15362" width="60.140625" style="2" customWidth="1"/>
    <col min="15363" max="15363" width="6.140625" style="2" customWidth="1"/>
    <col min="15364" max="15364" width="4.85546875" style="2" customWidth="1"/>
    <col min="15365" max="15365" width="5.140625" style="2" customWidth="1"/>
    <col min="15366" max="15366" width="16.5703125" style="2" customWidth="1"/>
    <col min="15367" max="15367" width="10.42578125" style="2" customWidth="1"/>
    <col min="15368" max="15369" width="13.42578125" style="2" customWidth="1"/>
    <col min="15370" max="15370" width="15.42578125" style="2" customWidth="1"/>
    <col min="15371" max="15616" width="9.140625" style="2"/>
    <col min="15617" max="15617" width="0" style="2" hidden="1" customWidth="1"/>
    <col min="15618" max="15618" width="60.140625" style="2" customWidth="1"/>
    <col min="15619" max="15619" width="6.140625" style="2" customWidth="1"/>
    <col min="15620" max="15620" width="4.85546875" style="2" customWidth="1"/>
    <col min="15621" max="15621" width="5.140625" style="2" customWidth="1"/>
    <col min="15622" max="15622" width="16.5703125" style="2" customWidth="1"/>
    <col min="15623" max="15623" width="10.42578125" style="2" customWidth="1"/>
    <col min="15624" max="15625" width="13.42578125" style="2" customWidth="1"/>
    <col min="15626" max="15626" width="15.42578125" style="2" customWidth="1"/>
    <col min="15627" max="15872" width="9.140625" style="2"/>
    <col min="15873" max="15873" width="0" style="2" hidden="1" customWidth="1"/>
    <col min="15874" max="15874" width="60.140625" style="2" customWidth="1"/>
    <col min="15875" max="15875" width="6.140625" style="2" customWidth="1"/>
    <col min="15876" max="15876" width="4.85546875" style="2" customWidth="1"/>
    <col min="15877" max="15877" width="5.140625" style="2" customWidth="1"/>
    <col min="15878" max="15878" width="16.5703125" style="2" customWidth="1"/>
    <col min="15879" max="15879" width="10.42578125" style="2" customWidth="1"/>
    <col min="15880" max="15881" width="13.42578125" style="2" customWidth="1"/>
    <col min="15882" max="15882" width="15.42578125" style="2" customWidth="1"/>
    <col min="15883" max="16128" width="9.140625" style="2"/>
    <col min="16129" max="16129" width="0" style="2" hidden="1" customWidth="1"/>
    <col min="16130" max="16130" width="60.140625" style="2" customWidth="1"/>
    <col min="16131" max="16131" width="6.140625" style="2" customWidth="1"/>
    <col min="16132" max="16132" width="4.85546875" style="2" customWidth="1"/>
    <col min="16133" max="16133" width="5.140625" style="2" customWidth="1"/>
    <col min="16134" max="16134" width="16.5703125" style="2" customWidth="1"/>
    <col min="16135" max="16135" width="10.42578125" style="2" customWidth="1"/>
    <col min="16136" max="16137" width="13.42578125" style="2" customWidth="1"/>
    <col min="16138" max="16138" width="15.42578125" style="2" customWidth="1"/>
    <col min="16139" max="16384" width="9.140625" style="2"/>
  </cols>
  <sheetData>
    <row r="1" spans="2:10" ht="46.5" customHeight="1" x14ac:dyDescent="0.2">
      <c r="B1" s="3" t="s">
        <v>0</v>
      </c>
      <c r="C1" s="3"/>
      <c r="D1" s="3"/>
      <c r="E1" s="3"/>
      <c r="F1" s="3"/>
      <c r="G1" s="3"/>
      <c r="H1" s="3"/>
      <c r="I1" s="3"/>
      <c r="J1" s="3"/>
    </row>
    <row r="2" spans="2:10" ht="18.600000000000001" customHeight="1" x14ac:dyDescent="0.2">
      <c r="B2" s="4"/>
      <c r="C2" s="5"/>
      <c r="D2" s="5"/>
      <c r="E2" s="5"/>
      <c r="F2" s="5"/>
      <c r="G2" s="6"/>
    </row>
    <row r="3" spans="2:10" ht="55.5" customHeight="1" x14ac:dyDescent="0.2">
      <c r="B3" s="7" t="s">
        <v>1</v>
      </c>
      <c r="C3" s="7"/>
      <c r="D3" s="7"/>
      <c r="E3" s="7"/>
      <c r="F3" s="7"/>
      <c r="G3" s="7"/>
      <c r="H3" s="7"/>
      <c r="I3" s="7"/>
      <c r="J3" s="7"/>
    </row>
    <row r="4" spans="2:10" ht="16.5" customHeight="1" x14ac:dyDescent="0.2">
      <c r="B4" s="8"/>
      <c r="C4" s="9"/>
      <c r="D4" s="9"/>
      <c r="E4" s="9"/>
      <c r="F4" s="9"/>
      <c r="J4" s="10" t="s">
        <v>2</v>
      </c>
    </row>
    <row r="5" spans="2:10" ht="38.25" customHeight="1" x14ac:dyDescent="0.2">
      <c r="B5" s="11" t="s">
        <v>3</v>
      </c>
      <c r="C5" s="12" t="s">
        <v>4</v>
      </c>
      <c r="D5" s="12" t="s">
        <v>5</v>
      </c>
      <c r="E5" s="12" t="s">
        <v>6</v>
      </c>
      <c r="F5" s="12" t="s">
        <v>7</v>
      </c>
      <c r="G5" s="12" t="s">
        <v>8</v>
      </c>
      <c r="H5" s="13">
        <v>2025</v>
      </c>
      <c r="I5" s="13">
        <v>2026</v>
      </c>
      <c r="J5" s="13">
        <v>2027</v>
      </c>
    </row>
    <row r="6" spans="2:10" s="16" customFormat="1" ht="21" customHeight="1" x14ac:dyDescent="0.2">
      <c r="B6" s="14">
        <v>1</v>
      </c>
      <c r="C6" s="15">
        <v>2</v>
      </c>
      <c r="D6" s="15">
        <v>3</v>
      </c>
      <c r="E6" s="15">
        <v>4</v>
      </c>
      <c r="F6" s="15">
        <v>5</v>
      </c>
      <c r="G6" s="15">
        <v>6</v>
      </c>
      <c r="H6" s="15">
        <v>7</v>
      </c>
      <c r="I6" s="15">
        <v>8</v>
      </c>
      <c r="J6" s="15">
        <v>9</v>
      </c>
    </row>
    <row r="7" spans="2:10" s="20" customFormat="1" x14ac:dyDescent="0.2">
      <c r="B7" s="17" t="s">
        <v>9</v>
      </c>
      <c r="C7" s="18" t="s">
        <v>10</v>
      </c>
      <c r="D7" s="18"/>
      <c r="E7" s="18"/>
      <c r="F7" s="18"/>
      <c r="G7" s="18"/>
      <c r="H7" s="19">
        <f>H8+H132+H174+H224+H292+H358+H363+H326+H402+H125+H308</f>
        <v>383213</v>
      </c>
      <c r="I7" s="19">
        <f>I8+I132+I174+I224+I292+I358+I363+I326+I402+I125+I308</f>
        <v>226231.4</v>
      </c>
      <c r="J7" s="19">
        <f>J8+J132+J174+J224+J292+J358+J363+J326+J402+J125+J308</f>
        <v>225171.8</v>
      </c>
    </row>
    <row r="8" spans="2:10" s="20" customFormat="1" ht="15.75" x14ac:dyDescent="0.2">
      <c r="B8" s="21" t="s">
        <v>11</v>
      </c>
      <c r="C8" s="18" t="s">
        <v>10</v>
      </c>
      <c r="D8" s="18" t="s">
        <v>12</v>
      </c>
      <c r="E8" s="18"/>
      <c r="F8" s="18"/>
      <c r="G8" s="18"/>
      <c r="H8" s="19">
        <f>H15+H52+H56+H60++H9</f>
        <v>54578.299999999988</v>
      </c>
      <c r="I8" s="19">
        <f>I15+I52+I56+I60++I9</f>
        <v>52423.499999999993</v>
      </c>
      <c r="J8" s="19">
        <f>J15+J52+J56+J60++J9</f>
        <v>51448.999999999993</v>
      </c>
    </row>
    <row r="9" spans="2:10" s="20" customFormat="1" ht="25.5" x14ac:dyDescent="0.2">
      <c r="B9" s="17" t="s">
        <v>13</v>
      </c>
      <c r="C9" s="18" t="s">
        <v>10</v>
      </c>
      <c r="D9" s="18" t="s">
        <v>12</v>
      </c>
      <c r="E9" s="18" t="s">
        <v>14</v>
      </c>
      <c r="F9" s="18"/>
      <c r="G9" s="18"/>
      <c r="H9" s="22">
        <f t="shared" ref="H9:J13" si="0">H10</f>
        <v>3214.5</v>
      </c>
      <c r="I9" s="22">
        <f t="shared" si="0"/>
        <v>3173.6</v>
      </c>
      <c r="J9" s="22">
        <f t="shared" si="0"/>
        <v>3173.6</v>
      </c>
    </row>
    <row r="10" spans="2:10" s="20" customFormat="1" ht="25.5" x14ac:dyDescent="0.2">
      <c r="B10" s="23" t="s">
        <v>15</v>
      </c>
      <c r="C10" s="24" t="s">
        <v>10</v>
      </c>
      <c r="D10" s="24" t="s">
        <v>12</v>
      </c>
      <c r="E10" s="24" t="s">
        <v>14</v>
      </c>
      <c r="F10" s="24" t="s">
        <v>16</v>
      </c>
      <c r="G10" s="18"/>
      <c r="H10" s="22">
        <f t="shared" si="0"/>
        <v>3214.5</v>
      </c>
      <c r="I10" s="22">
        <f t="shared" si="0"/>
        <v>3173.6</v>
      </c>
      <c r="J10" s="22">
        <f t="shared" si="0"/>
        <v>3173.6</v>
      </c>
    </row>
    <row r="11" spans="2:10" s="20" customFormat="1" x14ac:dyDescent="0.2">
      <c r="B11" s="25" t="s">
        <v>17</v>
      </c>
      <c r="C11" s="24" t="s">
        <v>10</v>
      </c>
      <c r="D11" s="24" t="s">
        <v>12</v>
      </c>
      <c r="E11" s="24" t="s">
        <v>14</v>
      </c>
      <c r="F11" s="26" t="s">
        <v>18</v>
      </c>
      <c r="G11" s="24"/>
      <c r="H11" s="22">
        <f t="shared" si="0"/>
        <v>3214.5</v>
      </c>
      <c r="I11" s="22">
        <f t="shared" si="0"/>
        <v>3173.6</v>
      </c>
      <c r="J11" s="22">
        <f t="shared" si="0"/>
        <v>3173.6</v>
      </c>
    </row>
    <row r="12" spans="2:10" s="20" customFormat="1" ht="25.5" x14ac:dyDescent="0.2">
      <c r="B12" s="25" t="s">
        <v>19</v>
      </c>
      <c r="C12" s="24" t="s">
        <v>10</v>
      </c>
      <c r="D12" s="24" t="s">
        <v>12</v>
      </c>
      <c r="E12" s="24" t="s">
        <v>14</v>
      </c>
      <c r="F12" s="26" t="s">
        <v>20</v>
      </c>
      <c r="G12" s="24"/>
      <c r="H12" s="22">
        <f t="shared" si="0"/>
        <v>3214.5</v>
      </c>
      <c r="I12" s="22">
        <f t="shared" si="0"/>
        <v>3173.6</v>
      </c>
      <c r="J12" s="22">
        <f t="shared" si="0"/>
        <v>3173.6</v>
      </c>
    </row>
    <row r="13" spans="2:10" s="20" customFormat="1" x14ac:dyDescent="0.2">
      <c r="B13" s="27" t="s">
        <v>21</v>
      </c>
      <c r="C13" s="24" t="s">
        <v>10</v>
      </c>
      <c r="D13" s="24" t="s">
        <v>12</v>
      </c>
      <c r="E13" s="24" t="s">
        <v>14</v>
      </c>
      <c r="F13" s="26" t="s">
        <v>22</v>
      </c>
      <c r="G13" s="24"/>
      <c r="H13" s="22">
        <f t="shared" si="0"/>
        <v>3214.5</v>
      </c>
      <c r="I13" s="22">
        <f t="shared" si="0"/>
        <v>3173.6</v>
      </c>
      <c r="J13" s="22">
        <f t="shared" si="0"/>
        <v>3173.6</v>
      </c>
    </row>
    <row r="14" spans="2:10" s="20" customFormat="1" ht="25.5" x14ac:dyDescent="0.2">
      <c r="B14" s="28" t="s">
        <v>23</v>
      </c>
      <c r="C14" s="24" t="s">
        <v>10</v>
      </c>
      <c r="D14" s="24" t="s">
        <v>12</v>
      </c>
      <c r="E14" s="24" t="s">
        <v>14</v>
      </c>
      <c r="F14" s="26" t="s">
        <v>22</v>
      </c>
      <c r="G14" s="24" t="s">
        <v>24</v>
      </c>
      <c r="H14" s="22">
        <f>3114.5+100</f>
        <v>3214.5</v>
      </c>
      <c r="I14" s="22">
        <f>3114.5+59.1</f>
        <v>3173.6</v>
      </c>
      <c r="J14" s="22">
        <f>3114.5+59.1</f>
        <v>3173.6</v>
      </c>
    </row>
    <row r="15" spans="2:10" s="20" customFormat="1" ht="38.25" x14ac:dyDescent="0.2">
      <c r="B15" s="29" t="s">
        <v>25</v>
      </c>
      <c r="C15" s="18" t="s">
        <v>10</v>
      </c>
      <c r="D15" s="18" t="s">
        <v>26</v>
      </c>
      <c r="E15" s="18" t="s">
        <v>27</v>
      </c>
      <c r="F15" s="18"/>
      <c r="G15" s="18"/>
      <c r="H15" s="22">
        <f>H16+H22+H40+H46</f>
        <v>45430.299999999996</v>
      </c>
      <c r="I15" s="22">
        <f>I16+I22+I40+I46</f>
        <v>44745.899999999994</v>
      </c>
      <c r="J15" s="22">
        <f>J16+J22+J40+J46</f>
        <v>43781.899999999994</v>
      </c>
    </row>
    <row r="16" spans="2:10" s="20" customFormat="1" ht="39.75" customHeight="1" x14ac:dyDescent="0.2">
      <c r="B16" s="30" t="s">
        <v>28</v>
      </c>
      <c r="C16" s="24" t="s">
        <v>10</v>
      </c>
      <c r="D16" s="24" t="s">
        <v>12</v>
      </c>
      <c r="E16" s="24" t="s">
        <v>27</v>
      </c>
      <c r="F16" s="24" t="s">
        <v>29</v>
      </c>
      <c r="G16" s="31"/>
      <c r="H16" s="22">
        <f t="shared" ref="H16:J18" si="1">H17</f>
        <v>1036.0999999999999</v>
      </c>
      <c r="I16" s="22">
        <f t="shared" si="1"/>
        <v>1036.0999999999999</v>
      </c>
      <c r="J16" s="22">
        <f t="shared" si="1"/>
        <v>1036.0999999999999</v>
      </c>
    </row>
    <row r="17" spans="2:11" s="20" customFormat="1" ht="16.5" customHeight="1" x14ac:dyDescent="0.2">
      <c r="B17" s="32" t="s">
        <v>17</v>
      </c>
      <c r="C17" s="24" t="s">
        <v>10</v>
      </c>
      <c r="D17" s="24" t="s">
        <v>12</v>
      </c>
      <c r="E17" s="24" t="s">
        <v>27</v>
      </c>
      <c r="F17" s="24" t="s">
        <v>30</v>
      </c>
      <c r="G17" s="31"/>
      <c r="H17" s="22">
        <f t="shared" si="1"/>
        <v>1036.0999999999999</v>
      </c>
      <c r="I17" s="22">
        <f t="shared" si="1"/>
        <v>1036.0999999999999</v>
      </c>
      <c r="J17" s="22">
        <f t="shared" si="1"/>
        <v>1036.0999999999999</v>
      </c>
    </row>
    <row r="18" spans="2:11" s="20" customFormat="1" ht="36.75" customHeight="1" x14ac:dyDescent="0.2">
      <c r="B18" s="33" t="s">
        <v>31</v>
      </c>
      <c r="C18" s="24" t="s">
        <v>10</v>
      </c>
      <c r="D18" s="24" t="s">
        <v>12</v>
      </c>
      <c r="E18" s="24" t="s">
        <v>27</v>
      </c>
      <c r="F18" s="34" t="s">
        <v>32</v>
      </c>
      <c r="G18" s="31"/>
      <c r="H18" s="22">
        <f t="shared" si="1"/>
        <v>1036.0999999999999</v>
      </c>
      <c r="I18" s="22">
        <f t="shared" si="1"/>
        <v>1036.0999999999999</v>
      </c>
      <c r="J18" s="22">
        <f t="shared" si="1"/>
        <v>1036.0999999999999</v>
      </c>
    </row>
    <row r="19" spans="2:11" s="20" customFormat="1" ht="106.5" customHeight="1" x14ac:dyDescent="0.2">
      <c r="B19" s="35" t="s">
        <v>33</v>
      </c>
      <c r="C19" s="24" t="s">
        <v>10</v>
      </c>
      <c r="D19" s="24" t="s">
        <v>12</v>
      </c>
      <c r="E19" s="24" t="s">
        <v>27</v>
      </c>
      <c r="F19" s="34" t="s">
        <v>34</v>
      </c>
      <c r="G19" s="31"/>
      <c r="H19" s="22">
        <f>H20+H21</f>
        <v>1036.0999999999999</v>
      </c>
      <c r="I19" s="22">
        <f>I20+I21</f>
        <v>1036.0999999999999</v>
      </c>
      <c r="J19" s="22">
        <f>J20+J21</f>
        <v>1036.0999999999999</v>
      </c>
    </row>
    <row r="20" spans="2:11" s="20" customFormat="1" ht="26.25" customHeight="1" x14ac:dyDescent="0.2">
      <c r="B20" s="36" t="s">
        <v>23</v>
      </c>
      <c r="C20" s="24" t="s">
        <v>10</v>
      </c>
      <c r="D20" s="24" t="s">
        <v>12</v>
      </c>
      <c r="E20" s="24" t="s">
        <v>27</v>
      </c>
      <c r="F20" s="34" t="s">
        <v>34</v>
      </c>
      <c r="G20" s="31" t="s">
        <v>24</v>
      </c>
      <c r="H20" s="22">
        <v>740.1</v>
      </c>
      <c r="I20" s="22">
        <v>740.1</v>
      </c>
      <c r="J20" s="22">
        <v>740.1</v>
      </c>
    </row>
    <row r="21" spans="2:11" s="20" customFormat="1" ht="26.25" customHeight="1" x14ac:dyDescent="0.2">
      <c r="B21" s="36" t="s">
        <v>35</v>
      </c>
      <c r="C21" s="24" t="s">
        <v>10</v>
      </c>
      <c r="D21" s="24" t="s">
        <v>12</v>
      </c>
      <c r="E21" s="24" t="s">
        <v>27</v>
      </c>
      <c r="F21" s="34" t="s">
        <v>34</v>
      </c>
      <c r="G21" s="31" t="s">
        <v>36</v>
      </c>
      <c r="H21" s="22">
        <v>296</v>
      </c>
      <c r="I21" s="22">
        <v>296</v>
      </c>
      <c r="J21" s="22">
        <v>296</v>
      </c>
    </row>
    <row r="22" spans="2:11" s="20" customFormat="1" ht="28.5" customHeight="1" x14ac:dyDescent="0.2">
      <c r="B22" s="23" t="s">
        <v>15</v>
      </c>
      <c r="C22" s="37" t="s">
        <v>10</v>
      </c>
      <c r="D22" s="37" t="s">
        <v>12</v>
      </c>
      <c r="E22" s="37" t="s">
        <v>27</v>
      </c>
      <c r="F22" s="37" t="s">
        <v>16</v>
      </c>
      <c r="G22" s="31"/>
      <c r="H22" s="22">
        <f>H23+H36</f>
        <v>43199.199999999997</v>
      </c>
      <c r="I22" s="22">
        <f>I23+I36</f>
        <v>42517.299999999996</v>
      </c>
      <c r="J22" s="22">
        <f>J23+J36</f>
        <v>41553.299999999996</v>
      </c>
    </row>
    <row r="23" spans="2:11" s="20" customFormat="1" ht="15" customHeight="1" x14ac:dyDescent="0.2">
      <c r="B23" s="33" t="s">
        <v>17</v>
      </c>
      <c r="C23" s="37" t="s">
        <v>10</v>
      </c>
      <c r="D23" s="37" t="s">
        <v>12</v>
      </c>
      <c r="E23" s="37" t="s">
        <v>27</v>
      </c>
      <c r="F23" s="38" t="s">
        <v>18</v>
      </c>
      <c r="G23" s="31"/>
      <c r="H23" s="22">
        <f>H24+H33</f>
        <v>41888.199999999997</v>
      </c>
      <c r="I23" s="22">
        <f>I24+I33</f>
        <v>41717.299999999996</v>
      </c>
      <c r="J23" s="22">
        <f>J24+J33</f>
        <v>40753.299999999996</v>
      </c>
    </row>
    <row r="24" spans="2:11" s="20" customFormat="1" ht="26.25" customHeight="1" x14ac:dyDescent="0.2">
      <c r="B24" s="33" t="s">
        <v>19</v>
      </c>
      <c r="C24" s="37" t="s">
        <v>10</v>
      </c>
      <c r="D24" s="37" t="s">
        <v>12</v>
      </c>
      <c r="E24" s="37" t="s">
        <v>27</v>
      </c>
      <c r="F24" s="38" t="s">
        <v>20</v>
      </c>
      <c r="G24" s="31"/>
      <c r="H24" s="22">
        <f>H25+H31+H29</f>
        <v>40587.599999999999</v>
      </c>
      <c r="I24" s="22">
        <f>I25+I31+I29</f>
        <v>41018.6</v>
      </c>
      <c r="J24" s="22">
        <f>J25+J31+J29</f>
        <v>40054.6</v>
      </c>
    </row>
    <row r="25" spans="2:11" s="20" customFormat="1" ht="18" customHeight="1" x14ac:dyDescent="0.2">
      <c r="B25" s="23" t="s">
        <v>37</v>
      </c>
      <c r="C25" s="24" t="s">
        <v>10</v>
      </c>
      <c r="D25" s="24" t="s">
        <v>12</v>
      </c>
      <c r="E25" s="24" t="s">
        <v>27</v>
      </c>
      <c r="F25" s="26" t="s">
        <v>38</v>
      </c>
      <c r="G25" s="31"/>
      <c r="H25" s="22">
        <f>H26+H27+H28</f>
        <v>13642.299999999996</v>
      </c>
      <c r="I25" s="22">
        <f>I26+I27+I28</f>
        <v>14018.299999999997</v>
      </c>
      <c r="J25" s="22">
        <f>J26+J27+J28</f>
        <v>13054.299999999997</v>
      </c>
    </row>
    <row r="26" spans="2:11" s="20" customFormat="1" ht="26.25" customHeight="1" x14ac:dyDescent="0.2">
      <c r="B26" s="23" t="s">
        <v>23</v>
      </c>
      <c r="C26" s="24" t="s">
        <v>10</v>
      </c>
      <c r="D26" s="24" t="s">
        <v>12</v>
      </c>
      <c r="E26" s="24" t="s">
        <v>27</v>
      </c>
      <c r="F26" s="26" t="s">
        <v>38</v>
      </c>
      <c r="G26" s="31" t="s">
        <v>24</v>
      </c>
      <c r="H26" s="22">
        <f>10411.5+181-417.6-740.1-485.7-452.2-676.1-229.3</f>
        <v>7591.4999999999973</v>
      </c>
      <c r="I26" s="22">
        <f>10411.5+181-740.1-485.7-495.5-676.1-227.6</f>
        <v>7967.4999999999982</v>
      </c>
      <c r="J26" s="22">
        <f>10411.5+181-740.1-485.7-513.5-676.1-227.6</f>
        <v>7949.4999999999982</v>
      </c>
      <c r="K26" s="39"/>
    </row>
    <row r="27" spans="2:11" s="20" customFormat="1" ht="26.25" customHeight="1" x14ac:dyDescent="0.2">
      <c r="B27" s="23" t="s">
        <v>35</v>
      </c>
      <c r="C27" s="24" t="s">
        <v>10</v>
      </c>
      <c r="D27" s="24" t="s">
        <v>12</v>
      </c>
      <c r="E27" s="24" t="s">
        <v>27</v>
      </c>
      <c r="F27" s="26" t="s">
        <v>38</v>
      </c>
      <c r="G27" s="31" t="s">
        <v>36</v>
      </c>
      <c r="H27" s="22">
        <f>5755</f>
        <v>5755</v>
      </c>
      <c r="I27" s="22">
        <v>5755</v>
      </c>
      <c r="J27" s="22">
        <v>4809</v>
      </c>
      <c r="K27" s="39"/>
    </row>
    <row r="28" spans="2:11" s="20" customFormat="1" ht="17.25" customHeight="1" x14ac:dyDescent="0.2">
      <c r="B28" s="23" t="s">
        <v>39</v>
      </c>
      <c r="C28" s="24" t="s">
        <v>10</v>
      </c>
      <c r="D28" s="24" t="s">
        <v>12</v>
      </c>
      <c r="E28" s="24" t="s">
        <v>27</v>
      </c>
      <c r="F28" s="26" t="s">
        <v>38</v>
      </c>
      <c r="G28" s="31" t="s">
        <v>40</v>
      </c>
      <c r="H28" s="22">
        <f>295.8</f>
        <v>295.8</v>
      </c>
      <c r="I28" s="40">
        <f>295.8</f>
        <v>295.8</v>
      </c>
      <c r="J28" s="40">
        <f>295.8</f>
        <v>295.8</v>
      </c>
      <c r="K28" s="39"/>
    </row>
    <row r="29" spans="2:11" s="20" customFormat="1" ht="24" customHeight="1" x14ac:dyDescent="0.2">
      <c r="B29" s="41" t="s">
        <v>41</v>
      </c>
      <c r="C29" s="24" t="s">
        <v>10</v>
      </c>
      <c r="D29" s="24" t="s">
        <v>12</v>
      </c>
      <c r="E29" s="24" t="s">
        <v>27</v>
      </c>
      <c r="F29" s="26" t="s">
        <v>42</v>
      </c>
      <c r="G29" s="31"/>
      <c r="H29" s="22">
        <f>H30</f>
        <v>26459.600000000002</v>
      </c>
      <c r="I29" s="22">
        <f>I30</f>
        <v>26514.600000000002</v>
      </c>
      <c r="J29" s="22">
        <f>J30</f>
        <v>26514.600000000002</v>
      </c>
    </row>
    <row r="30" spans="2:11" s="20" customFormat="1" ht="27" customHeight="1" x14ac:dyDescent="0.2">
      <c r="B30" s="41" t="s">
        <v>23</v>
      </c>
      <c r="C30" s="24" t="s">
        <v>10</v>
      </c>
      <c r="D30" s="24" t="s">
        <v>12</v>
      </c>
      <c r="E30" s="24" t="s">
        <v>27</v>
      </c>
      <c r="F30" s="26" t="s">
        <v>42</v>
      </c>
      <c r="G30" s="31" t="s">
        <v>24</v>
      </c>
      <c r="H30" s="22">
        <f>879.7+25634.9-55</f>
        <v>26459.600000000002</v>
      </c>
      <c r="I30" s="22">
        <f>879.7+25634.9</f>
        <v>26514.600000000002</v>
      </c>
      <c r="J30" s="22">
        <f>879.7+25634.9</f>
        <v>26514.600000000002</v>
      </c>
    </row>
    <row r="31" spans="2:11" s="20" customFormat="1" ht="73.5" customHeight="1" x14ac:dyDescent="0.2">
      <c r="B31" s="23" t="s">
        <v>43</v>
      </c>
      <c r="C31" s="24" t="s">
        <v>10</v>
      </c>
      <c r="D31" s="24" t="s">
        <v>12</v>
      </c>
      <c r="E31" s="24" t="s">
        <v>27</v>
      </c>
      <c r="F31" s="26" t="s">
        <v>44</v>
      </c>
      <c r="G31" s="31"/>
      <c r="H31" s="22">
        <f>H32</f>
        <v>485.7</v>
      </c>
      <c r="I31" s="22">
        <f>I32</f>
        <v>485.7</v>
      </c>
      <c r="J31" s="22">
        <f>J32</f>
        <v>485.7</v>
      </c>
    </row>
    <row r="32" spans="2:11" s="20" customFormat="1" ht="26.25" customHeight="1" x14ac:dyDescent="0.2">
      <c r="B32" s="23" t="s">
        <v>23</v>
      </c>
      <c r="C32" s="24" t="s">
        <v>10</v>
      </c>
      <c r="D32" s="24" t="s">
        <v>12</v>
      </c>
      <c r="E32" s="24" t="s">
        <v>27</v>
      </c>
      <c r="F32" s="26" t="s">
        <v>44</v>
      </c>
      <c r="G32" s="31" t="s">
        <v>24</v>
      </c>
      <c r="H32" s="22">
        <v>485.7</v>
      </c>
      <c r="I32" s="22">
        <v>485.7</v>
      </c>
      <c r="J32" s="22">
        <v>485.7</v>
      </c>
    </row>
    <row r="33" spans="2:11" s="20" customFormat="1" ht="57" customHeight="1" x14ac:dyDescent="0.2">
      <c r="B33" s="23" t="s">
        <v>45</v>
      </c>
      <c r="C33" s="24" t="s">
        <v>10</v>
      </c>
      <c r="D33" s="24" t="s">
        <v>12</v>
      </c>
      <c r="E33" s="24" t="s">
        <v>27</v>
      </c>
      <c r="F33" s="26" t="s">
        <v>46</v>
      </c>
      <c r="G33" s="31"/>
      <c r="H33" s="22">
        <f t="shared" ref="H33:J34" si="2">H34</f>
        <v>1300.5999999999999</v>
      </c>
      <c r="I33" s="22">
        <f t="shared" si="2"/>
        <v>698.7</v>
      </c>
      <c r="J33" s="22">
        <f t="shared" si="2"/>
        <v>698.7</v>
      </c>
    </row>
    <row r="34" spans="2:11" s="20" customFormat="1" ht="20.25" customHeight="1" x14ac:dyDescent="0.2">
      <c r="B34" s="23" t="s">
        <v>47</v>
      </c>
      <c r="C34" s="24" t="s">
        <v>10</v>
      </c>
      <c r="D34" s="24" t="s">
        <v>12</v>
      </c>
      <c r="E34" s="24" t="s">
        <v>27</v>
      </c>
      <c r="F34" s="26" t="s">
        <v>48</v>
      </c>
      <c r="G34" s="31"/>
      <c r="H34" s="22">
        <f t="shared" si="2"/>
        <v>1300.5999999999999</v>
      </c>
      <c r="I34" s="22">
        <f t="shared" si="2"/>
        <v>698.7</v>
      </c>
      <c r="J34" s="22">
        <f t="shared" si="2"/>
        <v>698.7</v>
      </c>
    </row>
    <row r="35" spans="2:11" s="20" customFormat="1" ht="24.75" customHeight="1" x14ac:dyDescent="0.2">
      <c r="B35" s="23" t="s">
        <v>35</v>
      </c>
      <c r="C35" s="24" t="s">
        <v>10</v>
      </c>
      <c r="D35" s="24" t="s">
        <v>12</v>
      </c>
      <c r="E35" s="24" t="s">
        <v>27</v>
      </c>
      <c r="F35" s="26" t="s">
        <v>48</v>
      </c>
      <c r="G35" s="31" t="s">
        <v>36</v>
      </c>
      <c r="H35" s="22">
        <v>1300.5999999999999</v>
      </c>
      <c r="I35" s="22">
        <v>698.7</v>
      </c>
      <c r="J35" s="22">
        <v>698.7</v>
      </c>
    </row>
    <row r="36" spans="2:11" s="20" customFormat="1" ht="15" customHeight="1" x14ac:dyDescent="0.2">
      <c r="B36" s="42" t="s">
        <v>49</v>
      </c>
      <c r="C36" s="24" t="s">
        <v>10</v>
      </c>
      <c r="D36" s="24" t="s">
        <v>12</v>
      </c>
      <c r="E36" s="24" t="s">
        <v>27</v>
      </c>
      <c r="F36" s="26" t="s">
        <v>50</v>
      </c>
      <c r="G36" s="31"/>
      <c r="H36" s="22">
        <f>H37</f>
        <v>1311</v>
      </c>
      <c r="I36" s="22">
        <f t="shared" ref="I36:J38" si="3">I37</f>
        <v>800</v>
      </c>
      <c r="J36" s="22">
        <f t="shared" si="3"/>
        <v>800</v>
      </c>
      <c r="K36" s="39"/>
    </row>
    <row r="37" spans="2:11" s="20" customFormat="1" ht="40.5" customHeight="1" x14ac:dyDescent="0.2">
      <c r="B37" s="42" t="s">
        <v>51</v>
      </c>
      <c r="C37" s="24" t="s">
        <v>10</v>
      </c>
      <c r="D37" s="24" t="s">
        <v>12</v>
      </c>
      <c r="E37" s="24" t="s">
        <v>27</v>
      </c>
      <c r="F37" s="26" t="s">
        <v>52</v>
      </c>
      <c r="G37" s="31"/>
      <c r="H37" s="22">
        <f>H38</f>
        <v>1311</v>
      </c>
      <c r="I37" s="22">
        <f t="shared" si="3"/>
        <v>800</v>
      </c>
      <c r="J37" s="22">
        <f t="shared" si="3"/>
        <v>800</v>
      </c>
      <c r="K37" s="39"/>
    </row>
    <row r="38" spans="2:11" s="20" customFormat="1" ht="32.25" customHeight="1" x14ac:dyDescent="0.2">
      <c r="B38" s="23" t="s">
        <v>53</v>
      </c>
      <c r="C38" s="24" t="s">
        <v>10</v>
      </c>
      <c r="D38" s="24" t="s">
        <v>12</v>
      </c>
      <c r="E38" s="24" t="s">
        <v>27</v>
      </c>
      <c r="F38" s="26" t="s">
        <v>54</v>
      </c>
      <c r="G38" s="31"/>
      <c r="H38" s="22">
        <f>H39</f>
        <v>1311</v>
      </c>
      <c r="I38" s="22">
        <f t="shared" si="3"/>
        <v>800</v>
      </c>
      <c r="J38" s="22">
        <f t="shared" si="3"/>
        <v>800</v>
      </c>
      <c r="K38" s="39"/>
    </row>
    <row r="39" spans="2:11" s="20" customFormat="1" ht="24.75" customHeight="1" x14ac:dyDescent="0.2">
      <c r="B39" s="23" t="s">
        <v>35</v>
      </c>
      <c r="C39" s="24" t="s">
        <v>10</v>
      </c>
      <c r="D39" s="24" t="s">
        <v>12</v>
      </c>
      <c r="E39" s="24" t="s">
        <v>27</v>
      </c>
      <c r="F39" s="26" t="s">
        <v>54</v>
      </c>
      <c r="G39" s="31" t="s">
        <v>36</v>
      </c>
      <c r="H39" s="22">
        <f>1911-600</f>
        <v>1311</v>
      </c>
      <c r="I39" s="22">
        <v>800</v>
      </c>
      <c r="J39" s="22">
        <v>800</v>
      </c>
      <c r="K39" s="39"/>
    </row>
    <row r="40" spans="2:11" s="20" customFormat="1" ht="42" customHeight="1" x14ac:dyDescent="0.2">
      <c r="B40" s="43" t="s">
        <v>55</v>
      </c>
      <c r="C40" s="24" t="s">
        <v>10</v>
      </c>
      <c r="D40" s="24" t="s">
        <v>12</v>
      </c>
      <c r="E40" s="24" t="s">
        <v>27</v>
      </c>
      <c r="F40" s="34" t="s">
        <v>56</v>
      </c>
      <c r="G40" s="31"/>
      <c r="H40" s="22">
        <f t="shared" ref="H40:J42" si="4">H41</f>
        <v>852.8</v>
      </c>
      <c r="I40" s="22">
        <f t="shared" si="4"/>
        <v>852.8</v>
      </c>
      <c r="J40" s="22">
        <f t="shared" si="4"/>
        <v>852.8</v>
      </c>
    </row>
    <row r="41" spans="2:11" s="20" customFormat="1" ht="13.5" customHeight="1" x14ac:dyDescent="0.2">
      <c r="B41" s="44" t="s">
        <v>57</v>
      </c>
      <c r="C41" s="24" t="s">
        <v>10</v>
      </c>
      <c r="D41" s="24" t="s">
        <v>12</v>
      </c>
      <c r="E41" s="24" t="s">
        <v>27</v>
      </c>
      <c r="F41" s="26" t="s">
        <v>58</v>
      </c>
      <c r="G41" s="31"/>
      <c r="H41" s="22">
        <f t="shared" si="4"/>
        <v>852.8</v>
      </c>
      <c r="I41" s="22">
        <f t="shared" si="4"/>
        <v>852.8</v>
      </c>
      <c r="J41" s="22">
        <f t="shared" si="4"/>
        <v>852.8</v>
      </c>
    </row>
    <row r="42" spans="2:11" s="20" customFormat="1" ht="26.25" customHeight="1" x14ac:dyDescent="0.2">
      <c r="B42" s="44" t="s">
        <v>59</v>
      </c>
      <c r="C42" s="24" t="s">
        <v>10</v>
      </c>
      <c r="D42" s="24" t="s">
        <v>12</v>
      </c>
      <c r="E42" s="24" t="s">
        <v>27</v>
      </c>
      <c r="F42" s="26" t="s">
        <v>60</v>
      </c>
      <c r="G42" s="31"/>
      <c r="H42" s="22">
        <f t="shared" si="4"/>
        <v>852.8</v>
      </c>
      <c r="I42" s="22">
        <f t="shared" si="4"/>
        <v>852.8</v>
      </c>
      <c r="J42" s="22">
        <f t="shared" si="4"/>
        <v>852.8</v>
      </c>
    </row>
    <row r="43" spans="2:11" s="20" customFormat="1" ht="66" customHeight="1" x14ac:dyDescent="0.2">
      <c r="B43" s="45" t="s">
        <v>61</v>
      </c>
      <c r="C43" s="24" t="s">
        <v>10</v>
      </c>
      <c r="D43" s="24" t="s">
        <v>12</v>
      </c>
      <c r="E43" s="24" t="s">
        <v>27</v>
      </c>
      <c r="F43" s="34" t="s">
        <v>62</v>
      </c>
      <c r="G43" s="31"/>
      <c r="H43" s="22">
        <f>H44+H45</f>
        <v>852.8</v>
      </c>
      <c r="I43" s="22">
        <f>I44+I45</f>
        <v>852.8</v>
      </c>
      <c r="J43" s="22">
        <f>J44+J45</f>
        <v>852.8</v>
      </c>
    </row>
    <row r="44" spans="2:11" s="20" customFormat="1" ht="26.25" customHeight="1" x14ac:dyDescent="0.2">
      <c r="B44" s="45" t="s">
        <v>23</v>
      </c>
      <c r="C44" s="24" t="s">
        <v>10</v>
      </c>
      <c r="D44" s="24" t="s">
        <v>12</v>
      </c>
      <c r="E44" s="24" t="s">
        <v>27</v>
      </c>
      <c r="F44" s="34" t="s">
        <v>62</v>
      </c>
      <c r="G44" s="31" t="s">
        <v>24</v>
      </c>
      <c r="H44" s="22">
        <v>676.1</v>
      </c>
      <c r="I44" s="22">
        <v>676.1</v>
      </c>
      <c r="J44" s="22">
        <v>676.1</v>
      </c>
    </row>
    <row r="45" spans="2:11" s="20" customFormat="1" ht="26.25" customHeight="1" x14ac:dyDescent="0.2">
      <c r="B45" s="45" t="s">
        <v>35</v>
      </c>
      <c r="C45" s="24" t="s">
        <v>10</v>
      </c>
      <c r="D45" s="24" t="s">
        <v>12</v>
      </c>
      <c r="E45" s="24" t="s">
        <v>27</v>
      </c>
      <c r="F45" s="34" t="s">
        <v>62</v>
      </c>
      <c r="G45" s="31" t="s">
        <v>36</v>
      </c>
      <c r="H45" s="22">
        <f>176.7</f>
        <v>176.7</v>
      </c>
      <c r="I45" s="22">
        <f>176.7</f>
        <v>176.7</v>
      </c>
      <c r="J45" s="22">
        <f>176.7</f>
        <v>176.7</v>
      </c>
    </row>
    <row r="46" spans="2:11" s="20" customFormat="1" ht="27" customHeight="1" x14ac:dyDescent="0.2">
      <c r="B46" s="46" t="s">
        <v>63</v>
      </c>
      <c r="C46" s="24" t="s">
        <v>10</v>
      </c>
      <c r="D46" s="24" t="s">
        <v>12</v>
      </c>
      <c r="E46" s="24" t="s">
        <v>27</v>
      </c>
      <c r="F46" s="26" t="s">
        <v>64</v>
      </c>
      <c r="G46" s="31"/>
      <c r="H46" s="22">
        <f t="shared" ref="H46:J48" si="5">H47</f>
        <v>342.20000000000005</v>
      </c>
      <c r="I46" s="22">
        <f t="shared" si="5"/>
        <v>339.7</v>
      </c>
      <c r="J46" s="22">
        <f t="shared" si="5"/>
        <v>339.7</v>
      </c>
    </row>
    <row r="47" spans="2:11" s="20" customFormat="1" ht="16.5" customHeight="1" x14ac:dyDescent="0.2">
      <c r="B47" s="42" t="s">
        <v>65</v>
      </c>
      <c r="C47" s="24" t="s">
        <v>10</v>
      </c>
      <c r="D47" s="24" t="s">
        <v>12</v>
      </c>
      <c r="E47" s="24" t="s">
        <v>27</v>
      </c>
      <c r="F47" s="26" t="s">
        <v>66</v>
      </c>
      <c r="G47" s="31"/>
      <c r="H47" s="22">
        <f t="shared" si="5"/>
        <v>342.20000000000005</v>
      </c>
      <c r="I47" s="22">
        <f t="shared" si="5"/>
        <v>339.7</v>
      </c>
      <c r="J47" s="22">
        <f t="shared" si="5"/>
        <v>339.7</v>
      </c>
    </row>
    <row r="48" spans="2:11" s="20" customFormat="1" ht="26.25" customHeight="1" x14ac:dyDescent="0.2">
      <c r="B48" s="44" t="s">
        <v>67</v>
      </c>
      <c r="C48" s="24" t="s">
        <v>10</v>
      </c>
      <c r="D48" s="24" t="s">
        <v>12</v>
      </c>
      <c r="E48" s="24" t="s">
        <v>27</v>
      </c>
      <c r="F48" s="26" t="s">
        <v>68</v>
      </c>
      <c r="G48" s="31"/>
      <c r="H48" s="22">
        <f t="shared" si="5"/>
        <v>342.20000000000005</v>
      </c>
      <c r="I48" s="22">
        <f t="shared" si="5"/>
        <v>339.7</v>
      </c>
      <c r="J48" s="22">
        <f t="shared" si="5"/>
        <v>339.7</v>
      </c>
    </row>
    <row r="49" spans="2:10" s="20" customFormat="1" ht="50.25" customHeight="1" x14ac:dyDescent="0.2">
      <c r="B49" s="42" t="s">
        <v>69</v>
      </c>
      <c r="C49" s="24" t="s">
        <v>10</v>
      </c>
      <c r="D49" s="24" t="s">
        <v>12</v>
      </c>
      <c r="E49" s="24" t="s">
        <v>27</v>
      </c>
      <c r="F49" s="26" t="s">
        <v>70</v>
      </c>
      <c r="G49" s="24"/>
      <c r="H49" s="22">
        <f>H50+H51</f>
        <v>342.20000000000005</v>
      </c>
      <c r="I49" s="22">
        <f>I50+I51</f>
        <v>339.7</v>
      </c>
      <c r="J49" s="22">
        <f>J50+J51</f>
        <v>339.7</v>
      </c>
    </row>
    <row r="50" spans="2:10" s="20" customFormat="1" ht="26.25" customHeight="1" x14ac:dyDescent="0.2">
      <c r="B50" s="23" t="s">
        <v>23</v>
      </c>
      <c r="C50" s="24" t="s">
        <v>10</v>
      </c>
      <c r="D50" s="24" t="s">
        <v>12</v>
      </c>
      <c r="E50" s="24" t="s">
        <v>27</v>
      </c>
      <c r="F50" s="26" t="s">
        <v>70</v>
      </c>
      <c r="G50" s="24" t="s">
        <v>24</v>
      </c>
      <c r="H50" s="22">
        <v>229.3</v>
      </c>
      <c r="I50" s="22">
        <v>227.6</v>
      </c>
      <c r="J50" s="22">
        <v>227.6</v>
      </c>
    </row>
    <row r="51" spans="2:10" s="20" customFormat="1" ht="26.25" customHeight="1" x14ac:dyDescent="0.2">
      <c r="B51" s="23" t="s">
        <v>35</v>
      </c>
      <c r="C51" s="24" t="s">
        <v>10</v>
      </c>
      <c r="D51" s="24" t="s">
        <v>12</v>
      </c>
      <c r="E51" s="24" t="s">
        <v>27</v>
      </c>
      <c r="F51" s="26" t="s">
        <v>70</v>
      </c>
      <c r="G51" s="24" t="s">
        <v>36</v>
      </c>
      <c r="H51" s="22">
        <v>112.9</v>
      </c>
      <c r="I51" s="22">
        <v>112.1</v>
      </c>
      <c r="J51" s="22">
        <v>112.1</v>
      </c>
    </row>
    <row r="52" spans="2:10" s="20" customFormat="1" ht="13.5" customHeight="1" x14ac:dyDescent="0.2">
      <c r="B52" s="47" t="s">
        <v>71</v>
      </c>
      <c r="C52" s="18" t="s">
        <v>10</v>
      </c>
      <c r="D52" s="18" t="s">
        <v>12</v>
      </c>
      <c r="E52" s="18" t="s">
        <v>72</v>
      </c>
      <c r="F52" s="18"/>
      <c r="G52" s="18"/>
      <c r="H52" s="22">
        <f t="shared" ref="H52:J54" si="6">H53</f>
        <v>1.7</v>
      </c>
      <c r="I52" s="22">
        <f t="shared" si="6"/>
        <v>12.2</v>
      </c>
      <c r="J52" s="22">
        <f t="shared" si="6"/>
        <v>1.7</v>
      </c>
    </row>
    <row r="53" spans="2:10" s="20" customFormat="1" ht="13.5" customHeight="1" x14ac:dyDescent="0.2">
      <c r="B53" s="23" t="s">
        <v>73</v>
      </c>
      <c r="C53" s="24" t="s">
        <v>10</v>
      </c>
      <c r="D53" s="24" t="s">
        <v>12</v>
      </c>
      <c r="E53" s="24" t="s">
        <v>72</v>
      </c>
      <c r="F53" s="24" t="s">
        <v>74</v>
      </c>
      <c r="G53" s="24"/>
      <c r="H53" s="22">
        <f t="shared" si="6"/>
        <v>1.7</v>
      </c>
      <c r="I53" s="22">
        <f t="shared" si="6"/>
        <v>12.2</v>
      </c>
      <c r="J53" s="22">
        <f t="shared" si="6"/>
        <v>1.7</v>
      </c>
    </row>
    <row r="54" spans="2:10" s="20" customFormat="1" ht="38.25" customHeight="1" x14ac:dyDescent="0.2">
      <c r="B54" s="41" t="s">
        <v>75</v>
      </c>
      <c r="C54" s="24" t="s">
        <v>10</v>
      </c>
      <c r="D54" s="24" t="s">
        <v>12</v>
      </c>
      <c r="E54" s="24" t="s">
        <v>72</v>
      </c>
      <c r="F54" s="24" t="s">
        <v>76</v>
      </c>
      <c r="G54" s="24"/>
      <c r="H54" s="22">
        <f t="shared" si="6"/>
        <v>1.7</v>
      </c>
      <c r="I54" s="22">
        <f t="shared" si="6"/>
        <v>12.2</v>
      </c>
      <c r="J54" s="22">
        <f t="shared" si="6"/>
        <v>1.7</v>
      </c>
    </row>
    <row r="55" spans="2:10" s="20" customFormat="1" ht="24.75" customHeight="1" x14ac:dyDescent="0.2">
      <c r="B55" s="23" t="s">
        <v>35</v>
      </c>
      <c r="C55" s="24" t="s">
        <v>10</v>
      </c>
      <c r="D55" s="24" t="s">
        <v>12</v>
      </c>
      <c r="E55" s="24" t="s">
        <v>72</v>
      </c>
      <c r="F55" s="24" t="s">
        <v>76</v>
      </c>
      <c r="G55" s="24" t="s">
        <v>36</v>
      </c>
      <c r="H55" s="22">
        <v>1.7</v>
      </c>
      <c r="I55" s="22">
        <v>12.2</v>
      </c>
      <c r="J55" s="22">
        <v>1.7</v>
      </c>
    </row>
    <row r="56" spans="2:10" s="20" customFormat="1" x14ac:dyDescent="0.2">
      <c r="B56" s="17" t="s">
        <v>77</v>
      </c>
      <c r="C56" s="18" t="s">
        <v>10</v>
      </c>
      <c r="D56" s="18" t="s">
        <v>12</v>
      </c>
      <c r="E56" s="18" t="s">
        <v>78</v>
      </c>
      <c r="F56" s="18"/>
      <c r="G56" s="18"/>
      <c r="H56" s="22">
        <f t="shared" ref="H56:J58" si="7">H57</f>
        <v>1000</v>
      </c>
      <c r="I56" s="22">
        <f t="shared" si="7"/>
        <v>0</v>
      </c>
      <c r="J56" s="22">
        <f t="shared" si="7"/>
        <v>0</v>
      </c>
    </row>
    <row r="57" spans="2:10" s="20" customFormat="1" x14ac:dyDescent="0.2">
      <c r="B57" s="23" t="s">
        <v>77</v>
      </c>
      <c r="C57" s="24" t="s">
        <v>10</v>
      </c>
      <c r="D57" s="24" t="s">
        <v>12</v>
      </c>
      <c r="E57" s="24" t="s">
        <v>78</v>
      </c>
      <c r="F57" s="24" t="s">
        <v>79</v>
      </c>
      <c r="G57" s="18"/>
      <c r="H57" s="22">
        <f t="shared" si="7"/>
        <v>1000</v>
      </c>
      <c r="I57" s="22">
        <f t="shared" si="7"/>
        <v>0</v>
      </c>
      <c r="J57" s="22">
        <f t="shared" si="7"/>
        <v>0</v>
      </c>
    </row>
    <row r="58" spans="2:10" s="20" customFormat="1" x14ac:dyDescent="0.2">
      <c r="B58" s="23" t="s">
        <v>80</v>
      </c>
      <c r="C58" s="24" t="s">
        <v>10</v>
      </c>
      <c r="D58" s="24" t="s">
        <v>12</v>
      </c>
      <c r="E58" s="24" t="s">
        <v>78</v>
      </c>
      <c r="F58" s="24" t="s">
        <v>81</v>
      </c>
      <c r="G58" s="24"/>
      <c r="H58" s="22">
        <f t="shared" si="7"/>
        <v>1000</v>
      </c>
      <c r="I58" s="22">
        <f t="shared" si="7"/>
        <v>0</v>
      </c>
      <c r="J58" s="22">
        <f t="shared" si="7"/>
        <v>0</v>
      </c>
    </row>
    <row r="59" spans="2:10" s="20" customFormat="1" x14ac:dyDescent="0.2">
      <c r="B59" s="23" t="s">
        <v>82</v>
      </c>
      <c r="C59" s="24" t="s">
        <v>10</v>
      </c>
      <c r="D59" s="24" t="s">
        <v>12</v>
      </c>
      <c r="E59" s="24" t="s">
        <v>78</v>
      </c>
      <c r="F59" s="24" t="s">
        <v>81</v>
      </c>
      <c r="G59" s="24" t="s">
        <v>83</v>
      </c>
      <c r="H59" s="22">
        <v>1000</v>
      </c>
      <c r="I59" s="22">
        <v>0</v>
      </c>
      <c r="J59" s="22">
        <v>0</v>
      </c>
    </row>
    <row r="60" spans="2:10" s="20" customFormat="1" ht="12.75" customHeight="1" x14ac:dyDescent="0.2">
      <c r="B60" s="17" t="s">
        <v>84</v>
      </c>
      <c r="C60" s="18" t="s">
        <v>10</v>
      </c>
      <c r="D60" s="18" t="s">
        <v>12</v>
      </c>
      <c r="E60" s="18" t="s">
        <v>85</v>
      </c>
      <c r="F60" s="18"/>
      <c r="G60" s="18"/>
      <c r="H60" s="22">
        <f>H61+H82+H105+H66+H120</f>
        <v>4931.7999999999993</v>
      </c>
      <c r="I60" s="22">
        <f>I61+I82+I105+I66+I120</f>
        <v>4491.7999999999993</v>
      </c>
      <c r="J60" s="22">
        <f>J61+J82+J105+J66+J120</f>
        <v>4491.7999999999993</v>
      </c>
    </row>
    <row r="61" spans="2:10" s="20" customFormat="1" ht="27.75" customHeight="1" x14ac:dyDescent="0.2">
      <c r="B61" s="48" t="s">
        <v>86</v>
      </c>
      <c r="C61" s="24" t="s">
        <v>10</v>
      </c>
      <c r="D61" s="24" t="s">
        <v>12</v>
      </c>
      <c r="E61" s="24" t="s">
        <v>85</v>
      </c>
      <c r="F61" s="31" t="s">
        <v>87</v>
      </c>
      <c r="G61" s="24"/>
      <c r="H61" s="22">
        <f>H64+H62</f>
        <v>650</v>
      </c>
      <c r="I61" s="22">
        <f>I64+I62</f>
        <v>0</v>
      </c>
      <c r="J61" s="22">
        <f>J64+J62</f>
        <v>0</v>
      </c>
    </row>
    <row r="62" spans="2:10" s="20" customFormat="1" ht="26.25" hidden="1" customHeight="1" x14ac:dyDescent="0.2">
      <c r="B62" s="43" t="s">
        <v>88</v>
      </c>
      <c r="C62" s="24" t="s">
        <v>10</v>
      </c>
      <c r="D62" s="24" t="s">
        <v>12</v>
      </c>
      <c r="E62" s="24" t="s">
        <v>85</v>
      </c>
      <c r="F62" s="24" t="s">
        <v>89</v>
      </c>
      <c r="G62" s="24"/>
      <c r="H62" s="22">
        <f>H63</f>
        <v>0</v>
      </c>
      <c r="I62" s="22">
        <f>I63</f>
        <v>0</v>
      </c>
      <c r="J62" s="22">
        <f>J63</f>
        <v>0</v>
      </c>
    </row>
    <row r="63" spans="2:10" s="20" customFormat="1" ht="26.25" hidden="1" customHeight="1" x14ac:dyDescent="0.2">
      <c r="B63" s="23" t="s">
        <v>90</v>
      </c>
      <c r="C63" s="24" t="s">
        <v>10</v>
      </c>
      <c r="D63" s="24" t="s">
        <v>12</v>
      </c>
      <c r="E63" s="24" t="s">
        <v>85</v>
      </c>
      <c r="F63" s="24" t="s">
        <v>89</v>
      </c>
      <c r="G63" s="24" t="s">
        <v>36</v>
      </c>
      <c r="H63" s="22">
        <v>0</v>
      </c>
      <c r="I63" s="22">
        <v>0</v>
      </c>
      <c r="J63" s="22">
        <v>0</v>
      </c>
    </row>
    <row r="64" spans="2:10" s="20" customFormat="1" ht="25.5" customHeight="1" x14ac:dyDescent="0.2">
      <c r="B64" s="49" t="s">
        <v>91</v>
      </c>
      <c r="C64" s="24" t="s">
        <v>10</v>
      </c>
      <c r="D64" s="24" t="s">
        <v>12</v>
      </c>
      <c r="E64" s="24" t="s">
        <v>85</v>
      </c>
      <c r="F64" s="24" t="s">
        <v>92</v>
      </c>
      <c r="G64" s="24"/>
      <c r="H64" s="22">
        <f>H65</f>
        <v>650</v>
      </c>
      <c r="I64" s="22">
        <f>I65</f>
        <v>0</v>
      </c>
      <c r="J64" s="22">
        <f>J65</f>
        <v>0</v>
      </c>
    </row>
    <row r="65" spans="2:10" s="20" customFormat="1" ht="27" customHeight="1" x14ac:dyDescent="0.2">
      <c r="B65" s="23" t="s">
        <v>35</v>
      </c>
      <c r="C65" s="24" t="s">
        <v>10</v>
      </c>
      <c r="D65" s="24" t="s">
        <v>12</v>
      </c>
      <c r="E65" s="24" t="s">
        <v>85</v>
      </c>
      <c r="F65" s="24" t="s">
        <v>92</v>
      </c>
      <c r="G65" s="24" t="s">
        <v>36</v>
      </c>
      <c r="H65" s="22">
        <v>650</v>
      </c>
      <c r="I65" s="22">
        <v>0</v>
      </c>
      <c r="J65" s="22">
        <v>0</v>
      </c>
    </row>
    <row r="66" spans="2:10" s="20" customFormat="1" ht="39.75" customHeight="1" x14ac:dyDescent="0.2">
      <c r="B66" s="50" t="s">
        <v>93</v>
      </c>
      <c r="C66" s="24" t="s">
        <v>10</v>
      </c>
      <c r="D66" s="24" t="s">
        <v>12</v>
      </c>
      <c r="E66" s="24" t="s">
        <v>85</v>
      </c>
      <c r="F66" s="26" t="s">
        <v>29</v>
      </c>
      <c r="G66" s="24"/>
      <c r="H66" s="22">
        <f>H67+H78</f>
        <v>500.4</v>
      </c>
      <c r="I66" s="22">
        <f>I67+I78</f>
        <v>110.4</v>
      </c>
      <c r="J66" s="22">
        <f>J67+J78</f>
        <v>110.4</v>
      </c>
    </row>
    <row r="67" spans="2:10" s="20" customFormat="1" ht="20.25" customHeight="1" x14ac:dyDescent="0.2">
      <c r="B67" s="32" t="s">
        <v>49</v>
      </c>
      <c r="C67" s="24" t="s">
        <v>10</v>
      </c>
      <c r="D67" s="24" t="s">
        <v>12</v>
      </c>
      <c r="E67" s="24" t="s">
        <v>85</v>
      </c>
      <c r="F67" s="34" t="s">
        <v>94</v>
      </c>
      <c r="G67" s="51"/>
      <c r="H67" s="22">
        <f>H68+H71</f>
        <v>390</v>
      </c>
      <c r="I67" s="22">
        <f>I68+I71</f>
        <v>0</v>
      </c>
      <c r="J67" s="22">
        <f>J68+J71</f>
        <v>0</v>
      </c>
    </row>
    <row r="68" spans="2:10" s="20" customFormat="1" ht="30.75" customHeight="1" x14ac:dyDescent="0.2">
      <c r="B68" s="32" t="s">
        <v>95</v>
      </c>
      <c r="C68" s="24" t="s">
        <v>10</v>
      </c>
      <c r="D68" s="24" t="s">
        <v>12</v>
      </c>
      <c r="E68" s="24" t="s">
        <v>85</v>
      </c>
      <c r="F68" s="34" t="s">
        <v>96</v>
      </c>
      <c r="G68" s="51"/>
      <c r="H68" s="22">
        <f t="shared" ref="H68:J69" si="8">H69</f>
        <v>300</v>
      </c>
      <c r="I68" s="22">
        <f t="shared" si="8"/>
        <v>0</v>
      </c>
      <c r="J68" s="22">
        <f t="shared" si="8"/>
        <v>0</v>
      </c>
    </row>
    <row r="69" spans="2:10" s="20" customFormat="1" ht="27.75" customHeight="1" x14ac:dyDescent="0.2">
      <c r="B69" s="45" t="s">
        <v>97</v>
      </c>
      <c r="C69" s="24" t="s">
        <v>10</v>
      </c>
      <c r="D69" s="24" t="s">
        <v>12</v>
      </c>
      <c r="E69" s="24" t="s">
        <v>85</v>
      </c>
      <c r="F69" s="34" t="s">
        <v>98</v>
      </c>
      <c r="G69" s="51"/>
      <c r="H69" s="22">
        <f t="shared" si="8"/>
        <v>300</v>
      </c>
      <c r="I69" s="22">
        <f t="shared" si="8"/>
        <v>0</v>
      </c>
      <c r="J69" s="22">
        <f t="shared" si="8"/>
        <v>0</v>
      </c>
    </row>
    <row r="70" spans="2:10" s="20" customFormat="1" ht="39.75" customHeight="1" x14ac:dyDescent="0.2">
      <c r="B70" s="23" t="s">
        <v>99</v>
      </c>
      <c r="C70" s="24" t="s">
        <v>10</v>
      </c>
      <c r="D70" s="24" t="s">
        <v>12</v>
      </c>
      <c r="E70" s="24" t="s">
        <v>85</v>
      </c>
      <c r="F70" s="34" t="s">
        <v>98</v>
      </c>
      <c r="G70" s="51" t="s">
        <v>100</v>
      </c>
      <c r="H70" s="22">
        <v>300</v>
      </c>
      <c r="I70" s="22">
        <v>0</v>
      </c>
      <c r="J70" s="22">
        <v>0</v>
      </c>
    </row>
    <row r="71" spans="2:10" s="20" customFormat="1" ht="15" customHeight="1" x14ac:dyDescent="0.2">
      <c r="B71" s="32" t="s">
        <v>101</v>
      </c>
      <c r="C71" s="24" t="s">
        <v>10</v>
      </c>
      <c r="D71" s="24" t="s">
        <v>12</v>
      </c>
      <c r="E71" s="24" t="s">
        <v>85</v>
      </c>
      <c r="F71" s="34" t="s">
        <v>102</v>
      </c>
      <c r="G71" s="51"/>
      <c r="H71" s="22">
        <f>H72+H75</f>
        <v>90</v>
      </c>
      <c r="I71" s="22">
        <f>I72+I75</f>
        <v>0</v>
      </c>
      <c r="J71" s="22">
        <f>J72+J75</f>
        <v>0</v>
      </c>
    </row>
    <row r="72" spans="2:10" s="20" customFormat="1" ht="26.25" customHeight="1" x14ac:dyDescent="0.2">
      <c r="B72" s="23" t="s">
        <v>103</v>
      </c>
      <c r="C72" s="24" t="s">
        <v>10</v>
      </c>
      <c r="D72" s="24" t="s">
        <v>12</v>
      </c>
      <c r="E72" s="24" t="s">
        <v>85</v>
      </c>
      <c r="F72" s="26" t="s">
        <v>104</v>
      </c>
      <c r="G72" s="52"/>
      <c r="H72" s="22">
        <f>H73+H74</f>
        <v>90</v>
      </c>
      <c r="I72" s="22">
        <f>I73+I74</f>
        <v>0</v>
      </c>
      <c r="J72" s="22">
        <f>J73+J74</f>
        <v>0</v>
      </c>
    </row>
    <row r="73" spans="2:10" s="20" customFormat="1" ht="25.5" customHeight="1" x14ac:dyDescent="0.2">
      <c r="B73" s="41" t="s">
        <v>35</v>
      </c>
      <c r="C73" s="24" t="s">
        <v>10</v>
      </c>
      <c r="D73" s="24" t="s">
        <v>12</v>
      </c>
      <c r="E73" s="24" t="s">
        <v>85</v>
      </c>
      <c r="F73" s="26" t="s">
        <v>104</v>
      </c>
      <c r="G73" s="52" t="s">
        <v>36</v>
      </c>
      <c r="H73" s="22">
        <v>10</v>
      </c>
      <c r="I73" s="22">
        <v>0</v>
      </c>
      <c r="J73" s="22">
        <v>0</v>
      </c>
    </row>
    <row r="74" spans="2:10" s="20" customFormat="1" ht="16.5" customHeight="1" x14ac:dyDescent="0.2">
      <c r="B74" s="53" t="s">
        <v>105</v>
      </c>
      <c r="C74" s="24" t="s">
        <v>10</v>
      </c>
      <c r="D74" s="24" t="s">
        <v>12</v>
      </c>
      <c r="E74" s="24" t="s">
        <v>85</v>
      </c>
      <c r="F74" s="26" t="s">
        <v>104</v>
      </c>
      <c r="G74" s="52" t="s">
        <v>106</v>
      </c>
      <c r="H74" s="22">
        <v>80</v>
      </c>
      <c r="I74" s="22">
        <v>0</v>
      </c>
      <c r="J74" s="22">
        <v>0</v>
      </c>
    </row>
    <row r="75" spans="2:10" s="20" customFormat="1" ht="24.75" hidden="1" customHeight="1" x14ac:dyDescent="0.2">
      <c r="B75" s="23" t="s">
        <v>107</v>
      </c>
      <c r="C75" s="24" t="s">
        <v>10</v>
      </c>
      <c r="D75" s="24" t="s">
        <v>12</v>
      </c>
      <c r="E75" s="24" t="s">
        <v>85</v>
      </c>
      <c r="F75" s="26" t="s">
        <v>108</v>
      </c>
      <c r="G75" s="52"/>
      <c r="H75" s="22">
        <f t="shared" ref="H75:J76" si="9">H76</f>
        <v>0</v>
      </c>
      <c r="I75" s="22">
        <f t="shared" si="9"/>
        <v>0</v>
      </c>
      <c r="J75" s="22">
        <f t="shared" si="9"/>
        <v>0</v>
      </c>
    </row>
    <row r="76" spans="2:10" s="20" customFormat="1" ht="17.25" hidden="1" customHeight="1" x14ac:dyDescent="0.2">
      <c r="B76" s="54" t="s">
        <v>109</v>
      </c>
      <c r="C76" s="24" t="s">
        <v>10</v>
      </c>
      <c r="D76" s="24" t="s">
        <v>12</v>
      </c>
      <c r="E76" s="24" t="s">
        <v>85</v>
      </c>
      <c r="F76" s="26" t="s">
        <v>108</v>
      </c>
      <c r="G76" s="52"/>
      <c r="H76" s="22">
        <f t="shared" si="9"/>
        <v>0</v>
      </c>
      <c r="I76" s="22">
        <f t="shared" si="9"/>
        <v>0</v>
      </c>
      <c r="J76" s="22">
        <f t="shared" si="9"/>
        <v>0</v>
      </c>
    </row>
    <row r="77" spans="2:10" s="20" customFormat="1" ht="18" hidden="1" customHeight="1" x14ac:dyDescent="0.2">
      <c r="B77" s="53" t="s">
        <v>105</v>
      </c>
      <c r="C77" s="24" t="s">
        <v>10</v>
      </c>
      <c r="D77" s="24" t="s">
        <v>12</v>
      </c>
      <c r="E77" s="24" t="s">
        <v>85</v>
      </c>
      <c r="F77" s="26" t="s">
        <v>108</v>
      </c>
      <c r="G77" s="52" t="s">
        <v>106</v>
      </c>
      <c r="H77" s="22"/>
      <c r="I77" s="22"/>
      <c r="J77" s="22"/>
    </row>
    <row r="78" spans="2:10" s="20" customFormat="1" ht="18" customHeight="1" x14ac:dyDescent="0.2">
      <c r="B78" s="32" t="s">
        <v>17</v>
      </c>
      <c r="C78" s="24" t="s">
        <v>10</v>
      </c>
      <c r="D78" s="24" t="s">
        <v>12</v>
      </c>
      <c r="E78" s="24" t="s">
        <v>85</v>
      </c>
      <c r="F78" s="26" t="s">
        <v>30</v>
      </c>
      <c r="G78" s="52"/>
      <c r="H78" s="22">
        <f t="shared" ref="H78:J80" si="10">H79</f>
        <v>110.4</v>
      </c>
      <c r="I78" s="22">
        <f t="shared" si="10"/>
        <v>110.4</v>
      </c>
      <c r="J78" s="22">
        <f t="shared" si="10"/>
        <v>110.4</v>
      </c>
    </row>
    <row r="79" spans="2:10" s="20" customFormat="1" ht="28.5" customHeight="1" x14ac:dyDescent="0.2">
      <c r="B79" s="55" t="s">
        <v>110</v>
      </c>
      <c r="C79" s="24" t="s">
        <v>10</v>
      </c>
      <c r="D79" s="24" t="s">
        <v>12</v>
      </c>
      <c r="E79" s="24" t="s">
        <v>85</v>
      </c>
      <c r="F79" s="26" t="s">
        <v>111</v>
      </c>
      <c r="G79" s="52"/>
      <c r="H79" s="22">
        <f t="shared" si="10"/>
        <v>110.4</v>
      </c>
      <c r="I79" s="22">
        <f t="shared" si="10"/>
        <v>110.4</v>
      </c>
      <c r="J79" s="22">
        <f t="shared" si="10"/>
        <v>110.4</v>
      </c>
    </row>
    <row r="80" spans="2:10" s="20" customFormat="1" ht="25.5" customHeight="1" x14ac:dyDescent="0.2">
      <c r="B80" s="23" t="s">
        <v>112</v>
      </c>
      <c r="C80" s="24" t="s">
        <v>10</v>
      </c>
      <c r="D80" s="24" t="s">
        <v>12</v>
      </c>
      <c r="E80" s="24" t="s">
        <v>85</v>
      </c>
      <c r="F80" s="24" t="s">
        <v>113</v>
      </c>
      <c r="G80" s="51"/>
      <c r="H80" s="22">
        <f t="shared" si="10"/>
        <v>110.4</v>
      </c>
      <c r="I80" s="22">
        <f t="shared" si="10"/>
        <v>110.4</v>
      </c>
      <c r="J80" s="22">
        <f t="shared" si="10"/>
        <v>110.4</v>
      </c>
    </row>
    <row r="81" spans="2:11" s="20" customFormat="1" ht="18" customHeight="1" x14ac:dyDescent="0.2">
      <c r="B81" s="56" t="s">
        <v>114</v>
      </c>
      <c r="C81" s="24" t="s">
        <v>10</v>
      </c>
      <c r="D81" s="24" t="s">
        <v>12</v>
      </c>
      <c r="E81" s="24" t="s">
        <v>85</v>
      </c>
      <c r="F81" s="24" t="s">
        <v>113</v>
      </c>
      <c r="G81" s="51" t="s">
        <v>115</v>
      </c>
      <c r="H81" s="22">
        <v>110.4</v>
      </c>
      <c r="I81" s="22">
        <v>110.4</v>
      </c>
      <c r="J81" s="22">
        <v>110.4</v>
      </c>
      <c r="K81" s="39"/>
    </row>
    <row r="82" spans="2:11" s="57" customFormat="1" ht="27" customHeight="1" x14ac:dyDescent="0.2">
      <c r="B82" s="43" t="s">
        <v>116</v>
      </c>
      <c r="C82" s="24" t="s">
        <v>10</v>
      </c>
      <c r="D82" s="24" t="s">
        <v>12</v>
      </c>
      <c r="E82" s="24" t="s">
        <v>85</v>
      </c>
      <c r="F82" s="26" t="s">
        <v>16</v>
      </c>
      <c r="G82" s="24"/>
      <c r="H82" s="22">
        <f>H83</f>
        <v>3511.4</v>
      </c>
      <c r="I82" s="22">
        <f>I83</f>
        <v>3511.4</v>
      </c>
      <c r="J82" s="22">
        <f>J83</f>
        <v>3511.4</v>
      </c>
    </row>
    <row r="83" spans="2:11" s="57" customFormat="1" ht="15.75" customHeight="1" x14ac:dyDescent="0.2">
      <c r="B83" s="33" t="s">
        <v>17</v>
      </c>
      <c r="C83" s="24" t="s">
        <v>10</v>
      </c>
      <c r="D83" s="24" t="s">
        <v>12</v>
      </c>
      <c r="E83" s="24" t="s">
        <v>85</v>
      </c>
      <c r="F83" s="26" t="s">
        <v>18</v>
      </c>
      <c r="G83" s="24"/>
      <c r="H83" s="22">
        <f>H84+H87+H90+H93+H102+H96</f>
        <v>3511.4</v>
      </c>
      <c r="I83" s="22">
        <f>I84+I87+I90+I93+I102+I96</f>
        <v>3511.4</v>
      </c>
      <c r="J83" s="22">
        <f>J84+J87+J90+J93+J102+J96</f>
        <v>3511.4</v>
      </c>
    </row>
    <row r="84" spans="2:11" s="57" customFormat="1" ht="28.5" customHeight="1" x14ac:dyDescent="0.2">
      <c r="B84" s="33" t="s">
        <v>117</v>
      </c>
      <c r="C84" s="24" t="s">
        <v>10</v>
      </c>
      <c r="D84" s="24" t="s">
        <v>12</v>
      </c>
      <c r="E84" s="24" t="s">
        <v>85</v>
      </c>
      <c r="F84" s="26" t="s">
        <v>118</v>
      </c>
      <c r="G84" s="24"/>
      <c r="H84" s="22">
        <f t="shared" ref="H84:J85" si="11">H85</f>
        <v>390</v>
      </c>
      <c r="I84" s="22">
        <f t="shared" si="11"/>
        <v>390</v>
      </c>
      <c r="J84" s="22">
        <f t="shared" si="11"/>
        <v>390</v>
      </c>
    </row>
    <row r="85" spans="2:11" s="57" customFormat="1" ht="29.25" customHeight="1" x14ac:dyDescent="0.2">
      <c r="B85" s="23" t="s">
        <v>119</v>
      </c>
      <c r="C85" s="24" t="s">
        <v>10</v>
      </c>
      <c r="D85" s="24" t="s">
        <v>12</v>
      </c>
      <c r="E85" s="24" t="s">
        <v>85</v>
      </c>
      <c r="F85" s="26" t="s">
        <v>120</v>
      </c>
      <c r="G85" s="24"/>
      <c r="H85" s="22">
        <f t="shared" si="11"/>
        <v>390</v>
      </c>
      <c r="I85" s="22">
        <f t="shared" si="11"/>
        <v>390</v>
      </c>
      <c r="J85" s="22">
        <f t="shared" si="11"/>
        <v>390</v>
      </c>
    </row>
    <row r="86" spans="2:11" s="57" customFormat="1" ht="15.75" customHeight="1" x14ac:dyDescent="0.2">
      <c r="B86" s="58" t="s">
        <v>114</v>
      </c>
      <c r="C86" s="24" t="s">
        <v>10</v>
      </c>
      <c r="D86" s="24" t="s">
        <v>12</v>
      </c>
      <c r="E86" s="24" t="s">
        <v>85</v>
      </c>
      <c r="F86" s="26" t="s">
        <v>120</v>
      </c>
      <c r="G86" s="24" t="s">
        <v>115</v>
      </c>
      <c r="H86" s="22">
        <v>390</v>
      </c>
      <c r="I86" s="22">
        <v>390</v>
      </c>
      <c r="J86" s="22">
        <v>390</v>
      </c>
    </row>
    <row r="87" spans="2:11" s="57" customFormat="1" ht="30.75" customHeight="1" x14ac:dyDescent="0.2">
      <c r="B87" s="23" t="s">
        <v>121</v>
      </c>
      <c r="C87" s="24" t="s">
        <v>10</v>
      </c>
      <c r="D87" s="24" t="s">
        <v>12</v>
      </c>
      <c r="E87" s="24" t="s">
        <v>85</v>
      </c>
      <c r="F87" s="26" t="s">
        <v>122</v>
      </c>
      <c r="G87" s="24"/>
      <c r="H87" s="22">
        <f t="shared" ref="H87:J88" si="12">H88</f>
        <v>80</v>
      </c>
      <c r="I87" s="22">
        <f t="shared" si="12"/>
        <v>80</v>
      </c>
      <c r="J87" s="22">
        <f t="shared" si="12"/>
        <v>80</v>
      </c>
    </row>
    <row r="88" spans="2:11" s="57" customFormat="1" ht="18.75" customHeight="1" x14ac:dyDescent="0.2">
      <c r="B88" s="23" t="s">
        <v>123</v>
      </c>
      <c r="C88" s="24" t="s">
        <v>10</v>
      </c>
      <c r="D88" s="24" t="s">
        <v>12</v>
      </c>
      <c r="E88" s="24" t="s">
        <v>85</v>
      </c>
      <c r="F88" s="26" t="s">
        <v>124</v>
      </c>
      <c r="G88" s="24"/>
      <c r="H88" s="22">
        <f>H89</f>
        <v>80</v>
      </c>
      <c r="I88" s="22">
        <f t="shared" si="12"/>
        <v>80</v>
      </c>
      <c r="J88" s="22">
        <f t="shared" si="12"/>
        <v>80</v>
      </c>
    </row>
    <row r="89" spans="2:11" s="57" customFormat="1" ht="24.75" customHeight="1" x14ac:dyDescent="0.2">
      <c r="B89" s="23" t="s">
        <v>35</v>
      </c>
      <c r="C89" s="24" t="s">
        <v>10</v>
      </c>
      <c r="D89" s="24" t="s">
        <v>12</v>
      </c>
      <c r="E89" s="24" t="s">
        <v>85</v>
      </c>
      <c r="F89" s="26" t="s">
        <v>124</v>
      </c>
      <c r="G89" s="24" t="s">
        <v>36</v>
      </c>
      <c r="H89" s="22">
        <v>80</v>
      </c>
      <c r="I89" s="22">
        <v>80</v>
      </c>
      <c r="J89" s="22">
        <v>80</v>
      </c>
    </row>
    <row r="90" spans="2:11" s="57" customFormat="1" ht="24.75" customHeight="1" x14ac:dyDescent="0.2">
      <c r="B90" s="33" t="s">
        <v>125</v>
      </c>
      <c r="C90" s="24" t="s">
        <v>10</v>
      </c>
      <c r="D90" s="24" t="s">
        <v>12</v>
      </c>
      <c r="E90" s="24" t="s">
        <v>85</v>
      </c>
      <c r="F90" s="26" t="s">
        <v>126</v>
      </c>
      <c r="G90" s="24"/>
      <c r="H90" s="22">
        <f t="shared" ref="H90:J91" si="13">H91</f>
        <v>10</v>
      </c>
      <c r="I90" s="22">
        <f t="shared" si="13"/>
        <v>10</v>
      </c>
      <c r="J90" s="22">
        <f t="shared" si="13"/>
        <v>10</v>
      </c>
    </row>
    <row r="91" spans="2:11" s="57" customFormat="1" ht="26.25" customHeight="1" x14ac:dyDescent="0.2">
      <c r="B91" s="33" t="s">
        <v>127</v>
      </c>
      <c r="C91" s="24" t="s">
        <v>10</v>
      </c>
      <c r="D91" s="24" t="s">
        <v>12</v>
      </c>
      <c r="E91" s="24" t="s">
        <v>85</v>
      </c>
      <c r="F91" s="26" t="s">
        <v>128</v>
      </c>
      <c r="G91" s="24"/>
      <c r="H91" s="22">
        <f t="shared" si="13"/>
        <v>10</v>
      </c>
      <c r="I91" s="22">
        <f t="shared" si="13"/>
        <v>10</v>
      </c>
      <c r="J91" s="22">
        <f t="shared" si="13"/>
        <v>10</v>
      </c>
    </row>
    <row r="92" spans="2:11" s="57" customFormat="1" ht="27.75" customHeight="1" x14ac:dyDescent="0.2">
      <c r="B92" s="23" t="s">
        <v>35</v>
      </c>
      <c r="C92" s="24" t="s">
        <v>10</v>
      </c>
      <c r="D92" s="24" t="s">
        <v>12</v>
      </c>
      <c r="E92" s="24" t="s">
        <v>85</v>
      </c>
      <c r="F92" s="26" t="s">
        <v>128</v>
      </c>
      <c r="G92" s="24" t="s">
        <v>36</v>
      </c>
      <c r="H92" s="22">
        <v>10</v>
      </c>
      <c r="I92" s="22">
        <v>10</v>
      </c>
      <c r="J92" s="22">
        <v>10</v>
      </c>
    </row>
    <row r="93" spans="2:11" s="57" customFormat="1" ht="50.25" customHeight="1" x14ac:dyDescent="0.2">
      <c r="B93" s="44" t="s">
        <v>129</v>
      </c>
      <c r="C93" s="24" t="s">
        <v>10</v>
      </c>
      <c r="D93" s="24" t="s">
        <v>12</v>
      </c>
      <c r="E93" s="24" t="s">
        <v>85</v>
      </c>
      <c r="F93" s="26" t="s">
        <v>130</v>
      </c>
      <c r="G93" s="24"/>
      <c r="H93" s="22">
        <f>H94</f>
        <v>2744</v>
      </c>
      <c r="I93" s="22">
        <f>I94</f>
        <v>2744</v>
      </c>
      <c r="J93" s="22">
        <f>J94</f>
        <v>2744</v>
      </c>
    </row>
    <row r="94" spans="2:11" s="57" customFormat="1" ht="66.75" customHeight="1" x14ac:dyDescent="0.2">
      <c r="B94" s="49" t="s">
        <v>131</v>
      </c>
      <c r="C94" s="24" t="s">
        <v>10</v>
      </c>
      <c r="D94" s="24" t="s">
        <v>12</v>
      </c>
      <c r="E94" s="24" t="s">
        <v>85</v>
      </c>
      <c r="F94" s="26" t="s">
        <v>132</v>
      </c>
      <c r="G94" s="24"/>
      <c r="H94" s="22">
        <f>H95+H101</f>
        <v>2744</v>
      </c>
      <c r="I94" s="22">
        <f>I95+I101</f>
        <v>2744</v>
      </c>
      <c r="J94" s="22">
        <f>J95+J101</f>
        <v>2744</v>
      </c>
    </row>
    <row r="95" spans="2:11" s="57" customFormat="1" ht="14.25" customHeight="1" x14ac:dyDescent="0.2">
      <c r="B95" s="59" t="s">
        <v>133</v>
      </c>
      <c r="C95" s="24" t="s">
        <v>10</v>
      </c>
      <c r="D95" s="24" t="s">
        <v>12</v>
      </c>
      <c r="E95" s="24" t="s">
        <v>85</v>
      </c>
      <c r="F95" s="26" t="s">
        <v>132</v>
      </c>
      <c r="G95" s="24" t="s">
        <v>134</v>
      </c>
      <c r="H95" s="22">
        <v>2360.4</v>
      </c>
      <c r="I95" s="22">
        <v>2360.4</v>
      </c>
      <c r="J95" s="22">
        <v>2360.4</v>
      </c>
    </row>
    <row r="96" spans="2:11" s="57" customFormat="1" ht="29.25" customHeight="1" x14ac:dyDescent="0.2">
      <c r="B96" s="33" t="s">
        <v>19</v>
      </c>
      <c r="C96" s="24" t="s">
        <v>10</v>
      </c>
      <c r="D96" s="24" t="s">
        <v>12</v>
      </c>
      <c r="E96" s="24" t="s">
        <v>85</v>
      </c>
      <c r="F96" s="26" t="s">
        <v>20</v>
      </c>
      <c r="G96" s="31"/>
      <c r="H96" s="22">
        <f>H97+H99</f>
        <v>147</v>
      </c>
      <c r="I96" s="22">
        <f>I97+I99</f>
        <v>147</v>
      </c>
      <c r="J96" s="22">
        <f>J97+J99</f>
        <v>147</v>
      </c>
    </row>
    <row r="97" spans="2:11" s="57" customFormat="1" ht="15.75" customHeight="1" x14ac:dyDescent="0.2">
      <c r="B97" s="59" t="s">
        <v>135</v>
      </c>
      <c r="C97" s="24" t="s">
        <v>10</v>
      </c>
      <c r="D97" s="24" t="s">
        <v>12</v>
      </c>
      <c r="E97" s="24" t="s">
        <v>85</v>
      </c>
      <c r="F97" s="24" t="s">
        <v>136</v>
      </c>
      <c r="G97" s="31"/>
      <c r="H97" s="22">
        <f>H98</f>
        <v>138</v>
      </c>
      <c r="I97" s="22">
        <f>I98</f>
        <v>138</v>
      </c>
      <c r="J97" s="22">
        <f>J98</f>
        <v>138</v>
      </c>
    </row>
    <row r="98" spans="2:11" s="57" customFormat="1" ht="14.25" customHeight="1" x14ac:dyDescent="0.2">
      <c r="B98" s="23" t="s">
        <v>39</v>
      </c>
      <c r="C98" s="24" t="s">
        <v>10</v>
      </c>
      <c r="D98" s="24" t="s">
        <v>12</v>
      </c>
      <c r="E98" s="24" t="s">
        <v>85</v>
      </c>
      <c r="F98" s="24" t="s">
        <v>136</v>
      </c>
      <c r="G98" s="31" t="s">
        <v>36</v>
      </c>
      <c r="H98" s="22">
        <v>138</v>
      </c>
      <c r="I98" s="22">
        <v>138</v>
      </c>
      <c r="J98" s="22">
        <v>138</v>
      </c>
    </row>
    <row r="99" spans="2:11" s="57" customFormat="1" ht="18" customHeight="1" x14ac:dyDescent="0.2">
      <c r="B99" s="23" t="s">
        <v>137</v>
      </c>
      <c r="C99" s="24" t="s">
        <v>10</v>
      </c>
      <c r="D99" s="24" t="s">
        <v>12</v>
      </c>
      <c r="E99" s="24" t="s">
        <v>85</v>
      </c>
      <c r="F99" s="24" t="s">
        <v>138</v>
      </c>
      <c r="G99" s="31"/>
      <c r="H99" s="22">
        <f>H100</f>
        <v>9</v>
      </c>
      <c r="I99" s="22">
        <f>I100</f>
        <v>9</v>
      </c>
      <c r="J99" s="22">
        <f>J100</f>
        <v>9</v>
      </c>
    </row>
    <row r="100" spans="2:11" s="57" customFormat="1" ht="15.75" customHeight="1" x14ac:dyDescent="0.2">
      <c r="B100" s="23" t="s">
        <v>39</v>
      </c>
      <c r="C100" s="24" t="s">
        <v>10</v>
      </c>
      <c r="D100" s="24" t="s">
        <v>12</v>
      </c>
      <c r="E100" s="24" t="s">
        <v>85</v>
      </c>
      <c r="F100" s="24" t="s">
        <v>138</v>
      </c>
      <c r="G100" s="31" t="s">
        <v>36</v>
      </c>
      <c r="H100" s="22">
        <v>9</v>
      </c>
      <c r="I100" s="22">
        <v>9</v>
      </c>
      <c r="J100" s="22">
        <v>9</v>
      </c>
    </row>
    <row r="101" spans="2:11" s="57" customFormat="1" ht="29.25" customHeight="1" x14ac:dyDescent="0.2">
      <c r="B101" s="23" t="s">
        <v>35</v>
      </c>
      <c r="C101" s="24" t="s">
        <v>10</v>
      </c>
      <c r="D101" s="24" t="s">
        <v>12</v>
      </c>
      <c r="E101" s="24" t="s">
        <v>85</v>
      </c>
      <c r="F101" s="26" t="s">
        <v>132</v>
      </c>
      <c r="G101" s="24" t="s">
        <v>36</v>
      </c>
      <c r="H101" s="22">
        <v>383.6</v>
      </c>
      <c r="I101" s="22">
        <v>383.6</v>
      </c>
      <c r="J101" s="22">
        <v>383.6</v>
      </c>
    </row>
    <row r="102" spans="2:11" s="57" customFormat="1" ht="27.75" customHeight="1" x14ac:dyDescent="0.2">
      <c r="B102" s="42" t="s">
        <v>139</v>
      </c>
      <c r="C102" s="24" t="s">
        <v>10</v>
      </c>
      <c r="D102" s="24" t="s">
        <v>12</v>
      </c>
      <c r="E102" s="24" t="s">
        <v>85</v>
      </c>
      <c r="F102" s="26" t="s">
        <v>140</v>
      </c>
      <c r="G102" s="52"/>
      <c r="H102" s="22">
        <f t="shared" ref="H102:J103" si="14">H103</f>
        <v>140.4</v>
      </c>
      <c r="I102" s="22">
        <f t="shared" si="14"/>
        <v>140.4</v>
      </c>
      <c r="J102" s="22">
        <f t="shared" si="14"/>
        <v>140.4</v>
      </c>
      <c r="K102" s="39"/>
    </row>
    <row r="103" spans="2:11" s="57" customFormat="1" ht="16.5" customHeight="1" x14ac:dyDescent="0.2">
      <c r="B103" s="54" t="s">
        <v>141</v>
      </c>
      <c r="C103" s="24" t="s">
        <v>10</v>
      </c>
      <c r="D103" s="24" t="s">
        <v>12</v>
      </c>
      <c r="E103" s="24" t="s">
        <v>85</v>
      </c>
      <c r="F103" s="26" t="s">
        <v>142</v>
      </c>
      <c r="G103" s="52"/>
      <c r="H103" s="22">
        <f t="shared" si="14"/>
        <v>140.4</v>
      </c>
      <c r="I103" s="22">
        <f t="shared" si="14"/>
        <v>140.4</v>
      </c>
      <c r="J103" s="22">
        <f t="shared" si="14"/>
        <v>140.4</v>
      </c>
      <c r="K103" s="39"/>
    </row>
    <row r="104" spans="2:11" s="57" customFormat="1" ht="29.25" customHeight="1" x14ac:dyDescent="0.2">
      <c r="B104" s="54" t="s">
        <v>90</v>
      </c>
      <c r="C104" s="24" t="s">
        <v>10</v>
      </c>
      <c r="D104" s="24" t="s">
        <v>12</v>
      </c>
      <c r="E104" s="24" t="s">
        <v>85</v>
      </c>
      <c r="F104" s="26" t="s">
        <v>142</v>
      </c>
      <c r="G104" s="52" t="s">
        <v>36</v>
      </c>
      <c r="H104" s="22">
        <v>140.4</v>
      </c>
      <c r="I104" s="22">
        <v>140.4</v>
      </c>
      <c r="J104" s="22">
        <v>140.4</v>
      </c>
      <c r="K104" s="39"/>
    </row>
    <row r="105" spans="2:11" s="57" customFormat="1" ht="40.5" customHeight="1" x14ac:dyDescent="0.2">
      <c r="B105" s="23" t="s">
        <v>143</v>
      </c>
      <c r="C105" s="24" t="s">
        <v>10</v>
      </c>
      <c r="D105" s="24" t="s">
        <v>12</v>
      </c>
      <c r="E105" s="24" t="s">
        <v>85</v>
      </c>
      <c r="F105" s="26" t="s">
        <v>144</v>
      </c>
      <c r="G105" s="24"/>
      <c r="H105" s="22">
        <f>H106+H112</f>
        <v>240</v>
      </c>
      <c r="I105" s="22">
        <f>I106+I112</f>
        <v>840</v>
      </c>
      <c r="J105" s="22">
        <f>J106+J112</f>
        <v>840</v>
      </c>
    </row>
    <row r="106" spans="2:11" s="57" customFormat="1" ht="17.25" hidden="1" customHeight="1" x14ac:dyDescent="0.2">
      <c r="B106" s="42" t="s">
        <v>49</v>
      </c>
      <c r="C106" s="24" t="s">
        <v>10</v>
      </c>
      <c r="D106" s="24" t="s">
        <v>12</v>
      </c>
      <c r="E106" s="24" t="s">
        <v>85</v>
      </c>
      <c r="F106" s="26" t="s">
        <v>145</v>
      </c>
      <c r="G106" s="52"/>
      <c r="H106" s="22">
        <f t="shared" ref="H106:J107" si="15">H107</f>
        <v>0</v>
      </c>
      <c r="I106" s="22">
        <f t="shared" si="15"/>
        <v>0</v>
      </c>
      <c r="J106" s="22">
        <f t="shared" si="15"/>
        <v>0</v>
      </c>
      <c r="K106" s="20"/>
    </row>
    <row r="107" spans="2:11" s="57" customFormat="1" ht="27" hidden="1" customHeight="1" x14ac:dyDescent="0.2">
      <c r="B107" s="42" t="s">
        <v>146</v>
      </c>
      <c r="C107" s="24" t="s">
        <v>10</v>
      </c>
      <c r="D107" s="24" t="s">
        <v>12</v>
      </c>
      <c r="E107" s="24" t="s">
        <v>85</v>
      </c>
      <c r="F107" s="26" t="s">
        <v>147</v>
      </c>
      <c r="G107" s="52"/>
      <c r="H107" s="22">
        <f t="shared" si="15"/>
        <v>0</v>
      </c>
      <c r="I107" s="22">
        <f t="shared" si="15"/>
        <v>0</v>
      </c>
      <c r="J107" s="22">
        <f t="shared" si="15"/>
        <v>0</v>
      </c>
      <c r="K107" s="20"/>
    </row>
    <row r="108" spans="2:11" s="57" customFormat="1" ht="27" hidden="1" customHeight="1" x14ac:dyDescent="0.2">
      <c r="B108" s="42" t="s">
        <v>148</v>
      </c>
      <c r="C108" s="24" t="s">
        <v>10</v>
      </c>
      <c r="D108" s="24" t="s">
        <v>12</v>
      </c>
      <c r="E108" s="24" t="s">
        <v>85</v>
      </c>
      <c r="F108" s="26" t="s">
        <v>149</v>
      </c>
      <c r="G108" s="52"/>
      <c r="H108" s="22">
        <f>H109+H110+H111</f>
        <v>0</v>
      </c>
      <c r="I108" s="22">
        <f>I109+I110+I111</f>
        <v>0</v>
      </c>
      <c r="J108" s="22">
        <f>J109+J110+J111</f>
        <v>0</v>
      </c>
      <c r="K108" s="20"/>
    </row>
    <row r="109" spans="2:11" s="57" customFormat="1" ht="27" hidden="1" customHeight="1" x14ac:dyDescent="0.2">
      <c r="B109" s="23" t="s">
        <v>35</v>
      </c>
      <c r="C109" s="24" t="s">
        <v>10</v>
      </c>
      <c r="D109" s="24" t="s">
        <v>12</v>
      </c>
      <c r="E109" s="24" t="s">
        <v>85</v>
      </c>
      <c r="F109" s="26" t="s">
        <v>149</v>
      </c>
      <c r="G109" s="52" t="s">
        <v>36</v>
      </c>
      <c r="H109" s="22"/>
      <c r="I109" s="22"/>
      <c r="J109" s="22"/>
      <c r="K109" s="20"/>
    </row>
    <row r="110" spans="2:11" s="57" customFormat="1" ht="14.25" hidden="1" customHeight="1" x14ac:dyDescent="0.2">
      <c r="B110" s="53" t="s">
        <v>150</v>
      </c>
      <c r="C110" s="24" t="s">
        <v>10</v>
      </c>
      <c r="D110" s="24" t="s">
        <v>12</v>
      </c>
      <c r="E110" s="24" t="s">
        <v>85</v>
      </c>
      <c r="F110" s="26" t="s">
        <v>149</v>
      </c>
      <c r="G110" s="52" t="s">
        <v>106</v>
      </c>
      <c r="H110" s="22"/>
      <c r="I110" s="22"/>
      <c r="J110" s="22"/>
      <c r="K110" s="20"/>
    </row>
    <row r="111" spans="2:11" s="57" customFormat="1" ht="18" hidden="1" customHeight="1" x14ac:dyDescent="0.2">
      <c r="B111" s="60" t="s">
        <v>151</v>
      </c>
      <c r="C111" s="24" t="s">
        <v>10</v>
      </c>
      <c r="D111" s="24" t="s">
        <v>12</v>
      </c>
      <c r="E111" s="24" t="s">
        <v>85</v>
      </c>
      <c r="F111" s="26" t="s">
        <v>149</v>
      </c>
      <c r="G111" s="52" t="s">
        <v>152</v>
      </c>
      <c r="H111" s="22"/>
      <c r="I111" s="22"/>
      <c r="J111" s="22"/>
      <c r="K111" s="20"/>
    </row>
    <row r="112" spans="2:11" s="57" customFormat="1" ht="17.25" customHeight="1" x14ac:dyDescent="0.2">
      <c r="B112" s="42" t="s">
        <v>17</v>
      </c>
      <c r="C112" s="24" t="s">
        <v>10</v>
      </c>
      <c r="D112" s="24" t="s">
        <v>12</v>
      </c>
      <c r="E112" s="24" t="s">
        <v>85</v>
      </c>
      <c r="F112" s="26" t="s">
        <v>153</v>
      </c>
      <c r="G112" s="24"/>
      <c r="H112" s="22">
        <f>H113+H116</f>
        <v>240</v>
      </c>
      <c r="I112" s="22">
        <f>I113+I116</f>
        <v>840</v>
      </c>
      <c r="J112" s="22">
        <f>J113+J116</f>
        <v>840</v>
      </c>
    </row>
    <row r="113" spans="2:11" s="57" customFormat="1" ht="39.75" hidden="1" customHeight="1" x14ac:dyDescent="0.2">
      <c r="B113" s="42" t="s">
        <v>154</v>
      </c>
      <c r="C113" s="24" t="s">
        <v>10</v>
      </c>
      <c r="D113" s="24" t="s">
        <v>12</v>
      </c>
      <c r="E113" s="24" t="s">
        <v>85</v>
      </c>
      <c r="F113" s="26" t="s">
        <v>155</v>
      </c>
      <c r="G113" s="24"/>
      <c r="H113" s="22">
        <f t="shared" ref="H113:J114" si="16">H114</f>
        <v>0</v>
      </c>
      <c r="I113" s="22">
        <f t="shared" si="16"/>
        <v>0</v>
      </c>
      <c r="J113" s="22">
        <f t="shared" si="16"/>
        <v>0</v>
      </c>
    </row>
    <row r="114" spans="2:11" s="57" customFormat="1" ht="15" hidden="1" customHeight="1" x14ac:dyDescent="0.2">
      <c r="B114" s="53" t="s">
        <v>156</v>
      </c>
      <c r="C114" s="24" t="s">
        <v>10</v>
      </c>
      <c r="D114" s="24" t="s">
        <v>12</v>
      </c>
      <c r="E114" s="24" t="s">
        <v>85</v>
      </c>
      <c r="F114" s="26" t="s">
        <v>157</v>
      </c>
      <c r="G114" s="24"/>
      <c r="H114" s="22">
        <f t="shared" si="16"/>
        <v>0</v>
      </c>
      <c r="I114" s="22">
        <f t="shared" si="16"/>
        <v>0</v>
      </c>
      <c r="J114" s="22">
        <f t="shared" si="16"/>
        <v>0</v>
      </c>
    </row>
    <row r="115" spans="2:11" s="57" customFormat="1" ht="27" hidden="1" customHeight="1" x14ac:dyDescent="0.2">
      <c r="B115" s="23" t="s">
        <v>35</v>
      </c>
      <c r="C115" s="24" t="s">
        <v>10</v>
      </c>
      <c r="D115" s="24" t="s">
        <v>12</v>
      </c>
      <c r="E115" s="24" t="s">
        <v>85</v>
      </c>
      <c r="F115" s="26" t="s">
        <v>157</v>
      </c>
      <c r="G115" s="24" t="s">
        <v>36</v>
      </c>
      <c r="H115" s="22">
        <v>0</v>
      </c>
      <c r="I115" s="22">
        <v>0</v>
      </c>
      <c r="J115" s="22">
        <v>0</v>
      </c>
    </row>
    <row r="116" spans="2:11" s="57" customFormat="1" ht="27" customHeight="1" x14ac:dyDescent="0.2">
      <c r="B116" s="42" t="s">
        <v>158</v>
      </c>
      <c r="C116" s="24" t="s">
        <v>10</v>
      </c>
      <c r="D116" s="24" t="s">
        <v>12</v>
      </c>
      <c r="E116" s="24" t="s">
        <v>85</v>
      </c>
      <c r="F116" s="26" t="s">
        <v>159</v>
      </c>
      <c r="G116" s="52"/>
      <c r="H116" s="22">
        <f>H117</f>
        <v>240</v>
      </c>
      <c r="I116" s="22">
        <f>I117</f>
        <v>840</v>
      </c>
      <c r="J116" s="22">
        <f>J117</f>
        <v>840</v>
      </c>
      <c r="K116" s="20"/>
    </row>
    <row r="117" spans="2:11" s="57" customFormat="1" ht="28.5" customHeight="1" x14ac:dyDescent="0.2">
      <c r="B117" s="42" t="s">
        <v>148</v>
      </c>
      <c r="C117" s="24" t="s">
        <v>10</v>
      </c>
      <c r="D117" s="24" t="s">
        <v>12</v>
      </c>
      <c r="E117" s="24" t="s">
        <v>85</v>
      </c>
      <c r="F117" s="26" t="s">
        <v>160</v>
      </c>
      <c r="G117" s="52"/>
      <c r="H117" s="22">
        <f>H118+H119</f>
        <v>240</v>
      </c>
      <c r="I117" s="22">
        <f>I118+I119</f>
        <v>840</v>
      </c>
      <c r="J117" s="22">
        <f>J118+J119</f>
        <v>840</v>
      </c>
      <c r="K117" s="20"/>
    </row>
    <row r="118" spans="2:11" s="57" customFormat="1" ht="13.5" customHeight="1" x14ac:dyDescent="0.2">
      <c r="B118" s="53" t="s">
        <v>150</v>
      </c>
      <c r="C118" s="24" t="s">
        <v>10</v>
      </c>
      <c r="D118" s="24" t="s">
        <v>12</v>
      </c>
      <c r="E118" s="24" t="s">
        <v>85</v>
      </c>
      <c r="F118" s="26" t="s">
        <v>160</v>
      </c>
      <c r="G118" s="52" t="s">
        <v>106</v>
      </c>
      <c r="H118" s="22">
        <f>340-200</f>
        <v>140</v>
      </c>
      <c r="I118" s="22">
        <v>340</v>
      </c>
      <c r="J118" s="61">
        <v>340</v>
      </c>
      <c r="K118" s="62"/>
    </row>
    <row r="119" spans="2:11" s="57" customFormat="1" ht="16.5" customHeight="1" x14ac:dyDescent="0.2">
      <c r="B119" s="60" t="s">
        <v>151</v>
      </c>
      <c r="C119" s="24" t="s">
        <v>10</v>
      </c>
      <c r="D119" s="24" t="s">
        <v>12</v>
      </c>
      <c r="E119" s="24" t="s">
        <v>85</v>
      </c>
      <c r="F119" s="26" t="s">
        <v>160</v>
      </c>
      <c r="G119" s="52" t="s">
        <v>152</v>
      </c>
      <c r="H119" s="22">
        <f>500-500+100</f>
        <v>100</v>
      </c>
      <c r="I119" s="22">
        <v>500</v>
      </c>
      <c r="J119" s="61">
        <v>500</v>
      </c>
      <c r="K119" s="62"/>
    </row>
    <row r="120" spans="2:11" s="57" customFormat="1" ht="42.75" customHeight="1" x14ac:dyDescent="0.2">
      <c r="B120" s="23" t="s">
        <v>55</v>
      </c>
      <c r="C120" s="24" t="s">
        <v>10</v>
      </c>
      <c r="D120" s="24" t="s">
        <v>12</v>
      </c>
      <c r="E120" s="24" t="s">
        <v>85</v>
      </c>
      <c r="F120" s="26" t="s">
        <v>56</v>
      </c>
      <c r="G120" s="24"/>
      <c r="H120" s="22">
        <f t="shared" ref="H120:J123" si="17">H121</f>
        <v>30</v>
      </c>
      <c r="I120" s="22">
        <f t="shared" si="17"/>
        <v>30</v>
      </c>
      <c r="J120" s="22">
        <f t="shared" si="17"/>
        <v>30</v>
      </c>
    </row>
    <row r="121" spans="2:11" s="57" customFormat="1" ht="15.75" customHeight="1" x14ac:dyDescent="0.2">
      <c r="B121" s="23" t="s">
        <v>17</v>
      </c>
      <c r="C121" s="24" t="s">
        <v>10</v>
      </c>
      <c r="D121" s="24" t="s">
        <v>12</v>
      </c>
      <c r="E121" s="24" t="s">
        <v>85</v>
      </c>
      <c r="F121" s="26" t="s">
        <v>58</v>
      </c>
      <c r="G121" s="24"/>
      <c r="H121" s="22">
        <f t="shared" si="17"/>
        <v>30</v>
      </c>
      <c r="I121" s="22">
        <f t="shared" si="17"/>
        <v>30</v>
      </c>
      <c r="J121" s="22">
        <f t="shared" si="17"/>
        <v>30</v>
      </c>
    </row>
    <row r="122" spans="2:11" s="57" customFormat="1" ht="30" customHeight="1" x14ac:dyDescent="0.2">
      <c r="B122" s="23" t="s">
        <v>161</v>
      </c>
      <c r="C122" s="24" t="s">
        <v>10</v>
      </c>
      <c r="D122" s="24" t="s">
        <v>12</v>
      </c>
      <c r="E122" s="24" t="s">
        <v>85</v>
      </c>
      <c r="F122" s="26" t="s">
        <v>162</v>
      </c>
      <c r="G122" s="24"/>
      <c r="H122" s="22">
        <f t="shared" si="17"/>
        <v>30</v>
      </c>
      <c r="I122" s="22">
        <f t="shared" si="17"/>
        <v>30</v>
      </c>
      <c r="J122" s="22">
        <f t="shared" si="17"/>
        <v>30</v>
      </c>
      <c r="K122" s="39"/>
    </row>
    <row r="123" spans="2:11" s="57" customFormat="1" ht="55.5" customHeight="1" x14ac:dyDescent="0.2">
      <c r="B123" s="23" t="s">
        <v>163</v>
      </c>
      <c r="C123" s="24" t="s">
        <v>10</v>
      </c>
      <c r="D123" s="24" t="s">
        <v>12</v>
      </c>
      <c r="E123" s="24" t="s">
        <v>85</v>
      </c>
      <c r="F123" s="26" t="s">
        <v>164</v>
      </c>
      <c r="G123" s="24"/>
      <c r="H123" s="22">
        <f>H124</f>
        <v>30</v>
      </c>
      <c r="I123" s="22">
        <f t="shared" si="17"/>
        <v>30</v>
      </c>
      <c r="J123" s="22">
        <f t="shared" si="17"/>
        <v>30</v>
      </c>
      <c r="K123" s="39"/>
    </row>
    <row r="124" spans="2:11" s="57" customFormat="1" ht="24.75" customHeight="1" x14ac:dyDescent="0.2">
      <c r="B124" s="23" t="s">
        <v>35</v>
      </c>
      <c r="C124" s="24" t="s">
        <v>10</v>
      </c>
      <c r="D124" s="24" t="s">
        <v>12</v>
      </c>
      <c r="E124" s="24" t="s">
        <v>85</v>
      </c>
      <c r="F124" s="26" t="s">
        <v>164</v>
      </c>
      <c r="G124" s="52" t="s">
        <v>36</v>
      </c>
      <c r="H124" s="22">
        <f>10+20</f>
        <v>30</v>
      </c>
      <c r="I124" s="22">
        <f>10+20</f>
        <v>30</v>
      </c>
      <c r="J124" s="22">
        <f>10+20</f>
        <v>30</v>
      </c>
      <c r="K124" s="39"/>
    </row>
    <row r="125" spans="2:11" s="57" customFormat="1" ht="17.25" hidden="1" customHeight="1" x14ac:dyDescent="0.2">
      <c r="B125" s="17" t="s">
        <v>165</v>
      </c>
      <c r="C125" s="18" t="s">
        <v>10</v>
      </c>
      <c r="D125" s="18" t="s">
        <v>14</v>
      </c>
      <c r="E125" s="18"/>
      <c r="F125" s="26"/>
      <c r="G125" s="24"/>
      <c r="H125" s="19">
        <f t="shared" ref="H125:J130" si="18">H126</f>
        <v>0</v>
      </c>
      <c r="I125" s="19">
        <f t="shared" si="18"/>
        <v>0</v>
      </c>
      <c r="J125" s="19">
        <f t="shared" si="18"/>
        <v>0</v>
      </c>
    </row>
    <row r="126" spans="2:11" s="57" customFormat="1" ht="19.5" hidden="1" customHeight="1" x14ac:dyDescent="0.2">
      <c r="B126" s="17" t="s">
        <v>166</v>
      </c>
      <c r="C126" s="18" t="s">
        <v>10</v>
      </c>
      <c r="D126" s="18" t="s">
        <v>14</v>
      </c>
      <c r="E126" s="18" t="s">
        <v>167</v>
      </c>
      <c r="F126" s="26"/>
      <c r="G126" s="24"/>
      <c r="H126" s="22">
        <f t="shared" si="18"/>
        <v>0</v>
      </c>
      <c r="I126" s="22">
        <f t="shared" si="18"/>
        <v>0</v>
      </c>
      <c r="J126" s="22">
        <f t="shared" si="18"/>
        <v>0</v>
      </c>
    </row>
    <row r="127" spans="2:11" s="57" customFormat="1" ht="27" hidden="1" customHeight="1" x14ac:dyDescent="0.2">
      <c r="B127" s="23" t="s">
        <v>15</v>
      </c>
      <c r="C127" s="37" t="s">
        <v>10</v>
      </c>
      <c r="D127" s="37" t="s">
        <v>14</v>
      </c>
      <c r="E127" s="37" t="s">
        <v>167</v>
      </c>
      <c r="F127" s="37" t="s">
        <v>16</v>
      </c>
      <c r="G127" s="24"/>
      <c r="H127" s="22">
        <f t="shared" si="18"/>
        <v>0</v>
      </c>
      <c r="I127" s="22">
        <f t="shared" si="18"/>
        <v>0</v>
      </c>
      <c r="J127" s="22">
        <f t="shared" si="18"/>
        <v>0</v>
      </c>
    </row>
    <row r="128" spans="2:11" s="57" customFormat="1" ht="17.25" hidden="1" customHeight="1" x14ac:dyDescent="0.2">
      <c r="B128" s="33" t="s">
        <v>57</v>
      </c>
      <c r="C128" s="37" t="s">
        <v>10</v>
      </c>
      <c r="D128" s="37" t="s">
        <v>14</v>
      </c>
      <c r="E128" s="37" t="s">
        <v>167</v>
      </c>
      <c r="F128" s="38" t="s">
        <v>18</v>
      </c>
      <c r="G128" s="24"/>
      <c r="H128" s="22">
        <f t="shared" si="18"/>
        <v>0</v>
      </c>
      <c r="I128" s="22">
        <f t="shared" si="18"/>
        <v>0</v>
      </c>
      <c r="J128" s="22">
        <f t="shared" si="18"/>
        <v>0</v>
      </c>
    </row>
    <row r="129" spans="2:11" s="57" customFormat="1" ht="27.75" hidden="1" customHeight="1" x14ac:dyDescent="0.2">
      <c r="B129" s="33" t="s">
        <v>19</v>
      </c>
      <c r="C129" s="37" t="s">
        <v>10</v>
      </c>
      <c r="D129" s="37" t="s">
        <v>14</v>
      </c>
      <c r="E129" s="37" t="s">
        <v>167</v>
      </c>
      <c r="F129" s="38" t="s">
        <v>20</v>
      </c>
      <c r="G129" s="24"/>
      <c r="H129" s="22">
        <f t="shared" si="18"/>
        <v>0</v>
      </c>
      <c r="I129" s="22">
        <f t="shared" si="18"/>
        <v>0</v>
      </c>
      <c r="J129" s="22">
        <f t="shared" si="18"/>
        <v>0</v>
      </c>
    </row>
    <row r="130" spans="2:11" s="57" customFormat="1" ht="25.5" hidden="1" customHeight="1" x14ac:dyDescent="0.2">
      <c r="B130" s="23" t="s">
        <v>168</v>
      </c>
      <c r="C130" s="24" t="s">
        <v>10</v>
      </c>
      <c r="D130" s="24" t="s">
        <v>14</v>
      </c>
      <c r="E130" s="24" t="s">
        <v>167</v>
      </c>
      <c r="F130" s="26" t="s">
        <v>169</v>
      </c>
      <c r="G130" s="24"/>
      <c r="H130" s="22">
        <f t="shared" si="18"/>
        <v>0</v>
      </c>
      <c r="I130" s="22">
        <f t="shared" si="18"/>
        <v>0</v>
      </c>
      <c r="J130" s="22">
        <f t="shared" si="18"/>
        <v>0</v>
      </c>
    </row>
    <row r="131" spans="2:11" s="57" customFormat="1" ht="25.5" hidden="1" customHeight="1" x14ac:dyDescent="0.2">
      <c r="B131" s="23" t="s">
        <v>23</v>
      </c>
      <c r="C131" s="24" t="s">
        <v>10</v>
      </c>
      <c r="D131" s="24" t="s">
        <v>14</v>
      </c>
      <c r="E131" s="24" t="s">
        <v>167</v>
      </c>
      <c r="F131" s="26" t="s">
        <v>169</v>
      </c>
      <c r="G131" s="24" t="s">
        <v>24</v>
      </c>
      <c r="H131" s="22"/>
      <c r="I131" s="22"/>
      <c r="J131" s="22"/>
    </row>
    <row r="132" spans="2:11" s="64" customFormat="1" ht="17.25" customHeight="1" x14ac:dyDescent="0.2">
      <c r="B132" s="63" t="s">
        <v>170</v>
      </c>
      <c r="C132" s="18" t="s">
        <v>10</v>
      </c>
      <c r="D132" s="18" t="s">
        <v>167</v>
      </c>
      <c r="E132" s="18"/>
      <c r="F132" s="18"/>
      <c r="G132" s="18"/>
      <c r="H132" s="19">
        <f>H133+H151</f>
        <v>7478.0000000000009</v>
      </c>
      <c r="I132" s="19">
        <f>I133+I151</f>
        <v>5540.9000000000005</v>
      </c>
      <c r="J132" s="19">
        <f>J133+J151</f>
        <v>18340.900000000001</v>
      </c>
    </row>
    <row r="133" spans="2:11" s="64" customFormat="1" ht="15.75" customHeight="1" x14ac:dyDescent="0.2">
      <c r="B133" s="65" t="s">
        <v>171</v>
      </c>
      <c r="C133" s="18" t="s">
        <v>10</v>
      </c>
      <c r="D133" s="18" t="s">
        <v>167</v>
      </c>
      <c r="E133" s="18" t="s">
        <v>172</v>
      </c>
      <c r="F133" s="18"/>
      <c r="G133" s="18"/>
      <c r="H133" s="22">
        <f t="shared" ref="H133:J134" si="19">H134</f>
        <v>5750.7000000000007</v>
      </c>
      <c r="I133" s="22">
        <f t="shared" si="19"/>
        <v>5170.7000000000007</v>
      </c>
      <c r="J133" s="22">
        <f t="shared" si="19"/>
        <v>5670.7000000000007</v>
      </c>
    </row>
    <row r="134" spans="2:11" s="57" customFormat="1" ht="39" customHeight="1" x14ac:dyDescent="0.2">
      <c r="B134" s="23" t="s">
        <v>55</v>
      </c>
      <c r="C134" s="24" t="s">
        <v>10</v>
      </c>
      <c r="D134" s="24" t="s">
        <v>167</v>
      </c>
      <c r="E134" s="24" t="s">
        <v>172</v>
      </c>
      <c r="F134" s="26" t="s">
        <v>56</v>
      </c>
      <c r="G134" s="24"/>
      <c r="H134" s="22">
        <f t="shared" si="19"/>
        <v>5750.7000000000007</v>
      </c>
      <c r="I134" s="22">
        <f t="shared" si="19"/>
        <v>5170.7000000000007</v>
      </c>
      <c r="J134" s="22">
        <f t="shared" si="19"/>
        <v>5670.7000000000007</v>
      </c>
    </row>
    <row r="135" spans="2:11" s="57" customFormat="1" ht="16.5" customHeight="1" x14ac:dyDescent="0.2">
      <c r="B135" s="44" t="s">
        <v>57</v>
      </c>
      <c r="C135" s="24" t="s">
        <v>10</v>
      </c>
      <c r="D135" s="24" t="s">
        <v>167</v>
      </c>
      <c r="E135" s="24" t="s">
        <v>172</v>
      </c>
      <c r="F135" s="26" t="s">
        <v>58</v>
      </c>
      <c r="G135" s="24"/>
      <c r="H135" s="22">
        <f>H136+H147</f>
        <v>5750.7000000000007</v>
      </c>
      <c r="I135" s="22">
        <f>I136+I147</f>
        <v>5170.7000000000007</v>
      </c>
      <c r="J135" s="22">
        <f>J136+J147</f>
        <v>5670.7000000000007</v>
      </c>
    </row>
    <row r="136" spans="2:11" s="57" customFormat="1" ht="29.25" customHeight="1" x14ac:dyDescent="0.2">
      <c r="B136" s="23" t="s">
        <v>161</v>
      </c>
      <c r="C136" s="24" t="s">
        <v>10</v>
      </c>
      <c r="D136" s="24" t="s">
        <v>167</v>
      </c>
      <c r="E136" s="24" t="s">
        <v>172</v>
      </c>
      <c r="F136" s="26" t="s">
        <v>162</v>
      </c>
      <c r="G136" s="24"/>
      <c r="H136" s="22">
        <f>H143+H141+H137+H139+H145</f>
        <v>1714.1</v>
      </c>
      <c r="I136" s="22">
        <f>I143+I141+I137+I139+I145</f>
        <v>1144.0999999999999</v>
      </c>
      <c r="J136" s="22">
        <f>J143+J141+J137+J139+J145</f>
        <v>1644.1</v>
      </c>
    </row>
    <row r="137" spans="2:11" s="57" customFormat="1" ht="15.75" customHeight="1" x14ac:dyDescent="0.2">
      <c r="B137" s="23" t="s">
        <v>173</v>
      </c>
      <c r="C137" s="24" t="s">
        <v>10</v>
      </c>
      <c r="D137" s="24" t="s">
        <v>167</v>
      </c>
      <c r="E137" s="24" t="s">
        <v>172</v>
      </c>
      <c r="F137" s="26" t="s">
        <v>174</v>
      </c>
      <c r="G137" s="52"/>
      <c r="H137" s="22">
        <f>H138</f>
        <v>140.30000000000001</v>
      </c>
      <c r="I137" s="22">
        <f>I138</f>
        <v>140.30000000000001</v>
      </c>
      <c r="J137" s="22">
        <f>J138</f>
        <v>140.30000000000001</v>
      </c>
      <c r="K137" s="66"/>
    </row>
    <row r="138" spans="2:11" s="57" customFormat="1" ht="29.25" customHeight="1" x14ac:dyDescent="0.2">
      <c r="B138" s="23" t="s">
        <v>35</v>
      </c>
      <c r="C138" s="24" t="s">
        <v>10</v>
      </c>
      <c r="D138" s="24" t="s">
        <v>167</v>
      </c>
      <c r="E138" s="24" t="s">
        <v>172</v>
      </c>
      <c r="F138" s="26" t="s">
        <v>174</v>
      </c>
      <c r="G138" s="52" t="s">
        <v>36</v>
      </c>
      <c r="H138" s="22">
        <v>140.30000000000001</v>
      </c>
      <c r="I138" s="22">
        <v>140.30000000000001</v>
      </c>
      <c r="J138" s="22">
        <v>140.30000000000001</v>
      </c>
      <c r="K138" s="66"/>
    </row>
    <row r="139" spans="2:11" s="57" customFormat="1" ht="29.25" customHeight="1" x14ac:dyDescent="0.2">
      <c r="B139" s="23" t="s">
        <v>175</v>
      </c>
      <c r="C139" s="24" t="s">
        <v>10</v>
      </c>
      <c r="D139" s="24" t="s">
        <v>167</v>
      </c>
      <c r="E139" s="24" t="s">
        <v>172</v>
      </c>
      <c r="F139" s="26" t="s">
        <v>176</v>
      </c>
      <c r="G139" s="52"/>
      <c r="H139" s="22">
        <f>H140</f>
        <v>883.8</v>
      </c>
      <c r="I139" s="22">
        <f>I140</f>
        <v>883.8</v>
      </c>
      <c r="J139" s="22">
        <f>J140</f>
        <v>883.8</v>
      </c>
      <c r="K139" s="39"/>
    </row>
    <row r="140" spans="2:11" s="57" customFormat="1" ht="29.25" customHeight="1" x14ac:dyDescent="0.2">
      <c r="B140" s="23" t="s">
        <v>35</v>
      </c>
      <c r="C140" s="24" t="s">
        <v>10</v>
      </c>
      <c r="D140" s="24" t="s">
        <v>167</v>
      </c>
      <c r="E140" s="24" t="s">
        <v>172</v>
      </c>
      <c r="F140" s="26" t="s">
        <v>176</v>
      </c>
      <c r="G140" s="52" t="s">
        <v>36</v>
      </c>
      <c r="H140" s="22">
        <v>883.8</v>
      </c>
      <c r="I140" s="22">
        <v>883.8</v>
      </c>
      <c r="J140" s="22">
        <v>883.8</v>
      </c>
      <c r="K140" s="39"/>
    </row>
    <row r="141" spans="2:11" s="57" customFormat="1" ht="42" customHeight="1" x14ac:dyDescent="0.2">
      <c r="B141" s="23" t="s">
        <v>177</v>
      </c>
      <c r="C141" s="24" t="s">
        <v>10</v>
      </c>
      <c r="D141" s="24" t="s">
        <v>167</v>
      </c>
      <c r="E141" s="24" t="s">
        <v>172</v>
      </c>
      <c r="F141" s="26" t="s">
        <v>178</v>
      </c>
      <c r="G141" s="52"/>
      <c r="H141" s="22">
        <f>H142</f>
        <v>500</v>
      </c>
      <c r="I141" s="22">
        <f>I142</f>
        <v>0</v>
      </c>
      <c r="J141" s="22">
        <f>J142</f>
        <v>500</v>
      </c>
      <c r="K141" s="39"/>
    </row>
    <row r="142" spans="2:11" s="57" customFormat="1" ht="29.25" customHeight="1" x14ac:dyDescent="0.2">
      <c r="B142" s="23" t="s">
        <v>35</v>
      </c>
      <c r="C142" s="24" t="s">
        <v>10</v>
      </c>
      <c r="D142" s="24" t="s">
        <v>167</v>
      </c>
      <c r="E142" s="24" t="s">
        <v>172</v>
      </c>
      <c r="F142" s="26" t="s">
        <v>178</v>
      </c>
      <c r="G142" s="52" t="s">
        <v>36</v>
      </c>
      <c r="H142" s="22">
        <v>500</v>
      </c>
      <c r="I142" s="22">
        <v>0</v>
      </c>
      <c r="J142" s="22">
        <v>500</v>
      </c>
      <c r="K142" s="39"/>
    </row>
    <row r="143" spans="2:11" s="57" customFormat="1" ht="51" customHeight="1" x14ac:dyDescent="0.2">
      <c r="B143" s="23" t="s">
        <v>163</v>
      </c>
      <c r="C143" s="24" t="s">
        <v>10</v>
      </c>
      <c r="D143" s="24" t="s">
        <v>167</v>
      </c>
      <c r="E143" s="24" t="s">
        <v>172</v>
      </c>
      <c r="F143" s="26" t="s">
        <v>164</v>
      </c>
      <c r="G143" s="24"/>
      <c r="H143" s="22">
        <f>H144</f>
        <v>90</v>
      </c>
      <c r="I143" s="22">
        <f>I144</f>
        <v>20</v>
      </c>
      <c r="J143" s="22">
        <f>J144</f>
        <v>20</v>
      </c>
    </row>
    <row r="144" spans="2:11" s="57" customFormat="1" ht="24.75" customHeight="1" x14ac:dyDescent="0.2">
      <c r="B144" s="67" t="s">
        <v>35</v>
      </c>
      <c r="C144" s="24" t="s">
        <v>10</v>
      </c>
      <c r="D144" s="24" t="s">
        <v>167</v>
      </c>
      <c r="E144" s="24" t="s">
        <v>172</v>
      </c>
      <c r="F144" s="26" t="s">
        <v>164</v>
      </c>
      <c r="G144" s="52" t="s">
        <v>36</v>
      </c>
      <c r="H144" s="22">
        <v>90</v>
      </c>
      <c r="I144" s="22">
        <v>20</v>
      </c>
      <c r="J144" s="22">
        <v>20</v>
      </c>
      <c r="K144" s="39"/>
    </row>
    <row r="145" spans="2:11" s="57" customFormat="1" ht="24.75" customHeight="1" x14ac:dyDescent="0.2">
      <c r="B145" s="67" t="s">
        <v>179</v>
      </c>
      <c r="C145" s="24" t="s">
        <v>10</v>
      </c>
      <c r="D145" s="24" t="s">
        <v>167</v>
      </c>
      <c r="E145" s="24" t="s">
        <v>172</v>
      </c>
      <c r="F145" s="26" t="s">
        <v>180</v>
      </c>
      <c r="G145" s="52"/>
      <c r="H145" s="22">
        <f>H146</f>
        <v>100</v>
      </c>
      <c r="I145" s="22">
        <f>I146</f>
        <v>100</v>
      </c>
      <c r="J145" s="22">
        <f>J146</f>
        <v>100</v>
      </c>
      <c r="K145" s="39"/>
    </row>
    <row r="146" spans="2:11" s="57" customFormat="1" ht="24.75" customHeight="1" x14ac:dyDescent="0.2">
      <c r="B146" s="67" t="s">
        <v>35</v>
      </c>
      <c r="C146" s="24" t="s">
        <v>10</v>
      </c>
      <c r="D146" s="24" t="s">
        <v>167</v>
      </c>
      <c r="E146" s="24" t="s">
        <v>172</v>
      </c>
      <c r="F146" s="26" t="s">
        <v>180</v>
      </c>
      <c r="G146" s="52" t="s">
        <v>36</v>
      </c>
      <c r="H146" s="22">
        <v>100</v>
      </c>
      <c r="I146" s="22">
        <v>100</v>
      </c>
      <c r="J146" s="22">
        <v>100</v>
      </c>
      <c r="K146" s="39"/>
    </row>
    <row r="147" spans="2:11" s="57" customFormat="1" ht="15" customHeight="1" x14ac:dyDescent="0.2">
      <c r="B147" s="45" t="s">
        <v>181</v>
      </c>
      <c r="C147" s="24" t="s">
        <v>10</v>
      </c>
      <c r="D147" s="24" t="s">
        <v>167</v>
      </c>
      <c r="E147" s="24" t="s">
        <v>172</v>
      </c>
      <c r="F147" s="26" t="s">
        <v>182</v>
      </c>
      <c r="G147" s="52"/>
      <c r="H147" s="22">
        <f>H148</f>
        <v>4036.6000000000004</v>
      </c>
      <c r="I147" s="22">
        <f>I148</f>
        <v>4026.6000000000004</v>
      </c>
      <c r="J147" s="22">
        <f>J148</f>
        <v>4026.6000000000004</v>
      </c>
      <c r="K147" s="39"/>
    </row>
    <row r="148" spans="2:11" s="57" customFormat="1" ht="31.5" customHeight="1" x14ac:dyDescent="0.2">
      <c r="B148" s="46" t="s">
        <v>183</v>
      </c>
      <c r="C148" s="24" t="s">
        <v>10</v>
      </c>
      <c r="D148" s="24" t="s">
        <v>167</v>
      </c>
      <c r="E148" s="24" t="s">
        <v>172</v>
      </c>
      <c r="F148" s="26" t="s">
        <v>184</v>
      </c>
      <c r="G148" s="52"/>
      <c r="H148" s="22">
        <f>H149+H150</f>
        <v>4036.6000000000004</v>
      </c>
      <c r="I148" s="22">
        <f>I149+I150</f>
        <v>4026.6000000000004</v>
      </c>
      <c r="J148" s="22">
        <f>J149+J150</f>
        <v>4026.6000000000004</v>
      </c>
      <c r="K148" s="39"/>
    </row>
    <row r="149" spans="2:11" s="57" customFormat="1" ht="24.75" customHeight="1" x14ac:dyDescent="0.2">
      <c r="B149" s="23" t="s">
        <v>23</v>
      </c>
      <c r="C149" s="24" t="s">
        <v>10</v>
      </c>
      <c r="D149" s="24" t="s">
        <v>167</v>
      </c>
      <c r="E149" s="24" t="s">
        <v>172</v>
      </c>
      <c r="F149" s="26" t="s">
        <v>184</v>
      </c>
      <c r="G149" s="52" t="s">
        <v>24</v>
      </c>
      <c r="H149" s="22">
        <f>3887.8+34.5</f>
        <v>3922.3</v>
      </c>
      <c r="I149" s="22">
        <f>3887.8+34.5</f>
        <v>3922.3</v>
      </c>
      <c r="J149" s="22">
        <f>3887.8+34.5</f>
        <v>3922.3</v>
      </c>
      <c r="K149" s="39"/>
    </row>
    <row r="150" spans="2:11" s="57" customFormat="1" ht="24.75" customHeight="1" x14ac:dyDescent="0.2">
      <c r="B150" s="23" t="s">
        <v>35</v>
      </c>
      <c r="C150" s="24" t="s">
        <v>10</v>
      </c>
      <c r="D150" s="24" t="s">
        <v>167</v>
      </c>
      <c r="E150" s="24" t="s">
        <v>172</v>
      </c>
      <c r="F150" s="26" t="s">
        <v>184</v>
      </c>
      <c r="G150" s="52" t="s">
        <v>36</v>
      </c>
      <c r="H150" s="22">
        <v>114.3</v>
      </c>
      <c r="I150" s="22">
        <v>104.3</v>
      </c>
      <c r="J150" s="22">
        <v>104.3</v>
      </c>
      <c r="K150" s="39"/>
    </row>
    <row r="151" spans="2:11" s="64" customFormat="1" ht="26.25" customHeight="1" x14ac:dyDescent="0.2">
      <c r="B151" s="63" t="s">
        <v>185</v>
      </c>
      <c r="C151" s="18" t="s">
        <v>10</v>
      </c>
      <c r="D151" s="18" t="s">
        <v>167</v>
      </c>
      <c r="E151" s="18" t="s">
        <v>186</v>
      </c>
      <c r="F151" s="18"/>
      <c r="G151" s="18"/>
      <c r="H151" s="22">
        <f>H152</f>
        <v>1727.3</v>
      </c>
      <c r="I151" s="22">
        <f>I152</f>
        <v>370.2</v>
      </c>
      <c r="J151" s="22">
        <f>J152</f>
        <v>12670.2</v>
      </c>
    </row>
    <row r="152" spans="2:11" s="57" customFormat="1" ht="38.25" x14ac:dyDescent="0.2">
      <c r="B152" s="23" t="s">
        <v>55</v>
      </c>
      <c r="C152" s="24" t="s">
        <v>10</v>
      </c>
      <c r="D152" s="24" t="s">
        <v>167</v>
      </c>
      <c r="E152" s="24" t="s">
        <v>186</v>
      </c>
      <c r="F152" s="26" t="s">
        <v>56</v>
      </c>
      <c r="G152" s="31"/>
      <c r="H152" s="22">
        <f>H153+H165</f>
        <v>1727.3</v>
      </c>
      <c r="I152" s="22">
        <f>I153+I165</f>
        <v>370.2</v>
      </c>
      <c r="J152" s="22">
        <f>J153+J165</f>
        <v>12670.2</v>
      </c>
    </row>
    <row r="153" spans="2:11" s="57" customFormat="1" ht="15" customHeight="1" x14ac:dyDescent="0.2">
      <c r="B153" s="68" t="s">
        <v>187</v>
      </c>
      <c r="C153" s="24" t="s">
        <v>10</v>
      </c>
      <c r="D153" s="24" t="s">
        <v>167</v>
      </c>
      <c r="E153" s="24" t="s">
        <v>186</v>
      </c>
      <c r="F153" s="26" t="s">
        <v>188</v>
      </c>
      <c r="G153" s="31"/>
      <c r="H153" s="22">
        <f>H154+H162</f>
        <v>1317.3</v>
      </c>
      <c r="I153" s="22">
        <f>I154+I162</f>
        <v>60.2</v>
      </c>
      <c r="J153" s="22">
        <f>J154+J162</f>
        <v>12360.2</v>
      </c>
    </row>
    <row r="154" spans="2:11" s="57" customFormat="1" ht="25.5" x14ac:dyDescent="0.2">
      <c r="B154" s="68" t="s">
        <v>189</v>
      </c>
      <c r="C154" s="24" t="s">
        <v>10</v>
      </c>
      <c r="D154" s="24" t="s">
        <v>167</v>
      </c>
      <c r="E154" s="24" t="s">
        <v>186</v>
      </c>
      <c r="F154" s="26" t="s">
        <v>190</v>
      </c>
      <c r="G154" s="31"/>
      <c r="H154" s="22">
        <f>H155+H157+H159</f>
        <v>1317.3</v>
      </c>
      <c r="I154" s="22">
        <f>I155+I157+I159</f>
        <v>60.2</v>
      </c>
      <c r="J154" s="22">
        <f>J155+J157+J159</f>
        <v>60.2</v>
      </c>
    </row>
    <row r="155" spans="2:11" s="57" customFormat="1" ht="25.5" x14ac:dyDescent="0.2">
      <c r="B155" s="69" t="s">
        <v>191</v>
      </c>
      <c r="C155" s="24" t="s">
        <v>10</v>
      </c>
      <c r="D155" s="24" t="s">
        <v>167</v>
      </c>
      <c r="E155" s="24" t="s">
        <v>186</v>
      </c>
      <c r="F155" s="26" t="s">
        <v>192</v>
      </c>
      <c r="G155" s="31"/>
      <c r="H155" s="22">
        <f>H156</f>
        <v>417.3</v>
      </c>
      <c r="I155" s="22">
        <f>I156</f>
        <v>60.2</v>
      </c>
      <c r="J155" s="22">
        <f>J156</f>
        <v>60.2</v>
      </c>
    </row>
    <row r="156" spans="2:11" s="70" customFormat="1" ht="25.5" x14ac:dyDescent="0.2">
      <c r="B156" s="69" t="s">
        <v>35</v>
      </c>
      <c r="C156" s="24" t="s">
        <v>10</v>
      </c>
      <c r="D156" s="24" t="s">
        <v>167</v>
      </c>
      <c r="E156" s="24" t="s">
        <v>186</v>
      </c>
      <c r="F156" s="26" t="s">
        <v>192</v>
      </c>
      <c r="G156" s="31" t="s">
        <v>36</v>
      </c>
      <c r="H156" s="22">
        <f>177.9+9.4+230</f>
        <v>417.3</v>
      </c>
      <c r="I156" s="22">
        <f>57.2+3</f>
        <v>60.2</v>
      </c>
      <c r="J156" s="22">
        <f>57.2+3</f>
        <v>60.2</v>
      </c>
    </row>
    <row r="157" spans="2:11" s="70" customFormat="1" ht="25.5" x14ac:dyDescent="0.2">
      <c r="B157" s="68" t="s">
        <v>193</v>
      </c>
      <c r="C157" s="24" t="s">
        <v>10</v>
      </c>
      <c r="D157" s="24" t="s">
        <v>167</v>
      </c>
      <c r="E157" s="24" t="s">
        <v>186</v>
      </c>
      <c r="F157" s="26" t="s">
        <v>194</v>
      </c>
      <c r="G157" s="31"/>
      <c r="H157" s="22">
        <f>H161+H158</f>
        <v>900</v>
      </c>
      <c r="I157" s="22">
        <f>I161+I158</f>
        <v>0</v>
      </c>
      <c r="J157" s="22">
        <f>J161+J158</f>
        <v>0</v>
      </c>
    </row>
    <row r="158" spans="2:11" s="70" customFormat="1" ht="25.5" x14ac:dyDescent="0.2">
      <c r="B158" s="69" t="s">
        <v>35</v>
      </c>
      <c r="C158" s="24" t="s">
        <v>10</v>
      </c>
      <c r="D158" s="24" t="s">
        <v>167</v>
      </c>
      <c r="E158" s="24" t="s">
        <v>186</v>
      </c>
      <c r="F158" s="26" t="s">
        <v>194</v>
      </c>
      <c r="G158" s="31" t="s">
        <v>36</v>
      </c>
      <c r="H158" s="22">
        <f>855+45</f>
        <v>900</v>
      </c>
      <c r="I158" s="22">
        <v>0</v>
      </c>
      <c r="J158" s="22">
        <v>0</v>
      </c>
    </row>
    <row r="159" spans="2:11" s="70" customFormat="1" hidden="1" x14ac:dyDescent="0.2">
      <c r="B159" s="69" t="s">
        <v>195</v>
      </c>
      <c r="C159" s="24" t="s">
        <v>10</v>
      </c>
      <c r="D159" s="24" t="s">
        <v>167</v>
      </c>
      <c r="E159" s="24" t="s">
        <v>186</v>
      </c>
      <c r="F159" s="26" t="s">
        <v>196</v>
      </c>
      <c r="G159" s="31"/>
      <c r="H159" s="22">
        <f>H161+H160</f>
        <v>0</v>
      </c>
      <c r="I159" s="22">
        <f>I161+I160</f>
        <v>0</v>
      </c>
      <c r="J159" s="22">
        <f>J161+J160</f>
        <v>0</v>
      </c>
    </row>
    <row r="160" spans="2:11" s="70" customFormat="1" ht="25.5" hidden="1" x14ac:dyDescent="0.2">
      <c r="B160" s="69" t="s">
        <v>35</v>
      </c>
      <c r="C160" s="24" t="s">
        <v>10</v>
      </c>
      <c r="D160" s="24" t="s">
        <v>167</v>
      </c>
      <c r="E160" s="24" t="s">
        <v>186</v>
      </c>
      <c r="F160" s="26" t="s">
        <v>196</v>
      </c>
      <c r="G160" s="31" t="s">
        <v>36</v>
      </c>
      <c r="H160" s="22">
        <v>0</v>
      </c>
      <c r="I160" s="22">
        <v>0</v>
      </c>
      <c r="J160" s="22">
        <v>0</v>
      </c>
    </row>
    <row r="161" spans="2:11" s="57" customFormat="1" hidden="1" x14ac:dyDescent="0.2">
      <c r="B161" s="69" t="s">
        <v>197</v>
      </c>
      <c r="C161" s="24" t="s">
        <v>10</v>
      </c>
      <c r="D161" s="24" t="s">
        <v>167</v>
      </c>
      <c r="E161" s="24" t="s">
        <v>186</v>
      </c>
      <c r="F161" s="26" t="s">
        <v>196</v>
      </c>
      <c r="G161" s="31" t="s">
        <v>198</v>
      </c>
      <c r="H161" s="22">
        <v>0</v>
      </c>
      <c r="I161" s="22">
        <v>0</v>
      </c>
      <c r="J161" s="22">
        <v>0</v>
      </c>
    </row>
    <row r="162" spans="2:11" s="57" customFormat="1" ht="25.5" x14ac:dyDescent="0.2">
      <c r="B162" s="44" t="s">
        <v>199</v>
      </c>
      <c r="C162" s="24" t="s">
        <v>10</v>
      </c>
      <c r="D162" s="24" t="s">
        <v>167</v>
      </c>
      <c r="E162" s="24" t="s">
        <v>186</v>
      </c>
      <c r="F162" s="26" t="s">
        <v>200</v>
      </c>
      <c r="G162" s="52"/>
      <c r="H162" s="22">
        <f t="shared" ref="H162:J163" si="20">H163</f>
        <v>0</v>
      </c>
      <c r="I162" s="22">
        <f t="shared" si="20"/>
        <v>0</v>
      </c>
      <c r="J162" s="22">
        <f t="shared" si="20"/>
        <v>12300</v>
      </c>
      <c r="K162" s="39"/>
    </row>
    <row r="163" spans="2:11" s="57" customFormat="1" x14ac:dyDescent="0.2">
      <c r="B163" s="44" t="s">
        <v>201</v>
      </c>
      <c r="C163" s="24" t="s">
        <v>10</v>
      </c>
      <c r="D163" s="24" t="s">
        <v>167</v>
      </c>
      <c r="E163" s="24" t="s">
        <v>186</v>
      </c>
      <c r="F163" s="26" t="s">
        <v>202</v>
      </c>
      <c r="G163" s="52"/>
      <c r="H163" s="22">
        <f t="shared" si="20"/>
        <v>0</v>
      </c>
      <c r="I163" s="22">
        <f t="shared" si="20"/>
        <v>0</v>
      </c>
      <c r="J163" s="22">
        <f t="shared" si="20"/>
        <v>12300</v>
      </c>
      <c r="K163" s="39"/>
    </row>
    <row r="164" spans="2:11" s="57" customFormat="1" ht="25.5" x14ac:dyDescent="0.2">
      <c r="B164" s="69" t="s">
        <v>35</v>
      </c>
      <c r="C164" s="24" t="s">
        <v>10</v>
      </c>
      <c r="D164" s="24" t="s">
        <v>167</v>
      </c>
      <c r="E164" s="24" t="s">
        <v>186</v>
      </c>
      <c r="F164" s="26" t="s">
        <v>202</v>
      </c>
      <c r="G164" s="52" t="s">
        <v>36</v>
      </c>
      <c r="H164" s="22">
        <v>0</v>
      </c>
      <c r="I164" s="22">
        <v>0</v>
      </c>
      <c r="J164" s="22">
        <v>12300</v>
      </c>
      <c r="K164" s="39"/>
    </row>
    <row r="165" spans="2:11" s="57" customFormat="1" x14ac:dyDescent="0.2">
      <c r="B165" s="69" t="s">
        <v>17</v>
      </c>
      <c r="C165" s="24" t="s">
        <v>10</v>
      </c>
      <c r="D165" s="24" t="s">
        <v>167</v>
      </c>
      <c r="E165" s="24" t="s">
        <v>186</v>
      </c>
      <c r="F165" s="26" t="s">
        <v>58</v>
      </c>
      <c r="G165" s="31"/>
      <c r="H165" s="22">
        <f>H166</f>
        <v>410</v>
      </c>
      <c r="I165" s="22">
        <f>I166</f>
        <v>310</v>
      </c>
      <c r="J165" s="22">
        <f>J166</f>
        <v>310</v>
      </c>
    </row>
    <row r="166" spans="2:11" s="57" customFormat="1" ht="25.5" x14ac:dyDescent="0.2">
      <c r="B166" s="23" t="s">
        <v>161</v>
      </c>
      <c r="C166" s="24" t="s">
        <v>10</v>
      </c>
      <c r="D166" s="24" t="s">
        <v>167</v>
      </c>
      <c r="E166" s="24" t="s">
        <v>186</v>
      </c>
      <c r="F166" s="26" t="s">
        <v>162</v>
      </c>
      <c r="G166" s="52"/>
      <c r="H166" s="22">
        <f>H167+H169+H171</f>
        <v>410</v>
      </c>
      <c r="I166" s="22">
        <f>I167+I169+I171</f>
        <v>310</v>
      </c>
      <c r="J166" s="22">
        <f>J167+J169+J171</f>
        <v>310</v>
      </c>
      <c r="K166" s="39"/>
    </row>
    <row r="167" spans="2:11" s="57" customFormat="1" ht="54" customHeight="1" x14ac:dyDescent="0.2">
      <c r="B167" s="23" t="s">
        <v>203</v>
      </c>
      <c r="C167" s="24" t="s">
        <v>10</v>
      </c>
      <c r="D167" s="24" t="s">
        <v>167</v>
      </c>
      <c r="E167" s="24" t="s">
        <v>186</v>
      </c>
      <c r="F167" s="26" t="s">
        <v>204</v>
      </c>
      <c r="G167" s="52"/>
      <c r="H167" s="22">
        <f>H168</f>
        <v>80</v>
      </c>
      <c r="I167" s="22">
        <f>I168</f>
        <v>20</v>
      </c>
      <c r="J167" s="22">
        <f>J168</f>
        <v>20</v>
      </c>
      <c r="K167" s="39"/>
    </row>
    <row r="168" spans="2:11" s="57" customFormat="1" ht="25.5" x14ac:dyDescent="0.2">
      <c r="B168" s="23" t="s">
        <v>35</v>
      </c>
      <c r="C168" s="24" t="s">
        <v>10</v>
      </c>
      <c r="D168" s="24" t="s">
        <v>167</v>
      </c>
      <c r="E168" s="24" t="s">
        <v>186</v>
      </c>
      <c r="F168" s="26" t="s">
        <v>204</v>
      </c>
      <c r="G168" s="52" t="s">
        <v>36</v>
      </c>
      <c r="H168" s="22">
        <v>80</v>
      </c>
      <c r="I168" s="22">
        <v>20</v>
      </c>
      <c r="J168" s="22">
        <v>20</v>
      </c>
      <c r="K168" s="39"/>
    </row>
    <row r="169" spans="2:11" s="57" customFormat="1" ht="25.5" x14ac:dyDescent="0.2">
      <c r="B169" s="23" t="s">
        <v>205</v>
      </c>
      <c r="C169" s="24" t="s">
        <v>10</v>
      </c>
      <c r="D169" s="24" t="s">
        <v>167</v>
      </c>
      <c r="E169" s="24" t="s">
        <v>186</v>
      </c>
      <c r="F169" s="26" t="s">
        <v>206</v>
      </c>
      <c r="G169" s="52"/>
      <c r="H169" s="22">
        <f>H170</f>
        <v>250</v>
      </c>
      <c r="I169" s="22">
        <f>I170</f>
        <v>250</v>
      </c>
      <c r="J169" s="22">
        <f>J170</f>
        <v>250</v>
      </c>
      <c r="K169" s="39"/>
    </row>
    <row r="170" spans="2:11" s="57" customFormat="1" ht="25.5" x14ac:dyDescent="0.2">
      <c r="B170" s="23" t="s">
        <v>35</v>
      </c>
      <c r="C170" s="24" t="s">
        <v>10</v>
      </c>
      <c r="D170" s="24" t="s">
        <v>167</v>
      </c>
      <c r="E170" s="24" t="s">
        <v>186</v>
      </c>
      <c r="F170" s="26" t="s">
        <v>206</v>
      </c>
      <c r="G170" s="52" t="s">
        <v>36</v>
      </c>
      <c r="H170" s="22">
        <v>250</v>
      </c>
      <c r="I170" s="22">
        <v>250</v>
      </c>
      <c r="J170" s="22">
        <v>250</v>
      </c>
      <c r="K170" s="39"/>
    </row>
    <row r="171" spans="2:11" s="57" customFormat="1" ht="51" x14ac:dyDescent="0.2">
      <c r="B171" s="23" t="s">
        <v>163</v>
      </c>
      <c r="C171" s="24" t="s">
        <v>10</v>
      </c>
      <c r="D171" s="24" t="s">
        <v>167</v>
      </c>
      <c r="E171" s="24" t="s">
        <v>186</v>
      </c>
      <c r="F171" s="26" t="s">
        <v>164</v>
      </c>
      <c r="G171" s="52"/>
      <c r="H171" s="22">
        <f>H172+H173</f>
        <v>80</v>
      </c>
      <c r="I171" s="22">
        <f>I172+I173</f>
        <v>40</v>
      </c>
      <c r="J171" s="22">
        <f>J172+J173</f>
        <v>40</v>
      </c>
      <c r="K171" s="39"/>
    </row>
    <row r="172" spans="2:11" s="57" customFormat="1" ht="25.5" x14ac:dyDescent="0.2">
      <c r="B172" s="23" t="s">
        <v>35</v>
      </c>
      <c r="C172" s="24" t="s">
        <v>10</v>
      </c>
      <c r="D172" s="24" t="s">
        <v>167</v>
      </c>
      <c r="E172" s="24" t="s">
        <v>186</v>
      </c>
      <c r="F172" s="26" t="s">
        <v>164</v>
      </c>
      <c r="G172" s="52" t="s">
        <v>36</v>
      </c>
      <c r="H172" s="22">
        <v>55</v>
      </c>
      <c r="I172" s="22">
        <v>15</v>
      </c>
      <c r="J172" s="22">
        <v>15</v>
      </c>
      <c r="K172" s="39"/>
    </row>
    <row r="173" spans="2:11" s="57" customFormat="1" x14ac:dyDescent="0.2">
      <c r="B173" s="44" t="s">
        <v>197</v>
      </c>
      <c r="C173" s="24" t="s">
        <v>10</v>
      </c>
      <c r="D173" s="24" t="s">
        <v>167</v>
      </c>
      <c r="E173" s="24" t="s">
        <v>186</v>
      </c>
      <c r="F173" s="26" t="s">
        <v>164</v>
      </c>
      <c r="G173" s="52" t="s">
        <v>198</v>
      </c>
      <c r="H173" s="22">
        <f>5+20</f>
        <v>25</v>
      </c>
      <c r="I173" s="22">
        <f>5+20</f>
        <v>25</v>
      </c>
      <c r="J173" s="22">
        <f>5+20</f>
        <v>25</v>
      </c>
      <c r="K173" s="39"/>
    </row>
    <row r="174" spans="2:11" s="20" customFormat="1" x14ac:dyDescent="0.2">
      <c r="B174" s="63" t="s">
        <v>207</v>
      </c>
      <c r="C174" s="18" t="s">
        <v>10</v>
      </c>
      <c r="D174" s="18" t="s">
        <v>27</v>
      </c>
      <c r="E174" s="18"/>
      <c r="F174" s="18"/>
      <c r="G174" s="18"/>
      <c r="H174" s="22">
        <f>H175+H181+H190+H210</f>
        <v>37728.600000000006</v>
      </c>
      <c r="I174" s="22">
        <f>I175+I181+I190+I210</f>
        <v>39530.000000000007</v>
      </c>
      <c r="J174" s="22">
        <f>J175+J181+J190+J210</f>
        <v>29867.000000000004</v>
      </c>
    </row>
    <row r="175" spans="2:11" s="20" customFormat="1" x14ac:dyDescent="0.2">
      <c r="B175" s="63" t="s">
        <v>208</v>
      </c>
      <c r="C175" s="18" t="s">
        <v>10</v>
      </c>
      <c r="D175" s="18" t="s">
        <v>27</v>
      </c>
      <c r="E175" s="18" t="s">
        <v>12</v>
      </c>
      <c r="F175" s="18"/>
      <c r="G175" s="18"/>
      <c r="H175" s="22">
        <f t="shared" ref="H175:J179" si="21">H176</f>
        <v>565</v>
      </c>
      <c r="I175" s="22">
        <f t="shared" si="21"/>
        <v>565</v>
      </c>
      <c r="J175" s="22">
        <f t="shared" si="21"/>
        <v>565</v>
      </c>
    </row>
    <row r="176" spans="2:11" s="57" customFormat="1" ht="25.5" x14ac:dyDescent="0.2">
      <c r="B176" s="53" t="s">
        <v>209</v>
      </c>
      <c r="C176" s="24" t="s">
        <v>10</v>
      </c>
      <c r="D176" s="24" t="s">
        <v>27</v>
      </c>
      <c r="E176" s="24" t="s">
        <v>12</v>
      </c>
      <c r="F176" s="26" t="s">
        <v>210</v>
      </c>
      <c r="G176" s="31"/>
      <c r="H176" s="22">
        <f>H177</f>
        <v>565</v>
      </c>
      <c r="I176" s="22">
        <f t="shared" si="21"/>
        <v>565</v>
      </c>
      <c r="J176" s="22">
        <f t="shared" si="21"/>
        <v>565</v>
      </c>
    </row>
    <row r="177" spans="2:10" s="57" customFormat="1" x14ac:dyDescent="0.2">
      <c r="B177" s="71" t="s">
        <v>57</v>
      </c>
      <c r="C177" s="24" t="s">
        <v>10</v>
      </c>
      <c r="D177" s="24" t="s">
        <v>27</v>
      </c>
      <c r="E177" s="24" t="s">
        <v>12</v>
      </c>
      <c r="F177" s="26" t="s">
        <v>211</v>
      </c>
      <c r="G177" s="31"/>
      <c r="H177" s="22">
        <f>H178</f>
        <v>565</v>
      </c>
      <c r="I177" s="22">
        <f t="shared" si="21"/>
        <v>565</v>
      </c>
      <c r="J177" s="22">
        <f t="shared" si="21"/>
        <v>565</v>
      </c>
    </row>
    <row r="178" spans="2:10" s="57" customFormat="1" ht="27" customHeight="1" x14ac:dyDescent="0.2">
      <c r="B178" s="72" t="s">
        <v>212</v>
      </c>
      <c r="C178" s="24" t="s">
        <v>10</v>
      </c>
      <c r="D178" s="24" t="s">
        <v>27</v>
      </c>
      <c r="E178" s="24" t="s">
        <v>12</v>
      </c>
      <c r="F178" s="26" t="s">
        <v>213</v>
      </c>
      <c r="G178" s="31"/>
      <c r="H178" s="73">
        <f>H179</f>
        <v>565</v>
      </c>
      <c r="I178" s="73">
        <f t="shared" si="21"/>
        <v>565</v>
      </c>
      <c r="J178" s="73">
        <f t="shared" si="21"/>
        <v>565</v>
      </c>
    </row>
    <row r="179" spans="2:10" s="57" customFormat="1" ht="15.75" customHeight="1" x14ac:dyDescent="0.2">
      <c r="B179" s="23" t="s">
        <v>214</v>
      </c>
      <c r="C179" s="24" t="s">
        <v>10</v>
      </c>
      <c r="D179" s="24" t="s">
        <v>27</v>
      </c>
      <c r="E179" s="24" t="s">
        <v>12</v>
      </c>
      <c r="F179" s="74" t="s">
        <v>215</v>
      </c>
      <c r="G179" s="31"/>
      <c r="H179" s="73">
        <f>H180</f>
        <v>565</v>
      </c>
      <c r="I179" s="73">
        <f t="shared" si="21"/>
        <v>565</v>
      </c>
      <c r="J179" s="75">
        <f t="shared" si="21"/>
        <v>565</v>
      </c>
    </row>
    <row r="180" spans="2:10" s="57" customFormat="1" ht="25.5" x14ac:dyDescent="0.2">
      <c r="B180" s="23" t="s">
        <v>35</v>
      </c>
      <c r="C180" s="24" t="s">
        <v>10</v>
      </c>
      <c r="D180" s="24" t="s">
        <v>27</v>
      </c>
      <c r="E180" s="24" t="s">
        <v>12</v>
      </c>
      <c r="F180" s="34" t="s">
        <v>215</v>
      </c>
      <c r="G180" s="31" t="s">
        <v>36</v>
      </c>
      <c r="H180" s="73">
        <v>565</v>
      </c>
      <c r="I180" s="73">
        <v>565</v>
      </c>
      <c r="J180" s="75">
        <v>565</v>
      </c>
    </row>
    <row r="181" spans="2:10" s="64" customFormat="1" x14ac:dyDescent="0.2">
      <c r="B181" s="17" t="s">
        <v>216</v>
      </c>
      <c r="C181" s="18" t="s">
        <v>10</v>
      </c>
      <c r="D181" s="18" t="s">
        <v>27</v>
      </c>
      <c r="E181" s="18" t="s">
        <v>217</v>
      </c>
      <c r="F181" s="76"/>
      <c r="G181" s="18"/>
      <c r="H181" s="19">
        <f t="shared" ref="H181:J185" si="22">H182</f>
        <v>20225.900000000001</v>
      </c>
      <c r="I181" s="19">
        <f t="shared" si="22"/>
        <v>20563.300000000003</v>
      </c>
      <c r="J181" s="19">
        <f t="shared" si="22"/>
        <v>10670.300000000001</v>
      </c>
    </row>
    <row r="182" spans="2:10" s="57" customFormat="1" ht="24.75" customHeight="1" x14ac:dyDescent="0.2">
      <c r="B182" s="41" t="s">
        <v>218</v>
      </c>
      <c r="C182" s="24" t="s">
        <v>10</v>
      </c>
      <c r="D182" s="24" t="s">
        <v>27</v>
      </c>
      <c r="E182" s="24" t="s">
        <v>217</v>
      </c>
      <c r="F182" s="26" t="s">
        <v>219</v>
      </c>
      <c r="G182" s="31"/>
      <c r="H182" s="40">
        <f t="shared" si="22"/>
        <v>20225.900000000001</v>
      </c>
      <c r="I182" s="40">
        <f t="shared" si="22"/>
        <v>20563.300000000003</v>
      </c>
      <c r="J182" s="40">
        <f t="shared" si="22"/>
        <v>10670.300000000001</v>
      </c>
    </row>
    <row r="183" spans="2:10" s="57" customFormat="1" ht="17.25" customHeight="1" x14ac:dyDescent="0.2">
      <c r="B183" s="23" t="s">
        <v>17</v>
      </c>
      <c r="C183" s="24" t="s">
        <v>10</v>
      </c>
      <c r="D183" s="24" t="s">
        <v>27</v>
      </c>
      <c r="E183" s="24" t="s">
        <v>217</v>
      </c>
      <c r="F183" s="26" t="s">
        <v>220</v>
      </c>
      <c r="G183" s="31"/>
      <c r="H183" s="40">
        <f>H184+H187</f>
        <v>20225.900000000001</v>
      </c>
      <c r="I183" s="40">
        <f>I184+I187</f>
        <v>20563.300000000003</v>
      </c>
      <c r="J183" s="40">
        <f>J184+J187</f>
        <v>10670.300000000001</v>
      </c>
    </row>
    <row r="184" spans="2:10" s="57" customFormat="1" ht="28.5" customHeight="1" x14ac:dyDescent="0.2">
      <c r="B184" s="23" t="s">
        <v>221</v>
      </c>
      <c r="C184" s="24" t="s">
        <v>10</v>
      </c>
      <c r="D184" s="24" t="s">
        <v>27</v>
      </c>
      <c r="E184" s="24" t="s">
        <v>217</v>
      </c>
      <c r="F184" s="26" t="s">
        <v>222</v>
      </c>
      <c r="G184" s="31"/>
      <c r="H184" s="40">
        <f>H185</f>
        <v>4093.2</v>
      </c>
      <c r="I184" s="40">
        <f t="shared" si="22"/>
        <v>3977.9</v>
      </c>
      <c r="J184" s="40">
        <f t="shared" si="22"/>
        <v>3977.9</v>
      </c>
    </row>
    <row r="185" spans="2:10" s="57" customFormat="1" ht="28.5" customHeight="1" x14ac:dyDescent="0.2">
      <c r="B185" s="54" t="s">
        <v>223</v>
      </c>
      <c r="C185" s="24" t="s">
        <v>10</v>
      </c>
      <c r="D185" s="24" t="s">
        <v>27</v>
      </c>
      <c r="E185" s="24" t="s">
        <v>217</v>
      </c>
      <c r="F185" s="26" t="s">
        <v>224</v>
      </c>
      <c r="G185" s="31"/>
      <c r="H185" s="40">
        <f>H186</f>
        <v>4093.2</v>
      </c>
      <c r="I185" s="40">
        <f t="shared" si="22"/>
        <v>3977.9</v>
      </c>
      <c r="J185" s="40">
        <f t="shared" si="22"/>
        <v>3977.9</v>
      </c>
    </row>
    <row r="186" spans="2:10" s="57" customFormat="1" ht="15.75" customHeight="1" x14ac:dyDescent="0.2">
      <c r="B186" s="77" t="s">
        <v>150</v>
      </c>
      <c r="C186" s="24" t="s">
        <v>10</v>
      </c>
      <c r="D186" s="24" t="s">
        <v>27</v>
      </c>
      <c r="E186" s="24" t="s">
        <v>217</v>
      </c>
      <c r="F186" s="26" t="s">
        <v>224</v>
      </c>
      <c r="G186" s="31" t="s">
        <v>106</v>
      </c>
      <c r="H186" s="22">
        <f>3929.5+163.7</f>
        <v>4093.2</v>
      </c>
      <c r="I186" s="22">
        <f>3818.8+159.1</f>
        <v>3977.9</v>
      </c>
      <c r="J186" s="22">
        <f>3818.8+159.1</f>
        <v>3977.9</v>
      </c>
    </row>
    <row r="187" spans="2:10" s="57" customFormat="1" ht="30" customHeight="1" x14ac:dyDescent="0.2">
      <c r="B187" s="77" t="s">
        <v>225</v>
      </c>
      <c r="C187" s="24" t="s">
        <v>10</v>
      </c>
      <c r="D187" s="24" t="s">
        <v>27</v>
      </c>
      <c r="E187" s="24" t="s">
        <v>217</v>
      </c>
      <c r="F187" s="26" t="s">
        <v>226</v>
      </c>
      <c r="G187" s="78"/>
      <c r="H187" s="22">
        <f t="shared" ref="H187:J188" si="23">H188</f>
        <v>16132.7</v>
      </c>
      <c r="I187" s="22">
        <f t="shared" si="23"/>
        <v>16585.400000000001</v>
      </c>
      <c r="J187" s="22">
        <f t="shared" si="23"/>
        <v>6692.4000000000015</v>
      </c>
    </row>
    <row r="188" spans="2:10" s="57" customFormat="1" ht="29.25" customHeight="1" x14ac:dyDescent="0.2">
      <c r="B188" s="77" t="s">
        <v>227</v>
      </c>
      <c r="C188" s="24" t="s">
        <v>10</v>
      </c>
      <c r="D188" s="24" t="s">
        <v>27</v>
      </c>
      <c r="E188" s="24" t="s">
        <v>217</v>
      </c>
      <c r="F188" s="26" t="s">
        <v>228</v>
      </c>
      <c r="G188" s="78"/>
      <c r="H188" s="22">
        <f t="shared" si="23"/>
        <v>16132.7</v>
      </c>
      <c r="I188" s="22">
        <f t="shared" si="23"/>
        <v>16585.400000000001</v>
      </c>
      <c r="J188" s="22">
        <f t="shared" si="23"/>
        <v>6692.4000000000015</v>
      </c>
    </row>
    <row r="189" spans="2:10" s="57" customFormat="1" ht="16.5" customHeight="1" x14ac:dyDescent="0.2">
      <c r="B189" s="77" t="s">
        <v>150</v>
      </c>
      <c r="C189" s="24" t="s">
        <v>10</v>
      </c>
      <c r="D189" s="24" t="s">
        <v>27</v>
      </c>
      <c r="E189" s="24" t="s">
        <v>217</v>
      </c>
      <c r="F189" s="26" t="s">
        <v>228</v>
      </c>
      <c r="G189" s="31" t="s">
        <v>106</v>
      </c>
      <c r="H189" s="22">
        <f>20225.9-4093.2</f>
        <v>16132.7</v>
      </c>
      <c r="I189" s="22">
        <f>17938.3-3977.9+2625</f>
        <v>16585.400000000001</v>
      </c>
      <c r="J189" s="22">
        <f>18683.4-3977.9-10656.1+2643</f>
        <v>6692.4000000000015</v>
      </c>
    </row>
    <row r="190" spans="2:10" s="80" customFormat="1" ht="14.25" customHeight="1" x14ac:dyDescent="0.2">
      <c r="B190" s="79" t="s">
        <v>229</v>
      </c>
      <c r="C190" s="18" t="s">
        <v>10</v>
      </c>
      <c r="D190" s="18" t="s">
        <v>27</v>
      </c>
      <c r="E190" s="18" t="s">
        <v>172</v>
      </c>
      <c r="F190" s="18"/>
      <c r="G190" s="18"/>
      <c r="H190" s="19">
        <f>H191+H205</f>
        <v>15799.900000000001</v>
      </c>
      <c r="I190" s="19">
        <f>I191+I205</f>
        <v>16801.900000000001</v>
      </c>
      <c r="J190" s="19">
        <f>J191+J205</f>
        <v>17131.900000000001</v>
      </c>
    </row>
    <row r="191" spans="2:10" s="80" customFormat="1" ht="28.5" customHeight="1" x14ac:dyDescent="0.2">
      <c r="B191" s="23" t="s">
        <v>218</v>
      </c>
      <c r="C191" s="24" t="s">
        <v>10</v>
      </c>
      <c r="D191" s="24" t="s">
        <v>27</v>
      </c>
      <c r="E191" s="24" t="s">
        <v>172</v>
      </c>
      <c r="F191" s="24" t="s">
        <v>219</v>
      </c>
      <c r="G191" s="24"/>
      <c r="H191" s="19">
        <f>H192+H198</f>
        <v>15799.900000000001</v>
      </c>
      <c r="I191" s="19">
        <f>I192+I198</f>
        <v>16801.900000000001</v>
      </c>
      <c r="J191" s="19">
        <f>J192+J198</f>
        <v>17131.900000000001</v>
      </c>
    </row>
    <row r="192" spans="2:10" s="80" customFormat="1" ht="15" customHeight="1" x14ac:dyDescent="0.2">
      <c r="B192" s="23" t="s">
        <v>187</v>
      </c>
      <c r="C192" s="24" t="s">
        <v>10</v>
      </c>
      <c r="D192" s="24" t="s">
        <v>27</v>
      </c>
      <c r="E192" s="24" t="s">
        <v>172</v>
      </c>
      <c r="F192" s="26" t="s">
        <v>230</v>
      </c>
      <c r="G192" s="24"/>
      <c r="H192" s="22">
        <f>H193</f>
        <v>2370.3000000000002</v>
      </c>
      <c r="I192" s="22">
        <f>I193</f>
        <v>3551.9</v>
      </c>
      <c r="J192" s="22">
        <f>J193</f>
        <v>3581.9</v>
      </c>
    </row>
    <row r="193" spans="2:11" s="80" customFormat="1" ht="28.5" customHeight="1" x14ac:dyDescent="0.2">
      <c r="B193" s="23" t="s">
        <v>231</v>
      </c>
      <c r="C193" s="24" t="s">
        <v>10</v>
      </c>
      <c r="D193" s="24" t="s">
        <v>27</v>
      </c>
      <c r="E193" s="24" t="s">
        <v>172</v>
      </c>
      <c r="F193" s="26" t="s">
        <v>232</v>
      </c>
      <c r="G193" s="24"/>
      <c r="H193" s="22">
        <f>H194+H196</f>
        <v>2370.3000000000002</v>
      </c>
      <c r="I193" s="22">
        <f>I194+I196</f>
        <v>3551.9</v>
      </c>
      <c r="J193" s="22">
        <f>J194+J196</f>
        <v>3581.9</v>
      </c>
    </row>
    <row r="194" spans="2:11" s="80" customFormat="1" ht="45.75" customHeight="1" x14ac:dyDescent="0.2">
      <c r="B194" s="23" t="s">
        <v>233</v>
      </c>
      <c r="C194" s="24" t="s">
        <v>10</v>
      </c>
      <c r="D194" s="24" t="s">
        <v>27</v>
      </c>
      <c r="E194" s="24" t="s">
        <v>172</v>
      </c>
      <c r="F194" s="26" t="s">
        <v>234</v>
      </c>
      <c r="G194" s="24"/>
      <c r="H194" s="22">
        <f>H195</f>
        <v>631.9</v>
      </c>
      <c r="I194" s="22">
        <f>I195</f>
        <v>631.9</v>
      </c>
      <c r="J194" s="22">
        <f>J195</f>
        <v>631.9</v>
      </c>
    </row>
    <row r="195" spans="2:11" s="80" customFormat="1" ht="27.75" customHeight="1" x14ac:dyDescent="0.2">
      <c r="B195" s="23" t="s">
        <v>90</v>
      </c>
      <c r="C195" s="24" t="s">
        <v>10</v>
      </c>
      <c r="D195" s="24" t="s">
        <v>27</v>
      </c>
      <c r="E195" s="24" t="s">
        <v>172</v>
      </c>
      <c r="F195" s="26" t="s">
        <v>234</v>
      </c>
      <c r="G195" s="24" t="s">
        <v>36</v>
      </c>
      <c r="H195" s="22">
        <f>612.9+19</f>
        <v>631.9</v>
      </c>
      <c r="I195" s="22">
        <f>612.9+19</f>
        <v>631.9</v>
      </c>
      <c r="J195" s="22">
        <f>612.9+19</f>
        <v>631.9</v>
      </c>
    </row>
    <row r="196" spans="2:11" s="80" customFormat="1" ht="29.25" customHeight="1" x14ac:dyDescent="0.2">
      <c r="B196" s="23" t="s">
        <v>235</v>
      </c>
      <c r="C196" s="24" t="s">
        <v>10</v>
      </c>
      <c r="D196" s="24" t="s">
        <v>27</v>
      </c>
      <c r="E196" s="24" t="s">
        <v>172</v>
      </c>
      <c r="F196" s="26" t="s">
        <v>236</v>
      </c>
      <c r="G196" s="24"/>
      <c r="H196" s="22">
        <f>H197</f>
        <v>1738.4</v>
      </c>
      <c r="I196" s="22">
        <f>I197</f>
        <v>2920</v>
      </c>
      <c r="J196" s="22">
        <f>J197</f>
        <v>2950</v>
      </c>
    </row>
    <row r="197" spans="2:11" s="80" customFormat="1" ht="27.75" customHeight="1" x14ac:dyDescent="0.2">
      <c r="B197" s="23" t="s">
        <v>90</v>
      </c>
      <c r="C197" s="24" t="s">
        <v>10</v>
      </c>
      <c r="D197" s="24" t="s">
        <v>27</v>
      </c>
      <c r="E197" s="24" t="s">
        <v>172</v>
      </c>
      <c r="F197" s="26" t="s">
        <v>236</v>
      </c>
      <c r="G197" s="24" t="s">
        <v>36</v>
      </c>
      <c r="H197" s="22">
        <v>1738.4</v>
      </c>
      <c r="I197" s="22">
        <v>2920</v>
      </c>
      <c r="J197" s="22">
        <v>2950</v>
      </c>
    </row>
    <row r="198" spans="2:11" s="80" customFormat="1" ht="15.75" customHeight="1" x14ac:dyDescent="0.2">
      <c r="B198" s="23" t="s">
        <v>17</v>
      </c>
      <c r="C198" s="24" t="s">
        <v>10</v>
      </c>
      <c r="D198" s="24" t="s">
        <v>27</v>
      </c>
      <c r="E198" s="24" t="s">
        <v>172</v>
      </c>
      <c r="F198" s="26" t="s">
        <v>220</v>
      </c>
      <c r="G198" s="52"/>
      <c r="H198" s="22">
        <f>H199+H202</f>
        <v>13429.6</v>
      </c>
      <c r="I198" s="22">
        <f>I199+I202</f>
        <v>13250</v>
      </c>
      <c r="J198" s="22">
        <f>J199+J202</f>
        <v>13550</v>
      </c>
    </row>
    <row r="199" spans="2:11" s="80" customFormat="1" ht="27.75" customHeight="1" x14ac:dyDescent="0.2">
      <c r="B199" s="23" t="s">
        <v>237</v>
      </c>
      <c r="C199" s="24" t="s">
        <v>10</v>
      </c>
      <c r="D199" s="24" t="s">
        <v>27</v>
      </c>
      <c r="E199" s="24" t="s">
        <v>172</v>
      </c>
      <c r="F199" s="26" t="s">
        <v>238</v>
      </c>
      <c r="G199" s="52"/>
      <c r="H199" s="22">
        <f t="shared" ref="H199:J200" si="24">H200</f>
        <v>13050</v>
      </c>
      <c r="I199" s="22">
        <f t="shared" si="24"/>
        <v>13000</v>
      </c>
      <c r="J199" s="22">
        <f t="shared" si="24"/>
        <v>13300</v>
      </c>
    </row>
    <row r="200" spans="2:11" s="80" customFormat="1" ht="27.75" customHeight="1" x14ac:dyDescent="0.2">
      <c r="B200" s="23" t="s">
        <v>239</v>
      </c>
      <c r="C200" s="24" t="s">
        <v>10</v>
      </c>
      <c r="D200" s="24" t="s">
        <v>27</v>
      </c>
      <c r="E200" s="24" t="s">
        <v>172</v>
      </c>
      <c r="F200" s="26" t="s">
        <v>240</v>
      </c>
      <c r="G200" s="52"/>
      <c r="H200" s="22">
        <f t="shared" si="24"/>
        <v>13050</v>
      </c>
      <c r="I200" s="22">
        <f t="shared" si="24"/>
        <v>13000</v>
      </c>
      <c r="J200" s="22">
        <f t="shared" si="24"/>
        <v>13300</v>
      </c>
    </row>
    <row r="201" spans="2:11" s="80" customFormat="1" ht="27.75" customHeight="1" x14ac:dyDescent="0.2">
      <c r="B201" s="23" t="s">
        <v>90</v>
      </c>
      <c r="C201" s="24" t="s">
        <v>10</v>
      </c>
      <c r="D201" s="24" t="s">
        <v>27</v>
      </c>
      <c r="E201" s="24" t="s">
        <v>172</v>
      </c>
      <c r="F201" s="26" t="s">
        <v>240</v>
      </c>
      <c r="G201" s="52" t="s">
        <v>36</v>
      </c>
      <c r="H201" s="22">
        <f>12000+1050</f>
        <v>13050</v>
      </c>
      <c r="I201" s="22">
        <v>13000</v>
      </c>
      <c r="J201" s="22">
        <v>13300</v>
      </c>
    </row>
    <row r="202" spans="2:11" s="80" customFormat="1" ht="27.75" customHeight="1" x14ac:dyDescent="0.2">
      <c r="B202" s="81" t="s">
        <v>241</v>
      </c>
      <c r="C202" s="24" t="s">
        <v>10</v>
      </c>
      <c r="D202" s="24" t="s">
        <v>27</v>
      </c>
      <c r="E202" s="24" t="s">
        <v>172</v>
      </c>
      <c r="F202" s="26" t="s">
        <v>242</v>
      </c>
      <c r="G202" s="24"/>
      <c r="H202" s="22">
        <f t="shared" ref="H202:J203" si="25">H203</f>
        <v>379.6</v>
      </c>
      <c r="I202" s="22">
        <f t="shared" si="25"/>
        <v>250</v>
      </c>
      <c r="J202" s="22">
        <f t="shared" si="25"/>
        <v>250</v>
      </c>
    </row>
    <row r="203" spans="2:11" s="80" customFormat="1" ht="15.75" customHeight="1" x14ac:dyDescent="0.2">
      <c r="B203" s="53" t="s">
        <v>243</v>
      </c>
      <c r="C203" s="24" t="s">
        <v>10</v>
      </c>
      <c r="D203" s="24" t="s">
        <v>27</v>
      </c>
      <c r="E203" s="24" t="s">
        <v>172</v>
      </c>
      <c r="F203" s="26" t="s">
        <v>244</v>
      </c>
      <c r="G203" s="24"/>
      <c r="H203" s="22">
        <f t="shared" si="25"/>
        <v>379.6</v>
      </c>
      <c r="I203" s="22">
        <f t="shared" si="25"/>
        <v>250</v>
      </c>
      <c r="J203" s="22">
        <f t="shared" si="25"/>
        <v>250</v>
      </c>
    </row>
    <row r="204" spans="2:11" s="80" customFormat="1" ht="27.75" customHeight="1" x14ac:dyDescent="0.2">
      <c r="B204" s="23" t="s">
        <v>90</v>
      </c>
      <c r="C204" s="24" t="s">
        <v>10</v>
      </c>
      <c r="D204" s="24" t="s">
        <v>27</v>
      </c>
      <c r="E204" s="24" t="s">
        <v>172</v>
      </c>
      <c r="F204" s="26" t="s">
        <v>244</v>
      </c>
      <c r="G204" s="24" t="s">
        <v>36</v>
      </c>
      <c r="H204" s="22">
        <v>379.6</v>
      </c>
      <c r="I204" s="22">
        <v>250</v>
      </c>
      <c r="J204" s="22">
        <v>250</v>
      </c>
      <c r="K204" s="20"/>
    </row>
    <row r="205" spans="2:11" s="80" customFormat="1" ht="40.5" customHeight="1" x14ac:dyDescent="0.2">
      <c r="B205" s="23" t="s">
        <v>55</v>
      </c>
      <c r="C205" s="24" t="s">
        <v>10</v>
      </c>
      <c r="D205" s="24" t="s">
        <v>27</v>
      </c>
      <c r="E205" s="24" t="s">
        <v>172</v>
      </c>
      <c r="F205" s="26" t="s">
        <v>56</v>
      </c>
      <c r="G205" s="24"/>
      <c r="H205" s="22">
        <f t="shared" ref="H205:J208" si="26">H206</f>
        <v>0</v>
      </c>
      <c r="I205" s="22">
        <f t="shared" si="26"/>
        <v>0</v>
      </c>
      <c r="J205" s="22">
        <f t="shared" si="26"/>
        <v>0</v>
      </c>
    </row>
    <row r="206" spans="2:11" s="80" customFormat="1" ht="16.5" customHeight="1" x14ac:dyDescent="0.2">
      <c r="B206" s="23" t="s">
        <v>17</v>
      </c>
      <c r="C206" s="24" t="s">
        <v>10</v>
      </c>
      <c r="D206" s="24" t="s">
        <v>27</v>
      </c>
      <c r="E206" s="24" t="s">
        <v>172</v>
      </c>
      <c r="F206" s="26" t="s">
        <v>58</v>
      </c>
      <c r="G206" s="24"/>
      <c r="H206" s="22">
        <f t="shared" si="26"/>
        <v>0</v>
      </c>
      <c r="I206" s="22">
        <f t="shared" si="26"/>
        <v>0</v>
      </c>
      <c r="J206" s="22">
        <f t="shared" si="26"/>
        <v>0</v>
      </c>
    </row>
    <row r="207" spans="2:11" s="80" customFormat="1" ht="23.25" customHeight="1" x14ac:dyDescent="0.2">
      <c r="B207" s="23" t="s">
        <v>161</v>
      </c>
      <c r="C207" s="24" t="s">
        <v>10</v>
      </c>
      <c r="D207" s="24" t="s">
        <v>27</v>
      </c>
      <c r="E207" s="24" t="s">
        <v>172</v>
      </c>
      <c r="F207" s="26" t="s">
        <v>162</v>
      </c>
      <c r="G207" s="24"/>
      <c r="H207" s="22">
        <f t="shared" si="26"/>
        <v>0</v>
      </c>
      <c r="I207" s="22">
        <f t="shared" si="26"/>
        <v>0</v>
      </c>
      <c r="J207" s="22">
        <f t="shared" si="26"/>
        <v>0</v>
      </c>
    </row>
    <row r="208" spans="2:11" s="80" customFormat="1" ht="27.75" customHeight="1" x14ac:dyDescent="0.2">
      <c r="B208" s="23" t="s">
        <v>205</v>
      </c>
      <c r="C208" s="24" t="s">
        <v>10</v>
      </c>
      <c r="D208" s="24" t="s">
        <v>27</v>
      </c>
      <c r="E208" s="24" t="s">
        <v>172</v>
      </c>
      <c r="F208" s="26" t="s">
        <v>206</v>
      </c>
      <c r="G208" s="24"/>
      <c r="H208" s="22">
        <f t="shared" si="26"/>
        <v>0</v>
      </c>
      <c r="I208" s="22">
        <f t="shared" si="26"/>
        <v>0</v>
      </c>
      <c r="J208" s="22">
        <f t="shared" si="26"/>
        <v>0</v>
      </c>
    </row>
    <row r="209" spans="2:11" s="80" customFormat="1" ht="27.75" customHeight="1" x14ac:dyDescent="0.2">
      <c r="B209" s="23" t="s">
        <v>35</v>
      </c>
      <c r="C209" s="24" t="s">
        <v>10</v>
      </c>
      <c r="D209" s="24" t="s">
        <v>27</v>
      </c>
      <c r="E209" s="24" t="s">
        <v>172</v>
      </c>
      <c r="F209" s="26" t="s">
        <v>206</v>
      </c>
      <c r="G209" s="24" t="s">
        <v>36</v>
      </c>
      <c r="H209" s="22">
        <f>1050-1050</f>
        <v>0</v>
      </c>
      <c r="I209" s="22">
        <v>0</v>
      </c>
      <c r="J209" s="22">
        <v>0</v>
      </c>
      <c r="K209" s="39"/>
    </row>
    <row r="210" spans="2:11" s="80" customFormat="1" x14ac:dyDescent="0.2">
      <c r="B210" s="82" t="s">
        <v>245</v>
      </c>
      <c r="C210" s="18" t="s">
        <v>10</v>
      </c>
      <c r="D210" s="18" t="s">
        <v>27</v>
      </c>
      <c r="E210" s="18" t="s">
        <v>246</v>
      </c>
      <c r="F210" s="76"/>
      <c r="G210" s="18"/>
      <c r="H210" s="19">
        <f>H211</f>
        <v>1137.8</v>
      </c>
      <c r="I210" s="19">
        <f>I211</f>
        <v>1599.8000000000002</v>
      </c>
      <c r="J210" s="19">
        <f>J211</f>
        <v>1499.8000000000002</v>
      </c>
    </row>
    <row r="211" spans="2:11" s="57" customFormat="1" ht="25.5" x14ac:dyDescent="0.2">
      <c r="B211" s="23" t="s">
        <v>247</v>
      </c>
      <c r="C211" s="24" t="s">
        <v>10</v>
      </c>
      <c r="D211" s="24" t="s">
        <v>27</v>
      </c>
      <c r="E211" s="24" t="s">
        <v>246</v>
      </c>
      <c r="F211" s="26" t="s">
        <v>248</v>
      </c>
      <c r="G211" s="24"/>
      <c r="H211" s="22">
        <f>H212+H218</f>
        <v>1137.8</v>
      </c>
      <c r="I211" s="22">
        <f>I212+I218</f>
        <v>1599.8000000000002</v>
      </c>
      <c r="J211" s="22">
        <f>J212+J218</f>
        <v>1499.8000000000002</v>
      </c>
    </row>
    <row r="212" spans="2:11" s="57" customFormat="1" x14ac:dyDescent="0.2">
      <c r="B212" s="36" t="s">
        <v>249</v>
      </c>
      <c r="C212" s="24" t="s">
        <v>10</v>
      </c>
      <c r="D212" s="24" t="s">
        <v>27</v>
      </c>
      <c r="E212" s="24" t="s">
        <v>246</v>
      </c>
      <c r="F212" s="26" t="s">
        <v>250</v>
      </c>
      <c r="G212" s="24"/>
      <c r="H212" s="22">
        <f t="shared" ref="H212:J214" si="27">H213</f>
        <v>107.5</v>
      </c>
      <c r="I212" s="22">
        <f t="shared" si="27"/>
        <v>200</v>
      </c>
      <c r="J212" s="22">
        <f t="shared" si="27"/>
        <v>100</v>
      </c>
    </row>
    <row r="213" spans="2:11" s="57" customFormat="1" x14ac:dyDescent="0.2">
      <c r="B213" s="36" t="s">
        <v>251</v>
      </c>
      <c r="C213" s="24" t="s">
        <v>10</v>
      </c>
      <c r="D213" s="24" t="s">
        <v>27</v>
      </c>
      <c r="E213" s="24" t="s">
        <v>246</v>
      </c>
      <c r="F213" s="26" t="s">
        <v>252</v>
      </c>
      <c r="G213" s="24"/>
      <c r="H213" s="22">
        <f>H214+H216</f>
        <v>107.5</v>
      </c>
      <c r="I213" s="22">
        <f>I214+I216</f>
        <v>200</v>
      </c>
      <c r="J213" s="22">
        <f>J214+J216</f>
        <v>100</v>
      </c>
    </row>
    <row r="214" spans="2:11" s="57" customFormat="1" x14ac:dyDescent="0.2">
      <c r="B214" s="36" t="s">
        <v>253</v>
      </c>
      <c r="C214" s="24" t="s">
        <v>10</v>
      </c>
      <c r="D214" s="24" t="s">
        <v>27</v>
      </c>
      <c r="E214" s="24" t="s">
        <v>246</v>
      </c>
      <c r="F214" s="26" t="s">
        <v>254</v>
      </c>
      <c r="G214" s="24"/>
      <c r="H214" s="22">
        <f t="shared" si="27"/>
        <v>7.5</v>
      </c>
      <c r="I214" s="22">
        <f t="shared" si="27"/>
        <v>100</v>
      </c>
      <c r="J214" s="22">
        <f t="shared" si="27"/>
        <v>0</v>
      </c>
    </row>
    <row r="215" spans="2:11" s="57" customFormat="1" ht="25.5" x14ac:dyDescent="0.2">
      <c r="B215" s="36" t="s">
        <v>35</v>
      </c>
      <c r="C215" s="24" t="s">
        <v>10</v>
      </c>
      <c r="D215" s="24" t="s">
        <v>27</v>
      </c>
      <c r="E215" s="24" t="s">
        <v>246</v>
      </c>
      <c r="F215" s="26" t="s">
        <v>254</v>
      </c>
      <c r="G215" s="24" t="s">
        <v>36</v>
      </c>
      <c r="H215" s="22">
        <v>7.5</v>
      </c>
      <c r="I215" s="22">
        <v>100</v>
      </c>
      <c r="J215" s="22">
        <v>0</v>
      </c>
      <c r="K215" s="20"/>
    </row>
    <row r="216" spans="2:11" s="57" customFormat="1" ht="25.5" x14ac:dyDescent="0.2">
      <c r="B216" s="36" t="s">
        <v>255</v>
      </c>
      <c r="C216" s="24" t="s">
        <v>10</v>
      </c>
      <c r="D216" s="24" t="s">
        <v>27</v>
      </c>
      <c r="E216" s="24" t="s">
        <v>246</v>
      </c>
      <c r="F216" s="26" t="s">
        <v>256</v>
      </c>
      <c r="G216" s="24"/>
      <c r="H216" s="22">
        <f>H217</f>
        <v>100</v>
      </c>
      <c r="I216" s="22">
        <f>I217</f>
        <v>100</v>
      </c>
      <c r="J216" s="22">
        <f>J217</f>
        <v>100</v>
      </c>
    </row>
    <row r="217" spans="2:11" s="57" customFormat="1" ht="25.5" x14ac:dyDescent="0.2">
      <c r="B217" s="36" t="s">
        <v>35</v>
      </c>
      <c r="C217" s="24" t="s">
        <v>10</v>
      </c>
      <c r="D217" s="24" t="s">
        <v>27</v>
      </c>
      <c r="E217" s="24" t="s">
        <v>246</v>
      </c>
      <c r="F217" s="26" t="s">
        <v>256</v>
      </c>
      <c r="G217" s="24" t="s">
        <v>36</v>
      </c>
      <c r="H217" s="22">
        <v>100</v>
      </c>
      <c r="I217" s="22">
        <v>100</v>
      </c>
      <c r="J217" s="22">
        <v>100</v>
      </c>
    </row>
    <row r="218" spans="2:11" s="57" customFormat="1" x14ac:dyDescent="0.2">
      <c r="B218" s="23" t="s">
        <v>17</v>
      </c>
      <c r="C218" s="24" t="s">
        <v>10</v>
      </c>
      <c r="D218" s="24" t="s">
        <v>27</v>
      </c>
      <c r="E218" s="24" t="s">
        <v>246</v>
      </c>
      <c r="F218" s="26" t="s">
        <v>257</v>
      </c>
      <c r="G218" s="24"/>
      <c r="H218" s="22">
        <f>H219</f>
        <v>1030.3</v>
      </c>
      <c r="I218" s="22">
        <f>I219</f>
        <v>1399.8000000000002</v>
      </c>
      <c r="J218" s="22">
        <f>J219</f>
        <v>1399.8000000000002</v>
      </c>
    </row>
    <row r="219" spans="2:11" s="57" customFormat="1" ht="25.5" x14ac:dyDescent="0.2">
      <c r="B219" s="23" t="s">
        <v>258</v>
      </c>
      <c r="C219" s="24" t="s">
        <v>10</v>
      </c>
      <c r="D219" s="24" t="s">
        <v>27</v>
      </c>
      <c r="E219" s="24" t="s">
        <v>246</v>
      </c>
      <c r="F219" s="26" t="s">
        <v>259</v>
      </c>
      <c r="G219" s="24"/>
      <c r="H219" s="22">
        <f>H220+H222</f>
        <v>1030.3</v>
      </c>
      <c r="I219" s="22">
        <f>I220+I222</f>
        <v>1399.8000000000002</v>
      </c>
      <c r="J219" s="22">
        <f>J220+J222</f>
        <v>1399.8000000000002</v>
      </c>
    </row>
    <row r="220" spans="2:11" s="57" customFormat="1" ht="25.5" x14ac:dyDescent="0.2">
      <c r="B220" s="36" t="s">
        <v>260</v>
      </c>
      <c r="C220" s="24" t="s">
        <v>10</v>
      </c>
      <c r="D220" s="24" t="s">
        <v>27</v>
      </c>
      <c r="E220" s="24" t="s">
        <v>246</v>
      </c>
      <c r="F220" s="26" t="s">
        <v>261</v>
      </c>
      <c r="G220" s="24"/>
      <c r="H220" s="22">
        <f>H221</f>
        <v>400.5</v>
      </c>
      <c r="I220" s="22">
        <f>I221</f>
        <v>1104.1000000000001</v>
      </c>
      <c r="J220" s="22">
        <f>J221</f>
        <v>1104.1000000000001</v>
      </c>
    </row>
    <row r="221" spans="2:11" s="57" customFormat="1" ht="41.25" customHeight="1" x14ac:dyDescent="0.2">
      <c r="B221" s="67" t="s">
        <v>99</v>
      </c>
      <c r="C221" s="24" t="s">
        <v>10</v>
      </c>
      <c r="D221" s="24" t="s">
        <v>27</v>
      </c>
      <c r="E221" s="24" t="s">
        <v>246</v>
      </c>
      <c r="F221" s="26" t="s">
        <v>261</v>
      </c>
      <c r="G221" s="24" t="s">
        <v>100</v>
      </c>
      <c r="H221" s="22">
        <f>380.5+20</f>
        <v>400.5</v>
      </c>
      <c r="I221" s="22">
        <f>1048.9+55.2</f>
        <v>1104.1000000000001</v>
      </c>
      <c r="J221" s="22">
        <f>1048.9+55.2</f>
        <v>1104.1000000000001</v>
      </c>
    </row>
    <row r="222" spans="2:11" s="57" customFormat="1" ht="30.75" customHeight="1" x14ac:dyDescent="0.2">
      <c r="B222" s="67" t="s">
        <v>262</v>
      </c>
      <c r="C222" s="24" t="s">
        <v>10</v>
      </c>
      <c r="D222" s="24" t="s">
        <v>27</v>
      </c>
      <c r="E222" s="24" t="s">
        <v>246</v>
      </c>
      <c r="F222" s="26" t="s">
        <v>263</v>
      </c>
      <c r="G222" s="24"/>
      <c r="H222" s="22">
        <f>H223</f>
        <v>629.79999999999995</v>
      </c>
      <c r="I222" s="22">
        <f>I223</f>
        <v>295.7</v>
      </c>
      <c r="J222" s="22">
        <f>J223</f>
        <v>295.7</v>
      </c>
    </row>
    <row r="223" spans="2:11" s="57" customFormat="1" ht="41.25" customHeight="1" x14ac:dyDescent="0.2">
      <c r="B223" s="67" t="s">
        <v>99</v>
      </c>
      <c r="C223" s="24" t="s">
        <v>10</v>
      </c>
      <c r="D223" s="24" t="s">
        <v>27</v>
      </c>
      <c r="E223" s="24" t="s">
        <v>246</v>
      </c>
      <c r="F223" s="26" t="s">
        <v>263</v>
      </c>
      <c r="G223" s="24" t="s">
        <v>100</v>
      </c>
      <c r="H223" s="22">
        <f>598.3+31.5</f>
        <v>629.79999999999995</v>
      </c>
      <c r="I223" s="22">
        <f>280.9+14.8</f>
        <v>295.7</v>
      </c>
      <c r="J223" s="22">
        <f>280.9+14.8</f>
        <v>295.7</v>
      </c>
    </row>
    <row r="224" spans="2:11" s="64" customFormat="1" x14ac:dyDescent="0.2">
      <c r="B224" s="17" t="s">
        <v>264</v>
      </c>
      <c r="C224" s="18" t="s">
        <v>10</v>
      </c>
      <c r="D224" s="18" t="s">
        <v>72</v>
      </c>
      <c r="E224" s="18"/>
      <c r="F224" s="18"/>
      <c r="G224" s="18"/>
      <c r="H224" s="19">
        <f>H225+H238+H271</f>
        <v>160744.19999999998</v>
      </c>
      <c r="I224" s="19">
        <f>I225+I238+I271</f>
        <v>25230.1</v>
      </c>
      <c r="J224" s="19">
        <f>J225+J238+J271</f>
        <v>24213.3</v>
      </c>
    </row>
    <row r="225" spans="2:11" s="64" customFormat="1" x14ac:dyDescent="0.2">
      <c r="B225" s="17" t="s">
        <v>265</v>
      </c>
      <c r="C225" s="18" t="s">
        <v>10</v>
      </c>
      <c r="D225" s="18" t="s">
        <v>72</v>
      </c>
      <c r="E225" s="18" t="s">
        <v>12</v>
      </c>
      <c r="F225" s="18"/>
      <c r="G225" s="18"/>
      <c r="H225" s="19">
        <f>H230+H226</f>
        <v>368.4</v>
      </c>
      <c r="I225" s="19">
        <f>I230+I226</f>
        <v>1800</v>
      </c>
      <c r="J225" s="19">
        <f>J230+J226</f>
        <v>1000</v>
      </c>
    </row>
    <row r="226" spans="2:11" s="64" customFormat="1" ht="38.25" hidden="1" x14ac:dyDescent="0.2">
      <c r="B226" s="41" t="s">
        <v>266</v>
      </c>
      <c r="C226" s="24" t="s">
        <v>10</v>
      </c>
      <c r="D226" s="24" t="s">
        <v>72</v>
      </c>
      <c r="E226" s="24" t="s">
        <v>12</v>
      </c>
      <c r="F226" s="26" t="s">
        <v>267</v>
      </c>
      <c r="G226" s="24"/>
      <c r="H226" s="22">
        <f>H227</f>
        <v>0</v>
      </c>
      <c r="I226" s="22">
        <f>I227</f>
        <v>0</v>
      </c>
      <c r="J226" s="22">
        <f>J227</f>
        <v>0</v>
      </c>
    </row>
    <row r="227" spans="2:11" s="64" customFormat="1" ht="25.5" hidden="1" x14ac:dyDescent="0.2">
      <c r="B227" s="83" t="s">
        <v>268</v>
      </c>
      <c r="C227" s="24" t="s">
        <v>10</v>
      </c>
      <c r="D227" s="24" t="s">
        <v>72</v>
      </c>
      <c r="E227" s="24" t="s">
        <v>12</v>
      </c>
      <c r="F227" s="26" t="s">
        <v>267</v>
      </c>
      <c r="G227" s="24"/>
      <c r="H227" s="22">
        <f t="shared" ref="H227:J228" si="28">H228</f>
        <v>0</v>
      </c>
      <c r="I227" s="22">
        <f t="shared" si="28"/>
        <v>0</v>
      </c>
      <c r="J227" s="22">
        <f t="shared" si="28"/>
        <v>0</v>
      </c>
    </row>
    <row r="228" spans="2:11" s="64" customFormat="1" ht="25.5" hidden="1" x14ac:dyDescent="0.2">
      <c r="B228" s="83" t="s">
        <v>269</v>
      </c>
      <c r="C228" s="24" t="s">
        <v>10</v>
      </c>
      <c r="D228" s="24" t="s">
        <v>72</v>
      </c>
      <c r="E228" s="24" t="s">
        <v>12</v>
      </c>
      <c r="F228" s="26" t="s">
        <v>270</v>
      </c>
      <c r="G228" s="24"/>
      <c r="H228" s="22">
        <f t="shared" si="28"/>
        <v>0</v>
      </c>
      <c r="I228" s="22">
        <f t="shared" si="28"/>
        <v>0</v>
      </c>
      <c r="J228" s="22">
        <f t="shared" si="28"/>
        <v>0</v>
      </c>
    </row>
    <row r="229" spans="2:11" s="64" customFormat="1" ht="25.5" hidden="1" x14ac:dyDescent="0.2">
      <c r="B229" s="23" t="s">
        <v>35</v>
      </c>
      <c r="C229" s="24" t="s">
        <v>10</v>
      </c>
      <c r="D229" s="24" t="s">
        <v>72</v>
      </c>
      <c r="E229" s="24" t="s">
        <v>12</v>
      </c>
      <c r="F229" s="26" t="s">
        <v>270</v>
      </c>
      <c r="G229" s="24" t="s">
        <v>36</v>
      </c>
      <c r="H229" s="22">
        <v>0</v>
      </c>
      <c r="I229" s="22">
        <v>0</v>
      </c>
      <c r="J229" s="22">
        <v>0</v>
      </c>
    </row>
    <row r="230" spans="2:11" s="20" customFormat="1" ht="40.5" customHeight="1" x14ac:dyDescent="0.2">
      <c r="B230" s="23" t="s">
        <v>271</v>
      </c>
      <c r="C230" s="24" t="s">
        <v>10</v>
      </c>
      <c r="D230" s="24" t="s">
        <v>72</v>
      </c>
      <c r="E230" s="24" t="s">
        <v>12</v>
      </c>
      <c r="F230" s="26" t="s">
        <v>272</v>
      </c>
      <c r="G230" s="31"/>
      <c r="H230" s="22">
        <f>H231</f>
        <v>368.4</v>
      </c>
      <c r="I230" s="22">
        <f>I231</f>
        <v>1800</v>
      </c>
      <c r="J230" s="22">
        <f>J231</f>
        <v>1000</v>
      </c>
    </row>
    <row r="231" spans="2:11" s="20" customFormat="1" ht="16.5" customHeight="1" x14ac:dyDescent="0.2">
      <c r="B231" s="23" t="s">
        <v>49</v>
      </c>
      <c r="C231" s="24" t="s">
        <v>10</v>
      </c>
      <c r="D231" s="24" t="s">
        <v>72</v>
      </c>
      <c r="E231" s="24" t="s">
        <v>12</v>
      </c>
      <c r="F231" s="26" t="s">
        <v>273</v>
      </c>
      <c r="G231" s="31"/>
      <c r="H231" s="22">
        <f>H232+H235</f>
        <v>368.4</v>
      </c>
      <c r="I231" s="22">
        <f>I232+I235</f>
        <v>1800</v>
      </c>
      <c r="J231" s="22">
        <f>J232+J235</f>
        <v>1000</v>
      </c>
    </row>
    <row r="232" spans="2:11" s="20" customFormat="1" ht="24" customHeight="1" x14ac:dyDescent="0.2">
      <c r="B232" s="23" t="s">
        <v>274</v>
      </c>
      <c r="C232" s="24" t="s">
        <v>10</v>
      </c>
      <c r="D232" s="24" t="s">
        <v>72</v>
      </c>
      <c r="E232" s="24" t="s">
        <v>12</v>
      </c>
      <c r="F232" s="26" t="s">
        <v>275</v>
      </c>
      <c r="G232" s="31"/>
      <c r="H232" s="22">
        <f t="shared" ref="H232:J233" si="29">H233</f>
        <v>368.4</v>
      </c>
      <c r="I232" s="22">
        <f t="shared" si="29"/>
        <v>1000</v>
      </c>
      <c r="J232" s="22">
        <f t="shared" si="29"/>
        <v>1000</v>
      </c>
    </row>
    <row r="233" spans="2:11" s="20" customFormat="1" ht="28.5" customHeight="1" x14ac:dyDescent="0.2">
      <c r="B233" s="23" t="s">
        <v>276</v>
      </c>
      <c r="C233" s="24" t="s">
        <v>10</v>
      </c>
      <c r="D233" s="24" t="s">
        <v>72</v>
      </c>
      <c r="E233" s="24" t="s">
        <v>12</v>
      </c>
      <c r="F233" s="26" t="s">
        <v>277</v>
      </c>
      <c r="G233" s="31"/>
      <c r="H233" s="22">
        <f t="shared" si="29"/>
        <v>368.4</v>
      </c>
      <c r="I233" s="22">
        <f t="shared" si="29"/>
        <v>1000</v>
      </c>
      <c r="J233" s="22">
        <f t="shared" si="29"/>
        <v>1000</v>
      </c>
    </row>
    <row r="234" spans="2:11" s="20" customFormat="1" ht="28.5" customHeight="1" x14ac:dyDescent="0.2">
      <c r="B234" s="23" t="s">
        <v>35</v>
      </c>
      <c r="C234" s="24" t="s">
        <v>10</v>
      </c>
      <c r="D234" s="24" t="s">
        <v>72</v>
      </c>
      <c r="E234" s="24" t="s">
        <v>12</v>
      </c>
      <c r="F234" s="26" t="s">
        <v>277</v>
      </c>
      <c r="G234" s="31" t="s">
        <v>36</v>
      </c>
      <c r="H234" s="22">
        <f>710.1+368.4-710.1</f>
        <v>368.4</v>
      </c>
      <c r="I234" s="22">
        <v>1000</v>
      </c>
      <c r="J234" s="22">
        <v>1000</v>
      </c>
      <c r="K234" s="39"/>
    </row>
    <row r="235" spans="2:11" s="20" customFormat="1" ht="25.5" customHeight="1" x14ac:dyDescent="0.2">
      <c r="B235" s="42" t="s">
        <v>278</v>
      </c>
      <c r="C235" s="24" t="s">
        <v>10</v>
      </c>
      <c r="D235" s="24" t="s">
        <v>72</v>
      </c>
      <c r="E235" s="24" t="s">
        <v>12</v>
      </c>
      <c r="F235" s="26" t="s">
        <v>279</v>
      </c>
      <c r="G235" s="31"/>
      <c r="H235" s="22">
        <f t="shared" ref="H235:J236" si="30">H236</f>
        <v>0</v>
      </c>
      <c r="I235" s="22">
        <f t="shared" si="30"/>
        <v>800</v>
      </c>
      <c r="J235" s="22">
        <f t="shared" si="30"/>
        <v>0</v>
      </c>
    </row>
    <row r="236" spans="2:11" s="20" customFormat="1" ht="24" customHeight="1" x14ac:dyDescent="0.2">
      <c r="B236" s="42" t="s">
        <v>280</v>
      </c>
      <c r="C236" s="24" t="s">
        <v>10</v>
      </c>
      <c r="D236" s="24" t="s">
        <v>72</v>
      </c>
      <c r="E236" s="24" t="s">
        <v>12</v>
      </c>
      <c r="F236" s="26" t="s">
        <v>281</v>
      </c>
      <c r="G236" s="31"/>
      <c r="H236" s="22">
        <f t="shared" si="30"/>
        <v>0</v>
      </c>
      <c r="I236" s="22">
        <f t="shared" si="30"/>
        <v>800</v>
      </c>
      <c r="J236" s="22">
        <f t="shared" si="30"/>
        <v>0</v>
      </c>
    </row>
    <row r="237" spans="2:11" s="20" customFormat="1" ht="28.5" customHeight="1" x14ac:dyDescent="0.2">
      <c r="B237" s="23" t="s">
        <v>35</v>
      </c>
      <c r="C237" s="24" t="s">
        <v>10</v>
      </c>
      <c r="D237" s="24" t="s">
        <v>72</v>
      </c>
      <c r="E237" s="24" t="s">
        <v>12</v>
      </c>
      <c r="F237" s="26" t="s">
        <v>281</v>
      </c>
      <c r="G237" s="31" t="s">
        <v>36</v>
      </c>
      <c r="H237" s="22">
        <f>1500-1500</f>
        <v>0</v>
      </c>
      <c r="I237" s="22">
        <v>800</v>
      </c>
      <c r="J237" s="22">
        <v>0</v>
      </c>
      <c r="K237" s="39"/>
    </row>
    <row r="238" spans="2:11" s="80" customFormat="1" x14ac:dyDescent="0.2">
      <c r="B238" s="17" t="s">
        <v>282</v>
      </c>
      <c r="C238" s="18" t="s">
        <v>10</v>
      </c>
      <c r="D238" s="18" t="s">
        <v>72</v>
      </c>
      <c r="E238" s="18" t="s">
        <v>14</v>
      </c>
      <c r="F238" s="76"/>
      <c r="G238" s="18"/>
      <c r="H238" s="19">
        <f>H239+H266</f>
        <v>145615</v>
      </c>
      <c r="I238" s="19">
        <f>I239+I266</f>
        <v>9915.1</v>
      </c>
      <c r="J238" s="19">
        <f>J239+J266</f>
        <v>9750</v>
      </c>
    </row>
    <row r="239" spans="2:11" s="80" customFormat="1" ht="40.5" customHeight="1" x14ac:dyDescent="0.2">
      <c r="B239" s="23" t="s">
        <v>283</v>
      </c>
      <c r="C239" s="24" t="s">
        <v>10</v>
      </c>
      <c r="D239" s="24" t="s">
        <v>72</v>
      </c>
      <c r="E239" s="24" t="s">
        <v>14</v>
      </c>
      <c r="F239" s="26" t="s">
        <v>284</v>
      </c>
      <c r="G239" s="24"/>
      <c r="H239" s="22">
        <f>H240+H257</f>
        <v>145615</v>
      </c>
      <c r="I239" s="22">
        <f>I240+I257</f>
        <v>9815.1</v>
      </c>
      <c r="J239" s="22">
        <f>J240+J257</f>
        <v>9350</v>
      </c>
    </row>
    <row r="240" spans="2:11" s="80" customFormat="1" ht="28.5" customHeight="1" x14ac:dyDescent="0.2">
      <c r="B240" s="23" t="s">
        <v>285</v>
      </c>
      <c r="C240" s="24" t="s">
        <v>10</v>
      </c>
      <c r="D240" s="24" t="s">
        <v>72</v>
      </c>
      <c r="E240" s="24" t="s">
        <v>14</v>
      </c>
      <c r="F240" s="26" t="s">
        <v>286</v>
      </c>
      <c r="G240" s="52"/>
      <c r="H240" s="22">
        <f>H241+H248+H251+H254</f>
        <v>139895.79999999999</v>
      </c>
      <c r="I240" s="22">
        <f>I241+I248+I251+I254</f>
        <v>7000</v>
      </c>
      <c r="J240" s="22">
        <f>J241+J248+J251+J254</f>
        <v>7000</v>
      </c>
    </row>
    <row r="241" spans="2:11" s="80" customFormat="1" ht="40.5" customHeight="1" x14ac:dyDescent="0.2">
      <c r="B241" s="23" t="s">
        <v>287</v>
      </c>
      <c r="C241" s="24" t="s">
        <v>10</v>
      </c>
      <c r="D241" s="24" t="s">
        <v>72</v>
      </c>
      <c r="E241" s="24" t="s">
        <v>14</v>
      </c>
      <c r="F241" s="26" t="s">
        <v>288</v>
      </c>
      <c r="G241" s="52"/>
      <c r="H241" s="22">
        <f>H242+H245</f>
        <v>130895.8</v>
      </c>
      <c r="I241" s="22">
        <f>I242+I245</f>
        <v>0</v>
      </c>
      <c r="J241" s="22">
        <f>J242+J245</f>
        <v>0</v>
      </c>
    </row>
    <row r="242" spans="2:11" s="80" customFormat="1" ht="30.75" customHeight="1" x14ac:dyDescent="0.2">
      <c r="B242" s="23" t="s">
        <v>289</v>
      </c>
      <c r="C242" s="24" t="s">
        <v>10</v>
      </c>
      <c r="D242" s="24" t="s">
        <v>72</v>
      </c>
      <c r="E242" s="24" t="s">
        <v>14</v>
      </c>
      <c r="F242" s="26" t="s">
        <v>290</v>
      </c>
      <c r="G242" s="52"/>
      <c r="H242" s="22">
        <f>H243+H244</f>
        <v>18396.2</v>
      </c>
      <c r="I242" s="22">
        <f>I243+I244</f>
        <v>0</v>
      </c>
      <c r="J242" s="22">
        <f>J243+J244</f>
        <v>0</v>
      </c>
    </row>
    <row r="243" spans="2:11" s="80" customFormat="1" ht="28.5" hidden="1" customHeight="1" x14ac:dyDescent="0.2">
      <c r="B243" s="23" t="s">
        <v>35</v>
      </c>
      <c r="C243" s="24" t="s">
        <v>10</v>
      </c>
      <c r="D243" s="24" t="s">
        <v>72</v>
      </c>
      <c r="E243" s="24" t="s">
        <v>14</v>
      </c>
      <c r="F243" s="26" t="s">
        <v>290</v>
      </c>
      <c r="G243" s="52" t="s">
        <v>36</v>
      </c>
      <c r="H243" s="22"/>
      <c r="I243" s="22"/>
      <c r="J243" s="22"/>
    </row>
    <row r="244" spans="2:11" s="80" customFormat="1" ht="16.5" customHeight="1" x14ac:dyDescent="0.2">
      <c r="B244" s="53" t="s">
        <v>291</v>
      </c>
      <c r="C244" s="24" t="s">
        <v>10</v>
      </c>
      <c r="D244" s="24" t="s">
        <v>72</v>
      </c>
      <c r="E244" s="24" t="s">
        <v>14</v>
      </c>
      <c r="F244" s="26" t="s">
        <v>290</v>
      </c>
      <c r="G244" s="52" t="s">
        <v>292</v>
      </c>
      <c r="H244" s="22">
        <f>17844.3+551.9</f>
        <v>18396.2</v>
      </c>
      <c r="I244" s="22">
        <v>0</v>
      </c>
      <c r="J244" s="22">
        <v>0</v>
      </c>
    </row>
    <row r="245" spans="2:11" s="80" customFormat="1" ht="40.5" customHeight="1" x14ac:dyDescent="0.2">
      <c r="B245" s="53" t="s">
        <v>293</v>
      </c>
      <c r="C245" s="24" t="s">
        <v>10</v>
      </c>
      <c r="D245" s="31" t="s">
        <v>72</v>
      </c>
      <c r="E245" s="31" t="s">
        <v>14</v>
      </c>
      <c r="F245" s="26" t="s">
        <v>294</v>
      </c>
      <c r="G245" s="52"/>
      <c r="H245" s="22">
        <f>H246+H247</f>
        <v>112499.6</v>
      </c>
      <c r="I245" s="22">
        <f>I246+I247</f>
        <v>0</v>
      </c>
      <c r="J245" s="22">
        <f>J246+J247</f>
        <v>0</v>
      </c>
    </row>
    <row r="246" spans="2:11" s="80" customFormat="1" ht="25.5" hidden="1" customHeight="1" x14ac:dyDescent="0.2">
      <c r="B246" s="23" t="s">
        <v>35</v>
      </c>
      <c r="C246" s="24" t="s">
        <v>10</v>
      </c>
      <c r="D246" s="31" t="s">
        <v>72</v>
      </c>
      <c r="E246" s="31" t="s">
        <v>14</v>
      </c>
      <c r="F246" s="26" t="s">
        <v>294</v>
      </c>
      <c r="G246" s="52" t="s">
        <v>36</v>
      </c>
      <c r="H246" s="22">
        <v>0</v>
      </c>
      <c r="I246" s="22">
        <v>0</v>
      </c>
      <c r="J246" s="22">
        <v>0</v>
      </c>
    </row>
    <row r="247" spans="2:11" s="80" customFormat="1" ht="15.75" customHeight="1" x14ac:dyDescent="0.2">
      <c r="B247" s="53" t="s">
        <v>291</v>
      </c>
      <c r="C247" s="24" t="s">
        <v>10</v>
      </c>
      <c r="D247" s="31" t="s">
        <v>72</v>
      </c>
      <c r="E247" s="31" t="s">
        <v>14</v>
      </c>
      <c r="F247" s="26" t="s">
        <v>294</v>
      </c>
      <c r="G247" s="52" t="s">
        <v>292</v>
      </c>
      <c r="H247" s="22">
        <f>109124.6+3375</f>
        <v>112499.6</v>
      </c>
      <c r="I247" s="22">
        <v>0</v>
      </c>
      <c r="J247" s="22">
        <v>0</v>
      </c>
    </row>
    <row r="248" spans="2:11" s="80" customFormat="1" ht="26.25" customHeight="1" x14ac:dyDescent="0.2">
      <c r="B248" s="41" t="s">
        <v>295</v>
      </c>
      <c r="C248" s="24" t="s">
        <v>10</v>
      </c>
      <c r="D248" s="24" t="s">
        <v>72</v>
      </c>
      <c r="E248" s="24" t="s">
        <v>14</v>
      </c>
      <c r="F248" s="26" t="s">
        <v>296</v>
      </c>
      <c r="G248" s="31"/>
      <c r="H248" s="22">
        <f t="shared" ref="H248:J249" si="31">H249</f>
        <v>1000</v>
      </c>
      <c r="I248" s="22">
        <f t="shared" si="31"/>
        <v>1000</v>
      </c>
      <c r="J248" s="22">
        <f t="shared" si="31"/>
        <v>1000</v>
      </c>
    </row>
    <row r="249" spans="2:11" s="80" customFormat="1" ht="15.75" customHeight="1" x14ac:dyDescent="0.2">
      <c r="B249" s="41" t="s">
        <v>297</v>
      </c>
      <c r="C249" s="24" t="s">
        <v>10</v>
      </c>
      <c r="D249" s="31" t="s">
        <v>72</v>
      </c>
      <c r="E249" s="31" t="s">
        <v>14</v>
      </c>
      <c r="F249" s="26" t="s">
        <v>298</v>
      </c>
      <c r="G249" s="31"/>
      <c r="H249" s="22">
        <f t="shared" si="31"/>
        <v>1000</v>
      </c>
      <c r="I249" s="22">
        <f t="shared" si="31"/>
        <v>1000</v>
      </c>
      <c r="J249" s="22">
        <f t="shared" si="31"/>
        <v>1000</v>
      </c>
    </row>
    <row r="250" spans="2:11" s="80" customFormat="1" ht="28.5" customHeight="1" x14ac:dyDescent="0.2">
      <c r="B250" s="41" t="s">
        <v>35</v>
      </c>
      <c r="C250" s="24" t="s">
        <v>10</v>
      </c>
      <c r="D250" s="31" t="s">
        <v>72</v>
      </c>
      <c r="E250" s="31" t="s">
        <v>14</v>
      </c>
      <c r="F250" s="26" t="s">
        <v>298</v>
      </c>
      <c r="G250" s="31" t="s">
        <v>36</v>
      </c>
      <c r="H250" s="22">
        <v>1000</v>
      </c>
      <c r="I250" s="22">
        <v>1000</v>
      </c>
      <c r="J250" s="61">
        <v>1000</v>
      </c>
      <c r="K250" s="84"/>
    </row>
    <row r="251" spans="2:11" s="80" customFormat="1" ht="27.75" customHeight="1" x14ac:dyDescent="0.2">
      <c r="B251" s="41" t="s">
        <v>299</v>
      </c>
      <c r="C251" s="24" t="s">
        <v>10</v>
      </c>
      <c r="D251" s="31" t="s">
        <v>72</v>
      </c>
      <c r="E251" s="31" t="s">
        <v>14</v>
      </c>
      <c r="F251" s="26" t="s">
        <v>300</v>
      </c>
      <c r="G251" s="31"/>
      <c r="H251" s="22">
        <f t="shared" ref="H251:J252" si="32">H252</f>
        <v>3000</v>
      </c>
      <c r="I251" s="22">
        <f t="shared" si="32"/>
        <v>1000</v>
      </c>
      <c r="J251" s="22">
        <f t="shared" si="32"/>
        <v>1000</v>
      </c>
    </row>
    <row r="252" spans="2:11" s="80" customFormat="1" ht="15" customHeight="1" x14ac:dyDescent="0.2">
      <c r="B252" s="41" t="s">
        <v>297</v>
      </c>
      <c r="C252" s="24" t="s">
        <v>301</v>
      </c>
      <c r="D252" s="31" t="s">
        <v>72</v>
      </c>
      <c r="E252" s="31" t="s">
        <v>14</v>
      </c>
      <c r="F252" s="26" t="s">
        <v>302</v>
      </c>
      <c r="G252" s="31"/>
      <c r="H252" s="22">
        <f t="shared" si="32"/>
        <v>3000</v>
      </c>
      <c r="I252" s="22">
        <f t="shared" si="32"/>
        <v>1000</v>
      </c>
      <c r="J252" s="22">
        <f t="shared" si="32"/>
        <v>1000</v>
      </c>
    </row>
    <row r="253" spans="2:11" s="80" customFormat="1" ht="28.5" customHeight="1" x14ac:dyDescent="0.2">
      <c r="B253" s="23" t="s">
        <v>35</v>
      </c>
      <c r="C253" s="24" t="s">
        <v>10</v>
      </c>
      <c r="D253" s="31" t="s">
        <v>72</v>
      </c>
      <c r="E253" s="31" t="s">
        <v>14</v>
      </c>
      <c r="F253" s="26" t="s">
        <v>302</v>
      </c>
      <c r="G253" s="31" t="s">
        <v>36</v>
      </c>
      <c r="H253" s="22">
        <v>3000</v>
      </c>
      <c r="I253" s="22">
        <v>1000</v>
      </c>
      <c r="J253" s="61">
        <v>1000</v>
      </c>
      <c r="K253" s="84"/>
    </row>
    <row r="254" spans="2:11" s="80" customFormat="1" ht="16.5" customHeight="1" x14ac:dyDescent="0.2">
      <c r="B254" s="23" t="s">
        <v>303</v>
      </c>
      <c r="C254" s="24" t="s">
        <v>10</v>
      </c>
      <c r="D254" s="31" t="s">
        <v>72</v>
      </c>
      <c r="E254" s="31" t="s">
        <v>14</v>
      </c>
      <c r="F254" s="26" t="s">
        <v>304</v>
      </c>
      <c r="G254" s="31"/>
      <c r="H254" s="22">
        <f t="shared" ref="H254:J255" si="33">H255</f>
        <v>5000</v>
      </c>
      <c r="I254" s="22">
        <f t="shared" si="33"/>
        <v>5000</v>
      </c>
      <c r="J254" s="22">
        <f t="shared" si="33"/>
        <v>5000</v>
      </c>
    </row>
    <row r="255" spans="2:11" s="80" customFormat="1" ht="28.5" customHeight="1" x14ac:dyDescent="0.2">
      <c r="B255" s="41" t="s">
        <v>305</v>
      </c>
      <c r="C255" s="24" t="s">
        <v>10</v>
      </c>
      <c r="D255" s="31" t="s">
        <v>72</v>
      </c>
      <c r="E255" s="31" t="s">
        <v>14</v>
      </c>
      <c r="F255" s="26" t="s">
        <v>306</v>
      </c>
      <c r="G255" s="52"/>
      <c r="H255" s="22">
        <f t="shared" si="33"/>
        <v>5000</v>
      </c>
      <c r="I255" s="22">
        <f t="shared" si="33"/>
        <v>5000</v>
      </c>
      <c r="J255" s="22">
        <f t="shared" si="33"/>
        <v>5000</v>
      </c>
    </row>
    <row r="256" spans="2:11" s="80" customFormat="1" ht="39" customHeight="1" x14ac:dyDescent="0.2">
      <c r="B256" s="85" t="s">
        <v>307</v>
      </c>
      <c r="C256" s="24" t="s">
        <v>10</v>
      </c>
      <c r="D256" s="31" t="s">
        <v>72</v>
      </c>
      <c r="E256" s="31" t="s">
        <v>14</v>
      </c>
      <c r="F256" s="26" t="s">
        <v>306</v>
      </c>
      <c r="G256" s="52" t="s">
        <v>308</v>
      </c>
      <c r="H256" s="22">
        <v>5000</v>
      </c>
      <c r="I256" s="22">
        <v>5000</v>
      </c>
      <c r="J256" s="61">
        <v>5000</v>
      </c>
      <c r="K256" s="84"/>
    </row>
    <row r="257" spans="2:11" s="80" customFormat="1" ht="16.5" customHeight="1" x14ac:dyDescent="0.2">
      <c r="B257" s="23" t="s">
        <v>17</v>
      </c>
      <c r="C257" s="24" t="s">
        <v>10</v>
      </c>
      <c r="D257" s="31" t="s">
        <v>72</v>
      </c>
      <c r="E257" s="31" t="s">
        <v>14</v>
      </c>
      <c r="F257" s="26" t="s">
        <v>309</v>
      </c>
      <c r="G257" s="52"/>
      <c r="H257" s="22">
        <f>H258</f>
        <v>5719.2</v>
      </c>
      <c r="I257" s="22">
        <f>I258</f>
        <v>2815.1</v>
      </c>
      <c r="J257" s="22">
        <f>J258</f>
        <v>2350</v>
      </c>
    </row>
    <row r="258" spans="2:11" s="80" customFormat="1" ht="42.75" customHeight="1" x14ac:dyDescent="0.2">
      <c r="B258" s="23" t="s">
        <v>310</v>
      </c>
      <c r="C258" s="24" t="s">
        <v>10</v>
      </c>
      <c r="D258" s="31" t="s">
        <v>72</v>
      </c>
      <c r="E258" s="31" t="s">
        <v>14</v>
      </c>
      <c r="F258" s="26" t="s">
        <v>311</v>
      </c>
      <c r="G258" s="52"/>
      <c r="H258" s="22">
        <f>H259+H262+H264</f>
        <v>5719.2</v>
      </c>
      <c r="I258" s="22">
        <f>I259+I262+I264</f>
        <v>2815.1</v>
      </c>
      <c r="J258" s="22">
        <f>J259+J262+J264</f>
        <v>2350</v>
      </c>
    </row>
    <row r="259" spans="2:11" s="80" customFormat="1" ht="28.5" customHeight="1" x14ac:dyDescent="0.2">
      <c r="B259" s="23" t="s">
        <v>312</v>
      </c>
      <c r="C259" s="24" t="s">
        <v>10</v>
      </c>
      <c r="D259" s="31" t="s">
        <v>72</v>
      </c>
      <c r="E259" s="31" t="s">
        <v>14</v>
      </c>
      <c r="F259" s="26" t="s">
        <v>313</v>
      </c>
      <c r="G259" s="31"/>
      <c r="H259" s="22">
        <f>H260+H261</f>
        <v>3369.2</v>
      </c>
      <c r="I259" s="22">
        <f>I260+I261</f>
        <v>2815.1</v>
      </c>
      <c r="J259" s="22">
        <f>J260+J261</f>
        <v>2350</v>
      </c>
    </row>
    <row r="260" spans="2:11" s="80" customFormat="1" ht="28.5" customHeight="1" x14ac:dyDescent="0.2">
      <c r="B260" s="23" t="s">
        <v>35</v>
      </c>
      <c r="C260" s="24" t="s">
        <v>10</v>
      </c>
      <c r="D260" s="31" t="s">
        <v>72</v>
      </c>
      <c r="E260" s="31" t="s">
        <v>14</v>
      </c>
      <c r="F260" s="26" t="s">
        <v>313</v>
      </c>
      <c r="G260" s="31" t="s">
        <v>36</v>
      </c>
      <c r="H260" s="22">
        <f>1404.1+1500</f>
        <v>2904.1</v>
      </c>
      <c r="I260" s="22">
        <f>1500+465.1+850</f>
        <v>2815.1</v>
      </c>
      <c r="J260" s="61">
        <f>1500+850</f>
        <v>2350</v>
      </c>
      <c r="K260" s="84"/>
    </row>
    <row r="261" spans="2:11" s="80" customFormat="1" ht="28.5" customHeight="1" x14ac:dyDescent="0.2">
      <c r="B261" s="86" t="s">
        <v>314</v>
      </c>
      <c r="C261" s="24" t="s">
        <v>10</v>
      </c>
      <c r="D261" s="31" t="s">
        <v>72</v>
      </c>
      <c r="E261" s="31" t="s">
        <v>14</v>
      </c>
      <c r="F261" s="26" t="s">
        <v>313</v>
      </c>
      <c r="G261" s="52" t="s">
        <v>315</v>
      </c>
      <c r="H261" s="22">
        <v>465.1</v>
      </c>
      <c r="I261" s="22">
        <v>0</v>
      </c>
      <c r="J261" s="61">
        <v>0</v>
      </c>
      <c r="K261" s="84"/>
    </row>
    <row r="262" spans="2:11" s="80" customFormat="1" ht="28.5" customHeight="1" x14ac:dyDescent="0.2">
      <c r="B262" s="23" t="s">
        <v>316</v>
      </c>
      <c r="C262" s="24" t="s">
        <v>10</v>
      </c>
      <c r="D262" s="31" t="s">
        <v>72</v>
      </c>
      <c r="E262" s="31" t="s">
        <v>14</v>
      </c>
      <c r="F262" s="26" t="s">
        <v>317</v>
      </c>
      <c r="G262" s="31"/>
      <c r="H262" s="22">
        <f>H263</f>
        <v>2000</v>
      </c>
      <c r="I262" s="22">
        <f>I263</f>
        <v>0</v>
      </c>
      <c r="J262" s="22">
        <f>J263</f>
        <v>0</v>
      </c>
    </row>
    <row r="263" spans="2:11" s="80" customFormat="1" ht="28.5" customHeight="1" x14ac:dyDescent="0.2">
      <c r="B263" s="23" t="s">
        <v>35</v>
      </c>
      <c r="C263" s="24" t="s">
        <v>10</v>
      </c>
      <c r="D263" s="31" t="s">
        <v>72</v>
      </c>
      <c r="E263" s="31" t="s">
        <v>14</v>
      </c>
      <c r="F263" s="26" t="s">
        <v>317</v>
      </c>
      <c r="G263" s="31" t="s">
        <v>36</v>
      </c>
      <c r="H263" s="22">
        <f>4000-2000</f>
        <v>2000</v>
      </c>
      <c r="I263" s="22">
        <v>0</v>
      </c>
      <c r="J263" s="22">
        <v>0</v>
      </c>
    </row>
    <row r="264" spans="2:11" s="80" customFormat="1" ht="28.5" customHeight="1" x14ac:dyDescent="0.2">
      <c r="B264" s="87" t="s">
        <v>318</v>
      </c>
      <c r="C264" s="24" t="s">
        <v>10</v>
      </c>
      <c r="D264" s="31" t="s">
        <v>72</v>
      </c>
      <c r="E264" s="31" t="s">
        <v>14</v>
      </c>
      <c r="F264" s="26" t="s">
        <v>319</v>
      </c>
      <c r="G264" s="52"/>
      <c r="H264" s="22">
        <f>H265</f>
        <v>350</v>
      </c>
      <c r="I264" s="22">
        <f>I265</f>
        <v>0</v>
      </c>
      <c r="J264" s="22">
        <f>J265</f>
        <v>0</v>
      </c>
    </row>
    <row r="265" spans="2:11" s="80" customFormat="1" ht="28.5" customHeight="1" x14ac:dyDescent="0.2">
      <c r="B265" s="23" t="s">
        <v>35</v>
      </c>
      <c r="C265" s="24" t="s">
        <v>10</v>
      </c>
      <c r="D265" s="31" t="s">
        <v>72</v>
      </c>
      <c r="E265" s="31" t="s">
        <v>14</v>
      </c>
      <c r="F265" s="26" t="s">
        <v>319</v>
      </c>
      <c r="G265" s="52" t="s">
        <v>36</v>
      </c>
      <c r="H265" s="22">
        <v>350</v>
      </c>
      <c r="I265" s="22">
        <v>0</v>
      </c>
      <c r="J265" s="61">
        <v>0</v>
      </c>
      <c r="K265" s="88"/>
    </row>
    <row r="266" spans="2:11" s="80" customFormat="1" ht="41.25" customHeight="1" x14ac:dyDescent="0.2">
      <c r="B266" s="53" t="s">
        <v>266</v>
      </c>
      <c r="C266" s="24" t="s">
        <v>10</v>
      </c>
      <c r="D266" s="24" t="s">
        <v>72</v>
      </c>
      <c r="E266" s="24" t="s">
        <v>14</v>
      </c>
      <c r="F266" s="26" t="s">
        <v>320</v>
      </c>
      <c r="G266" s="24"/>
      <c r="H266" s="22">
        <f t="shared" ref="H266:J269" si="34">H267</f>
        <v>0</v>
      </c>
      <c r="I266" s="22">
        <f t="shared" si="34"/>
        <v>100</v>
      </c>
      <c r="J266" s="22">
        <f t="shared" si="34"/>
        <v>400</v>
      </c>
    </row>
    <row r="267" spans="2:11" s="80" customFormat="1" ht="15.75" customHeight="1" x14ac:dyDescent="0.2">
      <c r="B267" s="23" t="s">
        <v>65</v>
      </c>
      <c r="C267" s="24" t="s">
        <v>10</v>
      </c>
      <c r="D267" s="24" t="s">
        <v>72</v>
      </c>
      <c r="E267" s="24" t="s">
        <v>14</v>
      </c>
      <c r="F267" s="26" t="s">
        <v>321</v>
      </c>
      <c r="G267" s="24"/>
      <c r="H267" s="22">
        <f t="shared" si="34"/>
        <v>0</v>
      </c>
      <c r="I267" s="22">
        <f t="shared" si="34"/>
        <v>100</v>
      </c>
      <c r="J267" s="22">
        <f t="shared" si="34"/>
        <v>400</v>
      </c>
    </row>
    <row r="268" spans="2:11" s="80" customFormat="1" ht="40.5" customHeight="1" x14ac:dyDescent="0.2">
      <c r="B268" s="23" t="s">
        <v>322</v>
      </c>
      <c r="C268" s="24" t="s">
        <v>10</v>
      </c>
      <c r="D268" s="24" t="s">
        <v>72</v>
      </c>
      <c r="E268" s="24" t="s">
        <v>14</v>
      </c>
      <c r="F268" s="26" t="s">
        <v>323</v>
      </c>
      <c r="G268" s="24"/>
      <c r="H268" s="22">
        <f t="shared" si="34"/>
        <v>0</v>
      </c>
      <c r="I268" s="22">
        <f t="shared" si="34"/>
        <v>100</v>
      </c>
      <c r="J268" s="22">
        <f t="shared" si="34"/>
        <v>400</v>
      </c>
    </row>
    <row r="269" spans="2:11" s="80" customFormat="1" ht="26.25" customHeight="1" x14ac:dyDescent="0.2">
      <c r="B269" s="89" t="s">
        <v>269</v>
      </c>
      <c r="C269" s="24" t="s">
        <v>10</v>
      </c>
      <c r="D269" s="24" t="s">
        <v>72</v>
      </c>
      <c r="E269" s="24" t="s">
        <v>14</v>
      </c>
      <c r="F269" s="34" t="s">
        <v>324</v>
      </c>
      <c r="G269" s="24"/>
      <c r="H269" s="22">
        <f t="shared" si="34"/>
        <v>0</v>
      </c>
      <c r="I269" s="22">
        <f t="shared" si="34"/>
        <v>100</v>
      </c>
      <c r="J269" s="22">
        <f t="shared" si="34"/>
        <v>400</v>
      </c>
    </row>
    <row r="270" spans="2:11" s="80" customFormat="1" ht="24.75" customHeight="1" x14ac:dyDescent="0.2">
      <c r="B270" s="45" t="s">
        <v>35</v>
      </c>
      <c r="C270" s="24" t="s">
        <v>10</v>
      </c>
      <c r="D270" s="24" t="s">
        <v>72</v>
      </c>
      <c r="E270" s="24" t="s">
        <v>14</v>
      </c>
      <c r="F270" s="34" t="s">
        <v>324</v>
      </c>
      <c r="G270" s="24" t="s">
        <v>36</v>
      </c>
      <c r="H270" s="22">
        <f>1898.9-1898.9</f>
        <v>0</v>
      </c>
      <c r="I270" s="22">
        <v>100</v>
      </c>
      <c r="J270" s="61">
        <v>400</v>
      </c>
      <c r="K270" s="84"/>
    </row>
    <row r="271" spans="2:11" s="80" customFormat="1" x14ac:dyDescent="0.2">
      <c r="B271" s="17" t="s">
        <v>325</v>
      </c>
      <c r="C271" s="18" t="s">
        <v>10</v>
      </c>
      <c r="D271" s="18" t="s">
        <v>72</v>
      </c>
      <c r="E271" s="18" t="s">
        <v>167</v>
      </c>
      <c r="F271" s="76"/>
      <c r="G271" s="18"/>
      <c r="H271" s="19">
        <f>H272+H285</f>
        <v>14760.8</v>
      </c>
      <c r="I271" s="19">
        <f>I272+I285</f>
        <v>13515</v>
      </c>
      <c r="J271" s="19">
        <f>J272+J285</f>
        <v>13463.3</v>
      </c>
    </row>
    <row r="272" spans="2:11" s="80" customFormat="1" ht="25.5" x14ac:dyDescent="0.2">
      <c r="B272" s="23" t="s">
        <v>326</v>
      </c>
      <c r="C272" s="24" t="s">
        <v>10</v>
      </c>
      <c r="D272" s="24" t="s">
        <v>72</v>
      </c>
      <c r="E272" s="24" t="s">
        <v>167</v>
      </c>
      <c r="F272" s="26" t="s">
        <v>327</v>
      </c>
      <c r="G272" s="18"/>
      <c r="H272" s="19">
        <f>H273</f>
        <v>5833.7</v>
      </c>
      <c r="I272" s="19">
        <f>I273</f>
        <v>2587.9</v>
      </c>
      <c r="J272" s="19">
        <f>J273</f>
        <v>1725.3</v>
      </c>
    </row>
    <row r="273" spans="2:10" s="80" customFormat="1" x14ac:dyDescent="0.2">
      <c r="B273" s="90" t="s">
        <v>49</v>
      </c>
      <c r="C273" s="24" t="s">
        <v>10</v>
      </c>
      <c r="D273" s="24" t="s">
        <v>72</v>
      </c>
      <c r="E273" s="24" t="s">
        <v>167</v>
      </c>
      <c r="F273" s="26" t="s">
        <v>328</v>
      </c>
      <c r="G273" s="24"/>
      <c r="H273" s="22">
        <f>H274+H277+H280</f>
        <v>5833.7</v>
      </c>
      <c r="I273" s="22">
        <f>I274+I277+I280</f>
        <v>2587.9</v>
      </c>
      <c r="J273" s="22">
        <f>J274+J277+J280</f>
        <v>1725.3</v>
      </c>
    </row>
    <row r="274" spans="2:10" s="80" customFormat="1" ht="27.75" customHeight="1" x14ac:dyDescent="0.2">
      <c r="B274" s="53" t="s">
        <v>329</v>
      </c>
      <c r="C274" s="24" t="s">
        <v>10</v>
      </c>
      <c r="D274" s="24" t="s">
        <v>72</v>
      </c>
      <c r="E274" s="24" t="s">
        <v>167</v>
      </c>
      <c r="F274" s="26" t="s">
        <v>330</v>
      </c>
      <c r="G274" s="24"/>
      <c r="H274" s="22">
        <f t="shared" ref="H274:J275" si="35">H275</f>
        <v>827.8</v>
      </c>
      <c r="I274" s="22">
        <f t="shared" si="35"/>
        <v>0</v>
      </c>
      <c r="J274" s="22">
        <f t="shared" si="35"/>
        <v>0</v>
      </c>
    </row>
    <row r="275" spans="2:10" s="80" customFormat="1" x14ac:dyDescent="0.2">
      <c r="B275" s="53" t="s">
        <v>331</v>
      </c>
      <c r="C275" s="24" t="s">
        <v>10</v>
      </c>
      <c r="D275" s="24" t="s">
        <v>72</v>
      </c>
      <c r="E275" s="24" t="s">
        <v>167</v>
      </c>
      <c r="F275" s="26" t="s">
        <v>332</v>
      </c>
      <c r="G275" s="24"/>
      <c r="H275" s="22">
        <f t="shared" si="35"/>
        <v>827.8</v>
      </c>
      <c r="I275" s="22">
        <f t="shared" si="35"/>
        <v>0</v>
      </c>
      <c r="J275" s="22">
        <f t="shared" si="35"/>
        <v>0</v>
      </c>
    </row>
    <row r="276" spans="2:10" s="80" customFormat="1" ht="26.25" customHeight="1" x14ac:dyDescent="0.2">
      <c r="B276" s="23" t="s">
        <v>90</v>
      </c>
      <c r="C276" s="24" t="s">
        <v>10</v>
      </c>
      <c r="D276" s="24" t="s">
        <v>72</v>
      </c>
      <c r="E276" s="24" t="s">
        <v>167</v>
      </c>
      <c r="F276" s="26" t="s">
        <v>332</v>
      </c>
      <c r="G276" s="24" t="s">
        <v>36</v>
      </c>
      <c r="H276" s="22">
        <f>745+82.8</f>
        <v>827.8</v>
      </c>
      <c r="I276" s="22">
        <v>0</v>
      </c>
      <c r="J276" s="22">
        <v>0</v>
      </c>
    </row>
    <row r="277" spans="2:10" s="80" customFormat="1" ht="25.5" x14ac:dyDescent="0.2">
      <c r="B277" s="91" t="s">
        <v>333</v>
      </c>
      <c r="C277" s="24" t="s">
        <v>10</v>
      </c>
      <c r="D277" s="24" t="s">
        <v>72</v>
      </c>
      <c r="E277" s="24" t="s">
        <v>167</v>
      </c>
      <c r="F277" s="26" t="s">
        <v>334</v>
      </c>
      <c r="G277" s="24"/>
      <c r="H277" s="22">
        <f t="shared" ref="H277:J278" si="36">H278</f>
        <v>4143.2</v>
      </c>
      <c r="I277" s="22">
        <f t="shared" si="36"/>
        <v>0</v>
      </c>
      <c r="J277" s="22">
        <f t="shared" si="36"/>
        <v>0</v>
      </c>
    </row>
    <row r="278" spans="2:10" s="80" customFormat="1" ht="25.5" x14ac:dyDescent="0.2">
      <c r="B278" s="91" t="s">
        <v>335</v>
      </c>
      <c r="C278" s="24" t="s">
        <v>10</v>
      </c>
      <c r="D278" s="24" t="s">
        <v>72</v>
      </c>
      <c r="E278" s="24" t="s">
        <v>167</v>
      </c>
      <c r="F278" s="26" t="s">
        <v>336</v>
      </c>
      <c r="G278" s="24"/>
      <c r="H278" s="22">
        <f t="shared" si="36"/>
        <v>4143.2</v>
      </c>
      <c r="I278" s="22">
        <f t="shared" si="36"/>
        <v>0</v>
      </c>
      <c r="J278" s="22">
        <f t="shared" si="36"/>
        <v>0</v>
      </c>
    </row>
    <row r="279" spans="2:10" s="80" customFormat="1" ht="25.5" x14ac:dyDescent="0.2">
      <c r="B279" s="36" t="s">
        <v>35</v>
      </c>
      <c r="C279" s="24" t="s">
        <v>10</v>
      </c>
      <c r="D279" s="24" t="s">
        <v>72</v>
      </c>
      <c r="E279" s="24" t="s">
        <v>167</v>
      </c>
      <c r="F279" s="26" t="s">
        <v>336</v>
      </c>
      <c r="G279" s="24" t="s">
        <v>36</v>
      </c>
      <c r="H279" s="22">
        <f>4101.8+41.4</f>
        <v>4143.2</v>
      </c>
      <c r="I279" s="22">
        <v>0</v>
      </c>
      <c r="J279" s="22">
        <v>0</v>
      </c>
    </row>
    <row r="280" spans="2:10" s="80" customFormat="1" ht="25.5" x14ac:dyDescent="0.2">
      <c r="B280" s="90" t="s">
        <v>337</v>
      </c>
      <c r="C280" s="24" t="s">
        <v>10</v>
      </c>
      <c r="D280" s="24" t="s">
        <v>72</v>
      </c>
      <c r="E280" s="24" t="s">
        <v>167</v>
      </c>
      <c r="F280" s="26" t="s">
        <v>338</v>
      </c>
      <c r="G280" s="24"/>
      <c r="H280" s="22">
        <f>H281+H283</f>
        <v>862.69999999999993</v>
      </c>
      <c r="I280" s="22">
        <f>I281+I283</f>
        <v>2587.9</v>
      </c>
      <c r="J280" s="22">
        <f>J281+J283</f>
        <v>1725.3</v>
      </c>
    </row>
    <row r="281" spans="2:10" s="80" customFormat="1" hidden="1" x14ac:dyDescent="0.2">
      <c r="B281" s="90" t="s">
        <v>339</v>
      </c>
      <c r="C281" s="24" t="s">
        <v>10</v>
      </c>
      <c r="D281" s="24" t="s">
        <v>72</v>
      </c>
      <c r="E281" s="24" t="s">
        <v>167</v>
      </c>
      <c r="F281" s="26" t="s">
        <v>340</v>
      </c>
      <c r="G281" s="24"/>
      <c r="H281" s="22">
        <f>H282</f>
        <v>0</v>
      </c>
      <c r="I281" s="22">
        <f>I282</f>
        <v>0</v>
      </c>
      <c r="J281" s="22">
        <f>J282</f>
        <v>0</v>
      </c>
    </row>
    <row r="282" spans="2:10" s="80" customFormat="1" ht="25.5" hidden="1" x14ac:dyDescent="0.2">
      <c r="B282" s="36" t="s">
        <v>90</v>
      </c>
      <c r="C282" s="24" t="s">
        <v>10</v>
      </c>
      <c r="D282" s="24" t="s">
        <v>72</v>
      </c>
      <c r="E282" s="24" t="s">
        <v>167</v>
      </c>
      <c r="F282" s="26" t="s">
        <v>340</v>
      </c>
      <c r="G282" s="24" t="s">
        <v>36</v>
      </c>
      <c r="H282" s="22"/>
      <c r="I282" s="22"/>
      <c r="J282" s="22"/>
    </row>
    <row r="283" spans="2:10" s="80" customFormat="1" ht="25.5" x14ac:dyDescent="0.2">
      <c r="B283" s="90" t="s">
        <v>341</v>
      </c>
      <c r="C283" s="24" t="s">
        <v>10</v>
      </c>
      <c r="D283" s="24" t="s">
        <v>72</v>
      </c>
      <c r="E283" s="24" t="s">
        <v>167</v>
      </c>
      <c r="F283" s="26" t="s">
        <v>342</v>
      </c>
      <c r="G283" s="52"/>
      <c r="H283" s="22">
        <f>H284</f>
        <v>862.69999999999993</v>
      </c>
      <c r="I283" s="22">
        <f>I284</f>
        <v>2587.9</v>
      </c>
      <c r="J283" s="22">
        <f>J284</f>
        <v>1725.3</v>
      </c>
    </row>
    <row r="284" spans="2:10" s="80" customFormat="1" ht="25.5" x14ac:dyDescent="0.2">
      <c r="B284" s="92" t="s">
        <v>90</v>
      </c>
      <c r="C284" s="24" t="s">
        <v>10</v>
      </c>
      <c r="D284" s="24" t="s">
        <v>72</v>
      </c>
      <c r="E284" s="24" t="s">
        <v>167</v>
      </c>
      <c r="F284" s="26" t="s">
        <v>342</v>
      </c>
      <c r="G284" s="52" t="s">
        <v>36</v>
      </c>
      <c r="H284" s="22">
        <f>836.8+25.9</f>
        <v>862.69999999999993</v>
      </c>
      <c r="I284" s="22">
        <f>2510.3+77.6</f>
        <v>2587.9</v>
      </c>
      <c r="J284" s="22">
        <f>1673.5+51.8</f>
        <v>1725.3</v>
      </c>
    </row>
    <row r="285" spans="2:10" s="80" customFormat="1" ht="38.25" x14ac:dyDescent="0.2">
      <c r="B285" s="92" t="s">
        <v>283</v>
      </c>
      <c r="C285" s="24" t="s">
        <v>10</v>
      </c>
      <c r="D285" s="24" t="s">
        <v>72</v>
      </c>
      <c r="E285" s="24" t="s">
        <v>167</v>
      </c>
      <c r="F285" s="26" t="s">
        <v>284</v>
      </c>
      <c r="G285" s="52"/>
      <c r="H285" s="22">
        <f t="shared" ref="H285:J286" si="37">H286</f>
        <v>8927.1</v>
      </c>
      <c r="I285" s="22">
        <f t="shared" si="37"/>
        <v>10927.1</v>
      </c>
      <c r="J285" s="22">
        <f t="shared" si="37"/>
        <v>11738</v>
      </c>
    </row>
    <row r="286" spans="2:10" s="80" customFormat="1" x14ac:dyDescent="0.2">
      <c r="B286" s="92" t="s">
        <v>17</v>
      </c>
      <c r="C286" s="24" t="s">
        <v>10</v>
      </c>
      <c r="D286" s="24" t="s">
        <v>72</v>
      </c>
      <c r="E286" s="24" t="s">
        <v>167</v>
      </c>
      <c r="F286" s="26" t="s">
        <v>309</v>
      </c>
      <c r="G286" s="52"/>
      <c r="H286" s="22">
        <f t="shared" si="37"/>
        <v>8927.1</v>
      </c>
      <c r="I286" s="22">
        <f t="shared" si="37"/>
        <v>10927.1</v>
      </c>
      <c r="J286" s="22">
        <f t="shared" si="37"/>
        <v>11738</v>
      </c>
    </row>
    <row r="287" spans="2:10" s="80" customFormat="1" ht="25.5" x14ac:dyDescent="0.2">
      <c r="B287" s="23" t="s">
        <v>343</v>
      </c>
      <c r="C287" s="24" t="s">
        <v>10</v>
      </c>
      <c r="D287" s="24" t="s">
        <v>72</v>
      </c>
      <c r="E287" s="24" t="s">
        <v>167</v>
      </c>
      <c r="F287" s="26" t="s">
        <v>344</v>
      </c>
      <c r="G287" s="52"/>
      <c r="H287" s="22">
        <f>H288+H290</f>
        <v>8927.1</v>
      </c>
      <c r="I287" s="22">
        <f>I288+I290</f>
        <v>10927.1</v>
      </c>
      <c r="J287" s="22">
        <f>J288+J290</f>
        <v>11738</v>
      </c>
    </row>
    <row r="288" spans="2:10" s="80" customFormat="1" ht="25.5" x14ac:dyDescent="0.2">
      <c r="B288" s="77" t="s">
        <v>227</v>
      </c>
      <c r="C288" s="24" t="s">
        <v>10</v>
      </c>
      <c r="D288" s="24" t="s">
        <v>72</v>
      </c>
      <c r="E288" s="24" t="s">
        <v>167</v>
      </c>
      <c r="F288" s="26" t="s">
        <v>345</v>
      </c>
      <c r="G288" s="78"/>
      <c r="H288" s="22">
        <f>H289</f>
        <v>1000</v>
      </c>
      <c r="I288" s="22">
        <f>I289</f>
        <v>3000</v>
      </c>
      <c r="J288" s="22">
        <f>J289</f>
        <v>3810.9</v>
      </c>
    </row>
    <row r="289" spans="2:11" s="80" customFormat="1" x14ac:dyDescent="0.2">
      <c r="B289" s="77" t="s">
        <v>150</v>
      </c>
      <c r="C289" s="24" t="s">
        <v>10</v>
      </c>
      <c r="D289" s="24" t="s">
        <v>72</v>
      </c>
      <c r="E289" s="24" t="s">
        <v>167</v>
      </c>
      <c r="F289" s="26" t="s">
        <v>345</v>
      </c>
      <c r="G289" s="31" t="s">
        <v>106</v>
      </c>
      <c r="H289" s="22">
        <v>1000</v>
      </c>
      <c r="I289" s="22">
        <v>3000</v>
      </c>
      <c r="J289" s="22">
        <f>3000+810.9</f>
        <v>3810.9</v>
      </c>
      <c r="K289" s="39"/>
    </row>
    <row r="290" spans="2:11" s="80" customFormat="1" ht="25.5" x14ac:dyDescent="0.2">
      <c r="B290" s="53" t="s">
        <v>41</v>
      </c>
      <c r="C290" s="24" t="s">
        <v>10</v>
      </c>
      <c r="D290" s="24" t="s">
        <v>72</v>
      </c>
      <c r="E290" s="24" t="s">
        <v>167</v>
      </c>
      <c r="F290" s="26" t="s">
        <v>346</v>
      </c>
      <c r="G290" s="24"/>
      <c r="H290" s="22">
        <f>H291</f>
        <v>7927.1</v>
      </c>
      <c r="I290" s="22">
        <f>I291</f>
        <v>7927.1</v>
      </c>
      <c r="J290" s="22">
        <f>J291</f>
        <v>7927.1</v>
      </c>
      <c r="K290" s="39"/>
    </row>
    <row r="291" spans="2:11" s="80" customFormat="1" x14ac:dyDescent="0.2">
      <c r="B291" s="53" t="s">
        <v>150</v>
      </c>
      <c r="C291" s="24" t="s">
        <v>10</v>
      </c>
      <c r="D291" s="24" t="s">
        <v>72</v>
      </c>
      <c r="E291" s="24" t="s">
        <v>167</v>
      </c>
      <c r="F291" s="26" t="s">
        <v>346</v>
      </c>
      <c r="G291" s="24" t="s">
        <v>106</v>
      </c>
      <c r="H291" s="22">
        <v>7927.1</v>
      </c>
      <c r="I291" s="22">
        <v>7927.1</v>
      </c>
      <c r="J291" s="22">
        <v>7927.1</v>
      </c>
      <c r="K291" s="39"/>
    </row>
    <row r="292" spans="2:11" s="64" customFormat="1" x14ac:dyDescent="0.2">
      <c r="B292" s="93" t="s">
        <v>347</v>
      </c>
      <c r="C292" s="18" t="s">
        <v>10</v>
      </c>
      <c r="D292" s="18" t="s">
        <v>348</v>
      </c>
      <c r="E292" s="18"/>
      <c r="F292" s="76"/>
      <c r="G292" s="18"/>
      <c r="H292" s="19">
        <f t="shared" ref="H292:J293" si="38">H293</f>
        <v>675</v>
      </c>
      <c r="I292" s="19">
        <f t="shared" si="38"/>
        <v>176</v>
      </c>
      <c r="J292" s="19">
        <f t="shared" si="38"/>
        <v>176</v>
      </c>
    </row>
    <row r="293" spans="2:11" s="64" customFormat="1" x14ac:dyDescent="0.2">
      <c r="B293" s="63" t="s">
        <v>349</v>
      </c>
      <c r="C293" s="18" t="s">
        <v>10</v>
      </c>
      <c r="D293" s="18" t="s">
        <v>348</v>
      </c>
      <c r="E293" s="18" t="s">
        <v>72</v>
      </c>
      <c r="F293" s="76"/>
      <c r="G293" s="18"/>
      <c r="H293" s="19">
        <f t="shared" si="38"/>
        <v>675</v>
      </c>
      <c r="I293" s="19">
        <f t="shared" si="38"/>
        <v>176</v>
      </c>
      <c r="J293" s="19">
        <f t="shared" si="38"/>
        <v>176</v>
      </c>
    </row>
    <row r="294" spans="2:11" s="20" customFormat="1" ht="27.75" customHeight="1" x14ac:dyDescent="0.2">
      <c r="B294" s="23" t="s">
        <v>350</v>
      </c>
      <c r="C294" s="24" t="s">
        <v>10</v>
      </c>
      <c r="D294" s="24" t="s">
        <v>348</v>
      </c>
      <c r="E294" s="24" t="s">
        <v>72</v>
      </c>
      <c r="F294" s="26" t="s">
        <v>64</v>
      </c>
      <c r="G294" s="24"/>
      <c r="H294" s="22">
        <f>H295+H302</f>
        <v>675</v>
      </c>
      <c r="I294" s="22">
        <f>I295+I302</f>
        <v>176</v>
      </c>
      <c r="J294" s="22">
        <f>J295+J302</f>
        <v>176</v>
      </c>
    </row>
    <row r="295" spans="2:11" s="20" customFormat="1" ht="19.5" customHeight="1" x14ac:dyDescent="0.2">
      <c r="B295" s="46" t="s">
        <v>187</v>
      </c>
      <c r="C295" s="24" t="s">
        <v>10</v>
      </c>
      <c r="D295" s="24" t="s">
        <v>348</v>
      </c>
      <c r="E295" s="24" t="s">
        <v>72</v>
      </c>
      <c r="F295" s="26" t="s">
        <v>351</v>
      </c>
      <c r="G295" s="24"/>
      <c r="H295" s="22">
        <f>H296+H299</f>
        <v>649</v>
      </c>
      <c r="I295" s="22">
        <f>I296+I299</f>
        <v>150</v>
      </c>
      <c r="J295" s="22">
        <f>J296+J299</f>
        <v>150</v>
      </c>
    </row>
    <row r="296" spans="2:11" s="20" customFormat="1" ht="27.75" customHeight="1" x14ac:dyDescent="0.2">
      <c r="B296" s="23" t="s">
        <v>352</v>
      </c>
      <c r="C296" s="24" t="s">
        <v>10</v>
      </c>
      <c r="D296" s="24" t="s">
        <v>348</v>
      </c>
      <c r="E296" s="24" t="s">
        <v>72</v>
      </c>
      <c r="F296" s="26" t="s">
        <v>353</v>
      </c>
      <c r="G296" s="52"/>
      <c r="H296" s="22">
        <f t="shared" ref="H296:J297" si="39">H297</f>
        <v>549</v>
      </c>
      <c r="I296" s="22">
        <f t="shared" si="39"/>
        <v>150</v>
      </c>
      <c r="J296" s="22">
        <f t="shared" si="39"/>
        <v>150</v>
      </c>
    </row>
    <row r="297" spans="2:11" s="20" customFormat="1" ht="15.75" customHeight="1" x14ac:dyDescent="0.2">
      <c r="B297" s="23" t="s">
        <v>354</v>
      </c>
      <c r="C297" s="24" t="s">
        <v>10</v>
      </c>
      <c r="D297" s="24" t="s">
        <v>348</v>
      </c>
      <c r="E297" s="24" t="s">
        <v>72</v>
      </c>
      <c r="F297" s="26" t="s">
        <v>355</v>
      </c>
      <c r="G297" s="52"/>
      <c r="H297" s="22">
        <f t="shared" si="39"/>
        <v>549</v>
      </c>
      <c r="I297" s="22">
        <f t="shared" si="39"/>
        <v>150</v>
      </c>
      <c r="J297" s="22">
        <f t="shared" si="39"/>
        <v>150</v>
      </c>
    </row>
    <row r="298" spans="2:11" s="20" customFormat="1" ht="27.75" customHeight="1" x14ac:dyDescent="0.2">
      <c r="B298" s="23" t="s">
        <v>35</v>
      </c>
      <c r="C298" s="24" t="s">
        <v>10</v>
      </c>
      <c r="D298" s="24" t="s">
        <v>348</v>
      </c>
      <c r="E298" s="24" t="s">
        <v>72</v>
      </c>
      <c r="F298" s="26" t="s">
        <v>355</v>
      </c>
      <c r="G298" s="52" t="s">
        <v>36</v>
      </c>
      <c r="H298" s="22">
        <f>249+300</f>
        <v>549</v>
      </c>
      <c r="I298" s="22">
        <v>150</v>
      </c>
      <c r="J298" s="22">
        <v>150</v>
      </c>
      <c r="K298" s="39"/>
    </row>
    <row r="299" spans="2:11" s="20" customFormat="1" ht="25.5" x14ac:dyDescent="0.2">
      <c r="B299" s="36" t="s">
        <v>356</v>
      </c>
      <c r="C299" s="24" t="s">
        <v>10</v>
      </c>
      <c r="D299" s="24" t="s">
        <v>348</v>
      </c>
      <c r="E299" s="24" t="s">
        <v>72</v>
      </c>
      <c r="F299" s="26" t="s">
        <v>357</v>
      </c>
      <c r="G299" s="24"/>
      <c r="H299" s="22">
        <f t="shared" ref="H299:J300" si="40">H300</f>
        <v>100</v>
      </c>
      <c r="I299" s="22">
        <f t="shared" si="40"/>
        <v>0</v>
      </c>
      <c r="J299" s="22">
        <f t="shared" si="40"/>
        <v>0</v>
      </c>
    </row>
    <row r="300" spans="2:11" s="20" customFormat="1" ht="25.5" x14ac:dyDescent="0.2">
      <c r="B300" s="23" t="s">
        <v>358</v>
      </c>
      <c r="C300" s="24" t="s">
        <v>359</v>
      </c>
      <c r="D300" s="94" t="s">
        <v>348</v>
      </c>
      <c r="E300" s="94" t="s">
        <v>72</v>
      </c>
      <c r="F300" s="26" t="s">
        <v>360</v>
      </c>
      <c r="G300" s="24"/>
      <c r="H300" s="22">
        <f t="shared" si="40"/>
        <v>100</v>
      </c>
      <c r="I300" s="22">
        <f t="shared" si="40"/>
        <v>0</v>
      </c>
      <c r="J300" s="22">
        <f t="shared" si="40"/>
        <v>0</v>
      </c>
      <c r="K300" s="57"/>
    </row>
    <row r="301" spans="2:11" s="20" customFormat="1" ht="25.5" x14ac:dyDescent="0.2">
      <c r="B301" s="23" t="s">
        <v>35</v>
      </c>
      <c r="C301" s="24" t="s">
        <v>359</v>
      </c>
      <c r="D301" s="94" t="s">
        <v>348</v>
      </c>
      <c r="E301" s="94" t="s">
        <v>72</v>
      </c>
      <c r="F301" s="26" t="s">
        <v>360</v>
      </c>
      <c r="G301" s="24" t="s">
        <v>36</v>
      </c>
      <c r="H301" s="22">
        <f>2300+100-2300</f>
        <v>100</v>
      </c>
      <c r="I301" s="22">
        <v>0</v>
      </c>
      <c r="J301" s="22">
        <v>0</v>
      </c>
      <c r="K301" s="39"/>
    </row>
    <row r="302" spans="2:11" s="20" customFormat="1" x14ac:dyDescent="0.2">
      <c r="B302" s="23" t="s">
        <v>17</v>
      </c>
      <c r="C302" s="24" t="s">
        <v>10</v>
      </c>
      <c r="D302" s="24" t="s">
        <v>348</v>
      </c>
      <c r="E302" s="24" t="s">
        <v>72</v>
      </c>
      <c r="F302" s="26" t="s">
        <v>66</v>
      </c>
      <c r="G302" s="24"/>
      <c r="H302" s="22">
        <f t="shared" ref="H302:J303" si="41">H303</f>
        <v>26</v>
      </c>
      <c r="I302" s="22">
        <f t="shared" si="41"/>
        <v>26</v>
      </c>
      <c r="J302" s="22">
        <f t="shared" si="41"/>
        <v>26</v>
      </c>
    </row>
    <row r="303" spans="2:11" s="20" customFormat="1" ht="25.5" x14ac:dyDescent="0.2">
      <c r="B303" s="23" t="s">
        <v>361</v>
      </c>
      <c r="C303" s="24" t="s">
        <v>10</v>
      </c>
      <c r="D303" s="24" t="s">
        <v>348</v>
      </c>
      <c r="E303" s="24" t="s">
        <v>72</v>
      </c>
      <c r="F303" s="26" t="s">
        <v>362</v>
      </c>
      <c r="G303" s="24"/>
      <c r="H303" s="22">
        <f t="shared" si="41"/>
        <v>26</v>
      </c>
      <c r="I303" s="22">
        <f t="shared" si="41"/>
        <v>26</v>
      </c>
      <c r="J303" s="22">
        <f t="shared" si="41"/>
        <v>26</v>
      </c>
    </row>
    <row r="304" spans="2:11" s="20" customFormat="1" x14ac:dyDescent="0.2">
      <c r="B304" s="46" t="s">
        <v>363</v>
      </c>
      <c r="C304" s="24" t="s">
        <v>10</v>
      </c>
      <c r="D304" s="24" t="s">
        <v>348</v>
      </c>
      <c r="E304" s="24" t="s">
        <v>72</v>
      </c>
      <c r="F304" s="26" t="s">
        <v>364</v>
      </c>
      <c r="G304" s="24"/>
      <c r="H304" s="22">
        <f>H305+H306+H307</f>
        <v>26</v>
      </c>
      <c r="I304" s="22">
        <f>I305+I306+I307</f>
        <v>26</v>
      </c>
      <c r="J304" s="22">
        <f>J305+J306+J307</f>
        <v>26</v>
      </c>
    </row>
    <row r="305" spans="2:10" s="20" customFormat="1" ht="25.5" x14ac:dyDescent="0.2">
      <c r="B305" s="23" t="s">
        <v>35</v>
      </c>
      <c r="C305" s="24" t="s">
        <v>10</v>
      </c>
      <c r="D305" s="24" t="s">
        <v>348</v>
      </c>
      <c r="E305" s="24" t="s">
        <v>72</v>
      </c>
      <c r="F305" s="26" t="s">
        <v>364</v>
      </c>
      <c r="G305" s="24" t="s">
        <v>36</v>
      </c>
      <c r="H305" s="22">
        <v>6</v>
      </c>
      <c r="I305" s="22">
        <v>6</v>
      </c>
      <c r="J305" s="22">
        <v>6</v>
      </c>
    </row>
    <row r="306" spans="2:10" s="20" customFormat="1" x14ac:dyDescent="0.2">
      <c r="B306" s="53" t="s">
        <v>105</v>
      </c>
      <c r="C306" s="24" t="s">
        <v>10</v>
      </c>
      <c r="D306" s="24" t="s">
        <v>348</v>
      </c>
      <c r="E306" s="24" t="s">
        <v>72</v>
      </c>
      <c r="F306" s="26" t="s">
        <v>364</v>
      </c>
      <c r="G306" s="24" t="s">
        <v>106</v>
      </c>
      <c r="H306" s="22">
        <f>10</f>
        <v>10</v>
      </c>
      <c r="I306" s="22">
        <f>10</f>
        <v>10</v>
      </c>
      <c r="J306" s="22">
        <f>10</f>
        <v>10</v>
      </c>
    </row>
    <row r="307" spans="2:10" s="20" customFormat="1" x14ac:dyDescent="0.2">
      <c r="B307" s="53" t="s">
        <v>365</v>
      </c>
      <c r="C307" s="24" t="s">
        <v>10</v>
      </c>
      <c r="D307" s="24" t="s">
        <v>348</v>
      </c>
      <c r="E307" s="24" t="s">
        <v>72</v>
      </c>
      <c r="F307" s="26" t="s">
        <v>364</v>
      </c>
      <c r="G307" s="24" t="s">
        <v>152</v>
      </c>
      <c r="H307" s="22">
        <v>10</v>
      </c>
      <c r="I307" s="22">
        <v>10</v>
      </c>
      <c r="J307" s="22">
        <v>10</v>
      </c>
    </row>
    <row r="308" spans="2:10" s="64" customFormat="1" x14ac:dyDescent="0.2">
      <c r="B308" s="17" t="s">
        <v>366</v>
      </c>
      <c r="C308" s="18" t="s">
        <v>10</v>
      </c>
      <c r="D308" s="18" t="s">
        <v>367</v>
      </c>
      <c r="E308" s="18"/>
      <c r="F308" s="76"/>
      <c r="G308" s="18"/>
      <c r="H308" s="19">
        <f>H309+H315</f>
        <v>7382.4</v>
      </c>
      <c r="I308" s="19">
        <f>I309+I315</f>
        <v>7382.4</v>
      </c>
      <c r="J308" s="19">
        <f>J309+J315</f>
        <v>7382.4</v>
      </c>
    </row>
    <row r="309" spans="2:10" s="64" customFormat="1" x14ac:dyDescent="0.2">
      <c r="B309" s="17" t="s">
        <v>368</v>
      </c>
      <c r="C309" s="18" t="s">
        <v>10</v>
      </c>
      <c r="D309" s="18" t="s">
        <v>367</v>
      </c>
      <c r="E309" s="18" t="s">
        <v>167</v>
      </c>
      <c r="F309" s="26"/>
      <c r="G309" s="18"/>
      <c r="H309" s="19">
        <f t="shared" ref="H309:J313" si="42">H310</f>
        <v>6997.4</v>
      </c>
      <c r="I309" s="19">
        <f t="shared" si="42"/>
        <v>6997.4</v>
      </c>
      <c r="J309" s="19">
        <f t="shared" si="42"/>
        <v>6997.4</v>
      </c>
    </row>
    <row r="310" spans="2:10" s="64" customFormat="1" ht="42.75" customHeight="1" x14ac:dyDescent="0.2">
      <c r="B310" s="50" t="s">
        <v>143</v>
      </c>
      <c r="C310" s="24" t="s">
        <v>10</v>
      </c>
      <c r="D310" s="24" t="s">
        <v>367</v>
      </c>
      <c r="E310" s="24" t="s">
        <v>167</v>
      </c>
      <c r="F310" s="26" t="s">
        <v>144</v>
      </c>
      <c r="G310" s="24"/>
      <c r="H310" s="22">
        <f t="shared" si="42"/>
        <v>6997.4</v>
      </c>
      <c r="I310" s="22">
        <f t="shared" si="42"/>
        <v>6997.4</v>
      </c>
      <c r="J310" s="22">
        <f t="shared" si="42"/>
        <v>6997.4</v>
      </c>
    </row>
    <row r="311" spans="2:10" s="64" customFormat="1" ht="15.75" customHeight="1" x14ac:dyDescent="0.2">
      <c r="B311" s="95" t="s">
        <v>17</v>
      </c>
      <c r="C311" s="24" t="s">
        <v>10</v>
      </c>
      <c r="D311" s="24" t="s">
        <v>367</v>
      </c>
      <c r="E311" s="24" t="s">
        <v>167</v>
      </c>
      <c r="F311" s="26" t="s">
        <v>153</v>
      </c>
      <c r="G311" s="24"/>
      <c r="H311" s="22">
        <f t="shared" si="42"/>
        <v>6997.4</v>
      </c>
      <c r="I311" s="22">
        <f t="shared" si="42"/>
        <v>6997.4</v>
      </c>
      <c r="J311" s="22">
        <f t="shared" si="42"/>
        <v>6997.4</v>
      </c>
    </row>
    <row r="312" spans="2:10" s="64" customFormat="1" ht="24.75" customHeight="1" x14ac:dyDescent="0.2">
      <c r="B312" s="42" t="s">
        <v>369</v>
      </c>
      <c r="C312" s="24" t="s">
        <v>10</v>
      </c>
      <c r="D312" s="24" t="s">
        <v>367</v>
      </c>
      <c r="E312" s="24" t="s">
        <v>167</v>
      </c>
      <c r="F312" s="26" t="s">
        <v>370</v>
      </c>
      <c r="G312" s="24"/>
      <c r="H312" s="22">
        <f t="shared" si="42"/>
        <v>6997.4</v>
      </c>
      <c r="I312" s="22">
        <f t="shared" si="42"/>
        <v>6997.4</v>
      </c>
      <c r="J312" s="22">
        <f t="shared" si="42"/>
        <v>6997.4</v>
      </c>
    </row>
    <row r="313" spans="2:10" s="64" customFormat="1" ht="15.75" customHeight="1" x14ac:dyDescent="0.2">
      <c r="B313" s="23" t="s">
        <v>371</v>
      </c>
      <c r="C313" s="24" t="s">
        <v>10</v>
      </c>
      <c r="D313" s="24" t="s">
        <v>367</v>
      </c>
      <c r="E313" s="24" t="s">
        <v>167</v>
      </c>
      <c r="F313" s="26" t="s">
        <v>372</v>
      </c>
      <c r="G313" s="24"/>
      <c r="H313" s="22">
        <f t="shared" si="42"/>
        <v>6997.4</v>
      </c>
      <c r="I313" s="22">
        <f t="shared" si="42"/>
        <v>6997.4</v>
      </c>
      <c r="J313" s="22">
        <f t="shared" si="42"/>
        <v>6997.4</v>
      </c>
    </row>
    <row r="314" spans="2:10" s="64" customFormat="1" ht="14.25" customHeight="1" x14ac:dyDescent="0.2">
      <c r="B314" s="53" t="s">
        <v>150</v>
      </c>
      <c r="C314" s="24" t="s">
        <v>10</v>
      </c>
      <c r="D314" s="24" t="s">
        <v>367</v>
      </c>
      <c r="E314" s="24" t="s">
        <v>167</v>
      </c>
      <c r="F314" s="26" t="s">
        <v>372</v>
      </c>
      <c r="G314" s="24" t="s">
        <v>106</v>
      </c>
      <c r="H314" s="22">
        <v>6997.4</v>
      </c>
      <c r="I314" s="22">
        <v>6997.4</v>
      </c>
      <c r="J314" s="22">
        <v>6997.4</v>
      </c>
    </row>
    <row r="315" spans="2:10" s="64" customFormat="1" x14ac:dyDescent="0.2">
      <c r="B315" s="63" t="s">
        <v>373</v>
      </c>
      <c r="C315" s="18" t="s">
        <v>10</v>
      </c>
      <c r="D315" s="18" t="s">
        <v>367</v>
      </c>
      <c r="E315" s="18" t="s">
        <v>367</v>
      </c>
      <c r="F315" s="76"/>
      <c r="G315" s="18"/>
      <c r="H315" s="19">
        <f>H316</f>
        <v>385</v>
      </c>
      <c r="I315" s="19">
        <f>I316</f>
        <v>385</v>
      </c>
      <c r="J315" s="19">
        <f>J316</f>
        <v>385</v>
      </c>
    </row>
    <row r="316" spans="2:10" s="20" customFormat="1" ht="38.25" x14ac:dyDescent="0.2">
      <c r="B316" s="53" t="s">
        <v>143</v>
      </c>
      <c r="C316" s="24" t="s">
        <v>10</v>
      </c>
      <c r="D316" s="24" t="s">
        <v>367</v>
      </c>
      <c r="E316" s="24" t="s">
        <v>367</v>
      </c>
      <c r="F316" s="26" t="s">
        <v>144</v>
      </c>
      <c r="G316" s="24"/>
      <c r="H316" s="22">
        <f>H317+H321</f>
        <v>385</v>
      </c>
      <c r="I316" s="22">
        <f>I317+I321</f>
        <v>385</v>
      </c>
      <c r="J316" s="22">
        <f>J317+J321</f>
        <v>385</v>
      </c>
    </row>
    <row r="317" spans="2:10" s="20" customFormat="1" hidden="1" x14ac:dyDescent="0.2">
      <c r="B317" s="53" t="s">
        <v>49</v>
      </c>
      <c r="C317" s="24" t="s">
        <v>10</v>
      </c>
      <c r="D317" s="24" t="s">
        <v>367</v>
      </c>
      <c r="E317" s="24" t="s">
        <v>367</v>
      </c>
      <c r="F317" s="26" t="s">
        <v>145</v>
      </c>
      <c r="G317" s="24"/>
      <c r="H317" s="22">
        <f t="shared" ref="H317:J319" si="43">H318</f>
        <v>0</v>
      </c>
      <c r="I317" s="22">
        <f t="shared" si="43"/>
        <v>0</v>
      </c>
      <c r="J317" s="22">
        <f t="shared" si="43"/>
        <v>0</v>
      </c>
    </row>
    <row r="318" spans="2:10" s="20" customFormat="1" hidden="1" x14ac:dyDescent="0.2">
      <c r="B318" s="60" t="s">
        <v>374</v>
      </c>
      <c r="C318" s="24" t="s">
        <v>10</v>
      </c>
      <c r="D318" s="24" t="s">
        <v>367</v>
      </c>
      <c r="E318" s="24" t="s">
        <v>367</v>
      </c>
      <c r="F318" s="26" t="s">
        <v>375</v>
      </c>
      <c r="G318" s="24"/>
      <c r="H318" s="22">
        <f t="shared" si="43"/>
        <v>0</v>
      </c>
      <c r="I318" s="22">
        <f t="shared" si="43"/>
        <v>0</v>
      </c>
      <c r="J318" s="22">
        <f t="shared" si="43"/>
        <v>0</v>
      </c>
    </row>
    <row r="319" spans="2:10" s="20" customFormat="1" ht="25.5" hidden="1" x14ac:dyDescent="0.2">
      <c r="B319" s="42" t="s">
        <v>376</v>
      </c>
      <c r="C319" s="24" t="s">
        <v>10</v>
      </c>
      <c r="D319" s="24" t="s">
        <v>367</v>
      </c>
      <c r="E319" s="24" t="s">
        <v>367</v>
      </c>
      <c r="F319" s="26" t="s">
        <v>377</v>
      </c>
      <c r="G319" s="24"/>
      <c r="H319" s="22">
        <f t="shared" si="43"/>
        <v>0</v>
      </c>
      <c r="I319" s="22">
        <f t="shared" si="43"/>
        <v>0</v>
      </c>
      <c r="J319" s="22">
        <f t="shared" si="43"/>
        <v>0</v>
      </c>
    </row>
    <row r="320" spans="2:10" s="20" customFormat="1" ht="25.5" hidden="1" x14ac:dyDescent="0.2">
      <c r="B320" s="36" t="s">
        <v>35</v>
      </c>
      <c r="C320" s="24" t="s">
        <v>10</v>
      </c>
      <c r="D320" s="24" t="s">
        <v>367</v>
      </c>
      <c r="E320" s="24" t="s">
        <v>367</v>
      </c>
      <c r="F320" s="26" t="s">
        <v>377</v>
      </c>
      <c r="G320" s="24" t="s">
        <v>36</v>
      </c>
      <c r="H320" s="22">
        <v>0</v>
      </c>
      <c r="I320" s="22">
        <v>0</v>
      </c>
      <c r="J320" s="22">
        <v>0</v>
      </c>
    </row>
    <row r="321" spans="2:11" s="20" customFormat="1" x14ac:dyDescent="0.2">
      <c r="B321" s="36" t="s">
        <v>17</v>
      </c>
      <c r="C321" s="24" t="s">
        <v>10</v>
      </c>
      <c r="D321" s="24" t="s">
        <v>367</v>
      </c>
      <c r="E321" s="24" t="s">
        <v>367</v>
      </c>
      <c r="F321" s="26" t="s">
        <v>153</v>
      </c>
      <c r="G321" s="24"/>
      <c r="H321" s="22">
        <f t="shared" ref="H321:J322" si="44">H322</f>
        <v>385</v>
      </c>
      <c r="I321" s="22">
        <f t="shared" si="44"/>
        <v>385</v>
      </c>
      <c r="J321" s="22">
        <f t="shared" si="44"/>
        <v>385</v>
      </c>
    </row>
    <row r="322" spans="2:11" s="20" customFormat="1" ht="25.5" x14ac:dyDescent="0.2">
      <c r="B322" s="53" t="s">
        <v>378</v>
      </c>
      <c r="C322" s="24" t="s">
        <v>10</v>
      </c>
      <c r="D322" s="24" t="s">
        <v>367</v>
      </c>
      <c r="E322" s="24" t="s">
        <v>367</v>
      </c>
      <c r="F322" s="26" t="s">
        <v>379</v>
      </c>
      <c r="G322" s="24"/>
      <c r="H322" s="22">
        <f t="shared" si="44"/>
        <v>385</v>
      </c>
      <c r="I322" s="22">
        <f t="shared" si="44"/>
        <v>385</v>
      </c>
      <c r="J322" s="22">
        <f t="shared" si="44"/>
        <v>385</v>
      </c>
    </row>
    <row r="323" spans="2:11" s="20" customFormat="1" x14ac:dyDescent="0.2">
      <c r="B323" s="23" t="s">
        <v>380</v>
      </c>
      <c r="C323" s="24" t="s">
        <v>10</v>
      </c>
      <c r="D323" s="24" t="s">
        <v>367</v>
      </c>
      <c r="E323" s="24" t="s">
        <v>367</v>
      </c>
      <c r="F323" s="26" t="s">
        <v>381</v>
      </c>
      <c r="G323" s="24"/>
      <c r="H323" s="22">
        <f>H324+H325</f>
        <v>385</v>
      </c>
      <c r="I323" s="22">
        <f>I324+I325</f>
        <v>385</v>
      </c>
      <c r="J323" s="22">
        <f>J324+J325</f>
        <v>385</v>
      </c>
    </row>
    <row r="324" spans="2:11" s="20" customFormat="1" ht="25.5" x14ac:dyDescent="0.2">
      <c r="B324" s="23" t="s">
        <v>23</v>
      </c>
      <c r="C324" s="24" t="s">
        <v>10</v>
      </c>
      <c r="D324" s="24" t="s">
        <v>367</v>
      </c>
      <c r="E324" s="24" t="s">
        <v>367</v>
      </c>
      <c r="F324" s="26" t="s">
        <v>381</v>
      </c>
      <c r="G324" s="24" t="s">
        <v>24</v>
      </c>
      <c r="H324" s="22">
        <v>90</v>
      </c>
      <c r="I324" s="22">
        <v>90</v>
      </c>
      <c r="J324" s="61">
        <v>90</v>
      </c>
    </row>
    <row r="325" spans="2:11" s="20" customFormat="1" ht="25.5" x14ac:dyDescent="0.2">
      <c r="B325" s="23" t="s">
        <v>35</v>
      </c>
      <c r="C325" s="24" t="s">
        <v>10</v>
      </c>
      <c r="D325" s="24" t="s">
        <v>367</v>
      </c>
      <c r="E325" s="24" t="s">
        <v>367</v>
      </c>
      <c r="F325" s="26" t="s">
        <v>381</v>
      </c>
      <c r="G325" s="24" t="s">
        <v>36</v>
      </c>
      <c r="H325" s="22">
        <v>295</v>
      </c>
      <c r="I325" s="22">
        <v>295</v>
      </c>
      <c r="J325" s="61">
        <v>295</v>
      </c>
    </row>
    <row r="326" spans="2:11" s="64" customFormat="1" x14ac:dyDescent="0.2">
      <c r="B326" s="96" t="s">
        <v>382</v>
      </c>
      <c r="C326" s="18" t="s">
        <v>10</v>
      </c>
      <c r="D326" s="18" t="s">
        <v>217</v>
      </c>
      <c r="E326" s="18"/>
      <c r="F326" s="76"/>
      <c r="G326" s="18"/>
      <c r="H326" s="19">
        <f t="shared" ref="H326:J327" si="45">H327</f>
        <v>77883.5</v>
      </c>
      <c r="I326" s="19">
        <f t="shared" si="45"/>
        <v>71237.900000000009</v>
      </c>
      <c r="J326" s="19">
        <f t="shared" si="45"/>
        <v>69032.600000000006</v>
      </c>
    </row>
    <row r="327" spans="2:11" s="64" customFormat="1" x14ac:dyDescent="0.2">
      <c r="B327" s="96" t="s">
        <v>383</v>
      </c>
      <c r="C327" s="24" t="s">
        <v>10</v>
      </c>
      <c r="D327" s="18" t="s">
        <v>217</v>
      </c>
      <c r="E327" s="18" t="s">
        <v>12</v>
      </c>
      <c r="F327" s="76"/>
      <c r="G327" s="18"/>
      <c r="H327" s="19">
        <f t="shared" si="45"/>
        <v>77883.5</v>
      </c>
      <c r="I327" s="19">
        <f t="shared" si="45"/>
        <v>71237.900000000009</v>
      </c>
      <c r="J327" s="19">
        <f t="shared" si="45"/>
        <v>69032.600000000006</v>
      </c>
    </row>
    <row r="328" spans="2:11" s="20" customFormat="1" ht="38.25" x14ac:dyDescent="0.2">
      <c r="B328" s="53" t="s">
        <v>143</v>
      </c>
      <c r="C328" s="24" t="s">
        <v>10</v>
      </c>
      <c r="D328" s="24" t="s">
        <v>217</v>
      </c>
      <c r="E328" s="24" t="s">
        <v>12</v>
      </c>
      <c r="F328" s="26" t="s">
        <v>144</v>
      </c>
      <c r="G328" s="24"/>
      <c r="H328" s="22">
        <f>H329+H342</f>
        <v>77883.5</v>
      </c>
      <c r="I328" s="22">
        <f>I329+I342</f>
        <v>71237.900000000009</v>
      </c>
      <c r="J328" s="22">
        <f>J329+J342</f>
        <v>69032.600000000006</v>
      </c>
    </row>
    <row r="329" spans="2:11" s="20" customFormat="1" x14ac:dyDescent="0.2">
      <c r="B329" s="42" t="s">
        <v>49</v>
      </c>
      <c r="C329" s="24" t="s">
        <v>10</v>
      </c>
      <c r="D329" s="24" t="s">
        <v>217</v>
      </c>
      <c r="E329" s="24" t="s">
        <v>12</v>
      </c>
      <c r="F329" s="26" t="s">
        <v>145</v>
      </c>
      <c r="G329" s="52"/>
      <c r="H329" s="22">
        <f>H330+H339</f>
        <v>10315</v>
      </c>
      <c r="I329" s="22">
        <f>I330+I339</f>
        <v>2105.3000000000002</v>
      </c>
      <c r="J329" s="22">
        <f>J330+J339</f>
        <v>0</v>
      </c>
      <c r="K329" s="39"/>
    </row>
    <row r="330" spans="2:11" s="20" customFormat="1" ht="25.5" x14ac:dyDescent="0.2">
      <c r="B330" s="42" t="s">
        <v>384</v>
      </c>
      <c r="C330" s="24" t="s">
        <v>10</v>
      </c>
      <c r="D330" s="24" t="s">
        <v>217</v>
      </c>
      <c r="E330" s="24" t="s">
        <v>12</v>
      </c>
      <c r="F330" s="26" t="s">
        <v>385</v>
      </c>
      <c r="G330" s="52"/>
      <c r="H330" s="22">
        <f>H331+H335</f>
        <v>10215</v>
      </c>
      <c r="I330" s="22">
        <f>I331+I335</f>
        <v>2105.3000000000002</v>
      </c>
      <c r="J330" s="22">
        <f>J331+J335</f>
        <v>0</v>
      </c>
      <c r="K330" s="39"/>
    </row>
    <row r="331" spans="2:11" s="20" customFormat="1" ht="38.25" x14ac:dyDescent="0.2">
      <c r="B331" s="42" t="s">
        <v>386</v>
      </c>
      <c r="C331" s="24" t="s">
        <v>10</v>
      </c>
      <c r="D331" s="24" t="s">
        <v>217</v>
      </c>
      <c r="E331" s="24" t="s">
        <v>12</v>
      </c>
      <c r="F331" s="26" t="s">
        <v>387</v>
      </c>
      <c r="G331" s="52"/>
      <c r="H331" s="22">
        <f>H332+H333+H334</f>
        <v>10215</v>
      </c>
      <c r="I331" s="22">
        <f>I332+I333+I334</f>
        <v>2105.3000000000002</v>
      </c>
      <c r="J331" s="22">
        <f>J332+J333+J334</f>
        <v>0</v>
      </c>
      <c r="K331" s="39"/>
    </row>
    <row r="332" spans="2:11" s="20" customFormat="1" ht="25.5" x14ac:dyDescent="0.2">
      <c r="B332" s="36" t="s">
        <v>35</v>
      </c>
      <c r="C332" s="24" t="s">
        <v>10</v>
      </c>
      <c r="D332" s="24" t="s">
        <v>217</v>
      </c>
      <c r="E332" s="24" t="s">
        <v>12</v>
      </c>
      <c r="F332" s="26" t="s">
        <v>387</v>
      </c>
      <c r="G332" s="52" t="s">
        <v>36</v>
      </c>
      <c r="H332" s="22">
        <f>2500+340+77.3+37.8</f>
        <v>2955.1000000000004</v>
      </c>
      <c r="I332" s="22">
        <v>0</v>
      </c>
      <c r="J332" s="22">
        <v>0</v>
      </c>
      <c r="K332" s="39"/>
    </row>
    <row r="333" spans="2:11" s="20" customFormat="1" x14ac:dyDescent="0.2">
      <c r="B333" s="90" t="s">
        <v>150</v>
      </c>
      <c r="C333" s="24" t="s">
        <v>10</v>
      </c>
      <c r="D333" s="24" t="s">
        <v>217</v>
      </c>
      <c r="E333" s="24" t="s">
        <v>12</v>
      </c>
      <c r="F333" s="26" t="s">
        <v>387</v>
      </c>
      <c r="G333" s="52" t="s">
        <v>106</v>
      </c>
      <c r="H333" s="22">
        <f>2000+105.3</f>
        <v>2105.3000000000002</v>
      </c>
      <c r="I333" s="22">
        <f>2000+105.3</f>
        <v>2105.3000000000002</v>
      </c>
      <c r="J333" s="22">
        <v>0</v>
      </c>
      <c r="K333" s="39"/>
    </row>
    <row r="334" spans="2:11" s="20" customFormat="1" x14ac:dyDescent="0.2">
      <c r="B334" s="60" t="s">
        <v>151</v>
      </c>
      <c r="C334" s="24" t="s">
        <v>10</v>
      </c>
      <c r="D334" s="24" t="s">
        <v>217</v>
      </c>
      <c r="E334" s="24" t="s">
        <v>12</v>
      </c>
      <c r="F334" s="26" t="s">
        <v>387</v>
      </c>
      <c r="G334" s="52" t="s">
        <v>152</v>
      </c>
      <c r="H334" s="22">
        <f>5000+154.6</f>
        <v>5154.6000000000004</v>
      </c>
      <c r="I334" s="22">
        <v>0</v>
      </c>
      <c r="J334" s="22">
        <v>0</v>
      </c>
      <c r="K334" s="39"/>
    </row>
    <row r="335" spans="2:11" s="20" customFormat="1" ht="30.75" hidden="1" customHeight="1" x14ac:dyDescent="0.2">
      <c r="B335" s="53" t="s">
        <v>388</v>
      </c>
      <c r="C335" s="24" t="s">
        <v>10</v>
      </c>
      <c r="D335" s="24" t="s">
        <v>217</v>
      </c>
      <c r="E335" s="24" t="s">
        <v>12</v>
      </c>
      <c r="F335" s="26" t="s">
        <v>389</v>
      </c>
      <c r="G335" s="24"/>
      <c r="H335" s="22">
        <f>H336+H337+H338</f>
        <v>0</v>
      </c>
      <c r="I335" s="22">
        <f>I336+I337+I338</f>
        <v>0</v>
      </c>
      <c r="J335" s="22">
        <f>J336+J337+J338</f>
        <v>0</v>
      </c>
    </row>
    <row r="336" spans="2:11" s="20" customFormat="1" ht="25.5" hidden="1" x14ac:dyDescent="0.2">
      <c r="B336" s="36" t="s">
        <v>35</v>
      </c>
      <c r="C336" s="24" t="s">
        <v>10</v>
      </c>
      <c r="D336" s="24" t="s">
        <v>217</v>
      </c>
      <c r="E336" s="24" t="s">
        <v>12</v>
      </c>
      <c r="F336" s="26" t="s">
        <v>389</v>
      </c>
      <c r="G336" s="52" t="s">
        <v>36</v>
      </c>
      <c r="H336" s="22">
        <v>0</v>
      </c>
      <c r="I336" s="22"/>
      <c r="J336" s="22"/>
    </row>
    <row r="337" spans="2:11" s="20" customFormat="1" hidden="1" x14ac:dyDescent="0.2">
      <c r="B337" s="90" t="s">
        <v>150</v>
      </c>
      <c r="C337" s="24" t="s">
        <v>10</v>
      </c>
      <c r="D337" s="24" t="s">
        <v>217</v>
      </c>
      <c r="E337" s="24" t="s">
        <v>12</v>
      </c>
      <c r="F337" s="26" t="s">
        <v>389</v>
      </c>
      <c r="G337" s="52" t="s">
        <v>106</v>
      </c>
      <c r="H337" s="22"/>
      <c r="I337" s="22"/>
      <c r="J337" s="22">
        <v>0</v>
      </c>
    </row>
    <row r="338" spans="2:11" s="20" customFormat="1" hidden="1" x14ac:dyDescent="0.2">
      <c r="B338" s="60" t="s">
        <v>151</v>
      </c>
      <c r="C338" s="24" t="s">
        <v>10</v>
      </c>
      <c r="D338" s="24" t="s">
        <v>217</v>
      </c>
      <c r="E338" s="24" t="s">
        <v>12</v>
      </c>
      <c r="F338" s="26" t="s">
        <v>389</v>
      </c>
      <c r="G338" s="52" t="s">
        <v>152</v>
      </c>
      <c r="H338" s="22">
        <v>0</v>
      </c>
      <c r="I338" s="22">
        <v>0</v>
      </c>
      <c r="J338" s="22">
        <v>0</v>
      </c>
    </row>
    <row r="339" spans="2:11" s="20" customFormat="1" x14ac:dyDescent="0.2">
      <c r="B339" s="36" t="s">
        <v>390</v>
      </c>
      <c r="C339" s="24" t="s">
        <v>10</v>
      </c>
      <c r="D339" s="24" t="s">
        <v>217</v>
      </c>
      <c r="E339" s="24" t="s">
        <v>12</v>
      </c>
      <c r="F339" s="26" t="s">
        <v>391</v>
      </c>
      <c r="G339" s="52"/>
      <c r="H339" s="22">
        <f t="shared" ref="H339:J340" si="46">H340</f>
        <v>100</v>
      </c>
      <c r="I339" s="22">
        <f t="shared" si="46"/>
        <v>0</v>
      </c>
      <c r="J339" s="22">
        <f t="shared" si="46"/>
        <v>0</v>
      </c>
    </row>
    <row r="340" spans="2:11" s="20" customFormat="1" ht="25.5" x14ac:dyDescent="0.2">
      <c r="B340" s="23" t="s">
        <v>392</v>
      </c>
      <c r="C340" s="24" t="s">
        <v>10</v>
      </c>
      <c r="D340" s="24" t="s">
        <v>217</v>
      </c>
      <c r="E340" s="24" t="s">
        <v>12</v>
      </c>
      <c r="F340" s="26" t="s">
        <v>393</v>
      </c>
      <c r="G340" s="52"/>
      <c r="H340" s="22">
        <f t="shared" si="46"/>
        <v>100</v>
      </c>
      <c r="I340" s="22">
        <f t="shared" si="46"/>
        <v>0</v>
      </c>
      <c r="J340" s="22">
        <f t="shared" si="46"/>
        <v>0</v>
      </c>
    </row>
    <row r="341" spans="2:11" s="20" customFormat="1" x14ac:dyDescent="0.2">
      <c r="B341" s="53" t="s">
        <v>150</v>
      </c>
      <c r="C341" s="24" t="s">
        <v>10</v>
      </c>
      <c r="D341" s="24" t="s">
        <v>217</v>
      </c>
      <c r="E341" s="24" t="s">
        <v>12</v>
      </c>
      <c r="F341" s="26" t="s">
        <v>393</v>
      </c>
      <c r="G341" s="52" t="s">
        <v>106</v>
      </c>
      <c r="H341" s="22">
        <f>100</f>
        <v>100</v>
      </c>
      <c r="I341" s="22">
        <v>0</v>
      </c>
      <c r="J341" s="22">
        <v>0</v>
      </c>
    </row>
    <row r="342" spans="2:11" s="20" customFormat="1" x14ac:dyDescent="0.2">
      <c r="B342" s="60" t="s">
        <v>17</v>
      </c>
      <c r="C342" s="24" t="s">
        <v>10</v>
      </c>
      <c r="D342" s="24" t="s">
        <v>217</v>
      </c>
      <c r="E342" s="24" t="s">
        <v>12</v>
      </c>
      <c r="F342" s="26" t="s">
        <v>153</v>
      </c>
      <c r="G342" s="52"/>
      <c r="H342" s="22">
        <f>H343+H348</f>
        <v>67568.5</v>
      </c>
      <c r="I342" s="22">
        <f>I343+I348</f>
        <v>69132.600000000006</v>
      </c>
      <c r="J342" s="22">
        <f>J343+J348</f>
        <v>69032.600000000006</v>
      </c>
    </row>
    <row r="343" spans="2:11" s="20" customFormat="1" ht="38.25" x14ac:dyDescent="0.2">
      <c r="B343" s="42" t="s">
        <v>154</v>
      </c>
      <c r="C343" s="24" t="s">
        <v>10</v>
      </c>
      <c r="D343" s="24" t="s">
        <v>217</v>
      </c>
      <c r="E343" s="24" t="s">
        <v>12</v>
      </c>
      <c r="F343" s="26" t="s">
        <v>155</v>
      </c>
      <c r="G343" s="52"/>
      <c r="H343" s="22">
        <f>H344</f>
        <v>530</v>
      </c>
      <c r="I343" s="22">
        <f>I344</f>
        <v>504.9</v>
      </c>
      <c r="J343" s="22">
        <f>J344</f>
        <v>504.9</v>
      </c>
    </row>
    <row r="344" spans="2:11" s="20" customFormat="1" x14ac:dyDescent="0.2">
      <c r="B344" s="90" t="s">
        <v>156</v>
      </c>
      <c r="C344" s="24" t="s">
        <v>10</v>
      </c>
      <c r="D344" s="24" t="s">
        <v>217</v>
      </c>
      <c r="E344" s="24" t="s">
        <v>12</v>
      </c>
      <c r="F344" s="26" t="s">
        <v>157</v>
      </c>
      <c r="G344" s="52"/>
      <c r="H344" s="22">
        <f>H345+H346+H347</f>
        <v>530</v>
      </c>
      <c r="I344" s="22">
        <f>I345+I346+I347</f>
        <v>504.9</v>
      </c>
      <c r="J344" s="22">
        <f>J345+J346+J347</f>
        <v>504.9</v>
      </c>
    </row>
    <row r="345" spans="2:11" s="20" customFormat="1" ht="25.5" x14ac:dyDescent="0.2">
      <c r="B345" s="36" t="s">
        <v>35</v>
      </c>
      <c r="C345" s="24" t="s">
        <v>10</v>
      </c>
      <c r="D345" s="24" t="s">
        <v>217</v>
      </c>
      <c r="E345" s="24" t="s">
        <v>12</v>
      </c>
      <c r="F345" s="26" t="s">
        <v>157</v>
      </c>
      <c r="G345" s="52" t="s">
        <v>36</v>
      </c>
      <c r="H345" s="22">
        <v>320</v>
      </c>
      <c r="I345" s="22">
        <v>319.89999999999998</v>
      </c>
      <c r="J345" s="22">
        <v>319.89999999999998</v>
      </c>
      <c r="K345" s="84"/>
    </row>
    <row r="346" spans="2:11" s="20" customFormat="1" x14ac:dyDescent="0.2">
      <c r="B346" s="90" t="s">
        <v>150</v>
      </c>
      <c r="C346" s="24" t="s">
        <v>10</v>
      </c>
      <c r="D346" s="24" t="s">
        <v>217</v>
      </c>
      <c r="E346" s="24" t="s">
        <v>12</v>
      </c>
      <c r="F346" s="26" t="s">
        <v>157</v>
      </c>
      <c r="G346" s="52" t="s">
        <v>106</v>
      </c>
      <c r="H346" s="22">
        <v>160</v>
      </c>
      <c r="I346" s="22">
        <v>135</v>
      </c>
      <c r="J346" s="61">
        <v>135</v>
      </c>
      <c r="K346" s="62"/>
    </row>
    <row r="347" spans="2:11" s="20" customFormat="1" x14ac:dyDescent="0.2">
      <c r="B347" s="60" t="s">
        <v>151</v>
      </c>
      <c r="C347" s="24" t="s">
        <v>10</v>
      </c>
      <c r="D347" s="24" t="s">
        <v>217</v>
      </c>
      <c r="E347" s="24" t="s">
        <v>12</v>
      </c>
      <c r="F347" s="26" t="s">
        <v>157</v>
      </c>
      <c r="G347" s="52" t="s">
        <v>152</v>
      </c>
      <c r="H347" s="22">
        <v>50</v>
      </c>
      <c r="I347" s="22">
        <v>50</v>
      </c>
      <c r="J347" s="61">
        <v>50</v>
      </c>
      <c r="K347" s="62"/>
    </row>
    <row r="348" spans="2:11" s="20" customFormat="1" ht="25.5" x14ac:dyDescent="0.2">
      <c r="B348" s="42" t="s">
        <v>369</v>
      </c>
      <c r="C348" s="24" t="s">
        <v>10</v>
      </c>
      <c r="D348" s="24" t="s">
        <v>217</v>
      </c>
      <c r="E348" s="24" t="s">
        <v>12</v>
      </c>
      <c r="F348" s="26" t="s">
        <v>370</v>
      </c>
      <c r="G348" s="52"/>
      <c r="H348" s="22">
        <f>H349+H354</f>
        <v>67038.5</v>
      </c>
      <c r="I348" s="22">
        <f>I349+I354</f>
        <v>68627.700000000012</v>
      </c>
      <c r="J348" s="22">
        <f>J349+J354</f>
        <v>68527.700000000012</v>
      </c>
    </row>
    <row r="349" spans="2:11" s="20" customFormat="1" ht="25.5" x14ac:dyDescent="0.2">
      <c r="B349" s="42" t="s">
        <v>227</v>
      </c>
      <c r="C349" s="24" t="s">
        <v>10</v>
      </c>
      <c r="D349" s="24" t="s">
        <v>217</v>
      </c>
      <c r="E349" s="24" t="s">
        <v>12</v>
      </c>
      <c r="F349" s="26" t="s">
        <v>394</v>
      </c>
      <c r="G349" s="52"/>
      <c r="H349" s="22">
        <f>H350+H351+H352+H353</f>
        <v>37503.800000000003</v>
      </c>
      <c r="I349" s="22">
        <f>I350+I351+I352+I353</f>
        <v>39038.600000000006</v>
      </c>
      <c r="J349" s="22">
        <f>J350+J351+J352+J353</f>
        <v>38938.600000000006</v>
      </c>
    </row>
    <row r="350" spans="2:11" s="20" customFormat="1" x14ac:dyDescent="0.2">
      <c r="B350" s="36" t="s">
        <v>133</v>
      </c>
      <c r="C350" s="24" t="s">
        <v>10</v>
      </c>
      <c r="D350" s="24" t="s">
        <v>217</v>
      </c>
      <c r="E350" s="24" t="s">
        <v>12</v>
      </c>
      <c r="F350" s="26" t="s">
        <v>394</v>
      </c>
      <c r="G350" s="52" t="s">
        <v>134</v>
      </c>
      <c r="H350" s="22">
        <v>45.2</v>
      </c>
      <c r="I350" s="22">
        <v>45.2</v>
      </c>
      <c r="J350" s="61">
        <v>45.2</v>
      </c>
    </row>
    <row r="351" spans="2:11" s="20" customFormat="1" ht="25.5" x14ac:dyDescent="0.2">
      <c r="B351" s="36" t="s">
        <v>35</v>
      </c>
      <c r="C351" s="24" t="s">
        <v>10</v>
      </c>
      <c r="D351" s="24" t="s">
        <v>217</v>
      </c>
      <c r="E351" s="24" t="s">
        <v>12</v>
      </c>
      <c r="F351" s="26" t="s">
        <v>394</v>
      </c>
      <c r="G351" s="52" t="s">
        <v>36</v>
      </c>
      <c r="H351" s="22">
        <v>3800</v>
      </c>
      <c r="I351" s="22">
        <v>3800</v>
      </c>
      <c r="J351" s="22">
        <v>3800</v>
      </c>
    </row>
    <row r="352" spans="2:11" s="20" customFormat="1" x14ac:dyDescent="0.2">
      <c r="B352" s="90" t="s">
        <v>150</v>
      </c>
      <c r="C352" s="24" t="s">
        <v>10</v>
      </c>
      <c r="D352" s="24" t="s">
        <v>217</v>
      </c>
      <c r="E352" s="24" t="s">
        <v>12</v>
      </c>
      <c r="F352" s="26" t="s">
        <v>394</v>
      </c>
      <c r="G352" s="52" t="s">
        <v>106</v>
      </c>
      <c r="H352" s="22">
        <f>6060.6-250+1154.5+1666.5</f>
        <v>8631.6</v>
      </c>
      <c r="I352" s="22">
        <f>5330+1154.5+1666.5</f>
        <v>8151</v>
      </c>
      <c r="J352" s="61">
        <f>5330+1154.5+1666.5</f>
        <v>8151</v>
      </c>
      <c r="K352" s="97"/>
    </row>
    <row r="353" spans="2:11" s="20" customFormat="1" x14ac:dyDescent="0.2">
      <c r="B353" s="60" t="s">
        <v>151</v>
      </c>
      <c r="C353" s="24" t="s">
        <v>10</v>
      </c>
      <c r="D353" s="24" t="s">
        <v>217</v>
      </c>
      <c r="E353" s="24" t="s">
        <v>12</v>
      </c>
      <c r="F353" s="26" t="s">
        <v>394</v>
      </c>
      <c r="G353" s="52" t="s">
        <v>152</v>
      </c>
      <c r="H353" s="22">
        <f>26242.4+150+267.2-266-1300-66.6</f>
        <v>25027.000000000004</v>
      </c>
      <c r="I353" s="22">
        <f>26242.4+800</f>
        <v>27042.400000000001</v>
      </c>
      <c r="J353" s="22">
        <f>26242.4+700</f>
        <v>26942.400000000001</v>
      </c>
      <c r="K353" s="97"/>
    </row>
    <row r="354" spans="2:11" s="20" customFormat="1" ht="25.5" x14ac:dyDescent="0.2">
      <c r="B354" s="53" t="s">
        <v>41</v>
      </c>
      <c r="C354" s="24" t="s">
        <v>10</v>
      </c>
      <c r="D354" s="24" t="s">
        <v>217</v>
      </c>
      <c r="E354" s="24" t="s">
        <v>12</v>
      </c>
      <c r="F354" s="26" t="s">
        <v>395</v>
      </c>
      <c r="G354" s="52"/>
      <c r="H354" s="22">
        <f>H355+H356+H357</f>
        <v>29534.7</v>
      </c>
      <c r="I354" s="22">
        <f>I355+I356+I357</f>
        <v>29589.1</v>
      </c>
      <c r="J354" s="22">
        <f>J355+J356+J357</f>
        <v>29589.1</v>
      </c>
    </row>
    <row r="355" spans="2:11" s="20" customFormat="1" ht="15" customHeight="1" x14ac:dyDescent="0.2">
      <c r="B355" s="36" t="s">
        <v>133</v>
      </c>
      <c r="C355" s="24" t="s">
        <v>10</v>
      </c>
      <c r="D355" s="24" t="s">
        <v>217</v>
      </c>
      <c r="E355" s="24" t="s">
        <v>12</v>
      </c>
      <c r="F355" s="26" t="s">
        <v>395</v>
      </c>
      <c r="G355" s="52" t="s">
        <v>134</v>
      </c>
      <c r="H355" s="22">
        <f>16192-1300</f>
        <v>14892</v>
      </c>
      <c r="I355" s="22">
        <v>16192</v>
      </c>
      <c r="J355" s="61">
        <v>16192</v>
      </c>
      <c r="K355" s="98"/>
    </row>
    <row r="356" spans="2:11" s="20" customFormat="1" x14ac:dyDescent="0.2">
      <c r="B356" s="90" t="s">
        <v>150</v>
      </c>
      <c r="C356" s="24" t="s">
        <v>10</v>
      </c>
      <c r="D356" s="24" t="s">
        <v>217</v>
      </c>
      <c r="E356" s="24" t="s">
        <v>12</v>
      </c>
      <c r="F356" s="26" t="s">
        <v>395</v>
      </c>
      <c r="G356" s="52" t="s">
        <v>106</v>
      </c>
      <c r="H356" s="22">
        <f>9122.2+4939.3-718.8</f>
        <v>13342.7</v>
      </c>
      <c r="I356" s="22">
        <f>9122.2+4939.3+54.4-718.8</f>
        <v>13397.1</v>
      </c>
      <c r="J356" s="22">
        <f>9122.2+4939.3+54.4-718.8</f>
        <v>13397.1</v>
      </c>
      <c r="K356" s="57"/>
    </row>
    <row r="357" spans="2:11" s="20" customFormat="1" x14ac:dyDescent="0.2">
      <c r="B357" s="60" t="s">
        <v>151</v>
      </c>
      <c r="C357" s="24" t="s">
        <v>10</v>
      </c>
      <c r="D357" s="24" t="s">
        <v>217</v>
      </c>
      <c r="E357" s="24" t="s">
        <v>12</v>
      </c>
      <c r="F357" s="26" t="s">
        <v>395</v>
      </c>
      <c r="G357" s="52" t="s">
        <v>152</v>
      </c>
      <c r="H357" s="22">
        <v>1300</v>
      </c>
      <c r="I357" s="22">
        <v>0</v>
      </c>
      <c r="J357" s="22">
        <v>0</v>
      </c>
    </row>
    <row r="358" spans="2:11" s="64" customFormat="1" ht="14.25" customHeight="1" x14ac:dyDescent="0.2">
      <c r="B358" s="99" t="s">
        <v>396</v>
      </c>
      <c r="C358" s="18" t="s">
        <v>10</v>
      </c>
      <c r="D358" s="18" t="s">
        <v>172</v>
      </c>
      <c r="E358" s="18"/>
      <c r="F358" s="18"/>
      <c r="G358" s="18"/>
      <c r="H358" s="19">
        <f t="shared" ref="H358:J361" si="47">H359</f>
        <v>105.8</v>
      </c>
      <c r="I358" s="19">
        <f t="shared" si="47"/>
        <v>105.8</v>
      </c>
      <c r="J358" s="19">
        <f t="shared" si="47"/>
        <v>105.8</v>
      </c>
    </row>
    <row r="359" spans="2:11" s="64" customFormat="1" ht="14.25" customHeight="1" x14ac:dyDescent="0.2">
      <c r="B359" s="99" t="s">
        <v>397</v>
      </c>
      <c r="C359" s="18" t="s">
        <v>10</v>
      </c>
      <c r="D359" s="18" t="s">
        <v>172</v>
      </c>
      <c r="E359" s="18" t="s">
        <v>367</v>
      </c>
      <c r="F359" s="18"/>
      <c r="G359" s="18"/>
      <c r="H359" s="19">
        <f t="shared" si="47"/>
        <v>105.8</v>
      </c>
      <c r="I359" s="19">
        <f t="shared" si="47"/>
        <v>105.8</v>
      </c>
      <c r="J359" s="19">
        <f t="shared" si="47"/>
        <v>105.8</v>
      </c>
    </row>
    <row r="360" spans="2:11" s="20" customFormat="1" ht="12" customHeight="1" x14ac:dyDescent="0.2">
      <c r="B360" s="53" t="s">
        <v>73</v>
      </c>
      <c r="C360" s="24" t="s">
        <v>10</v>
      </c>
      <c r="D360" s="24" t="s">
        <v>172</v>
      </c>
      <c r="E360" s="24" t="s">
        <v>367</v>
      </c>
      <c r="F360" s="24" t="s">
        <v>74</v>
      </c>
      <c r="G360" s="24"/>
      <c r="H360" s="22">
        <f t="shared" si="47"/>
        <v>105.8</v>
      </c>
      <c r="I360" s="22">
        <f t="shared" si="47"/>
        <v>105.8</v>
      </c>
      <c r="J360" s="22">
        <f t="shared" si="47"/>
        <v>105.8</v>
      </c>
    </row>
    <row r="361" spans="2:11" s="20" customFormat="1" ht="66" customHeight="1" x14ac:dyDescent="0.2">
      <c r="B361" s="41" t="s">
        <v>398</v>
      </c>
      <c r="C361" s="24" t="s">
        <v>10</v>
      </c>
      <c r="D361" s="24" t="s">
        <v>172</v>
      </c>
      <c r="E361" s="24" t="s">
        <v>367</v>
      </c>
      <c r="F361" s="26" t="s">
        <v>399</v>
      </c>
      <c r="G361" s="24"/>
      <c r="H361" s="22">
        <f t="shared" si="47"/>
        <v>105.8</v>
      </c>
      <c r="I361" s="22">
        <f t="shared" si="47"/>
        <v>105.8</v>
      </c>
      <c r="J361" s="22">
        <f t="shared" si="47"/>
        <v>105.8</v>
      </c>
    </row>
    <row r="362" spans="2:11" s="20" customFormat="1" ht="24" customHeight="1" x14ac:dyDescent="0.2">
      <c r="B362" s="23" t="s">
        <v>35</v>
      </c>
      <c r="C362" s="24" t="s">
        <v>10</v>
      </c>
      <c r="D362" s="24" t="s">
        <v>172</v>
      </c>
      <c r="E362" s="24" t="s">
        <v>367</v>
      </c>
      <c r="F362" s="26" t="s">
        <v>399</v>
      </c>
      <c r="G362" s="24" t="s">
        <v>36</v>
      </c>
      <c r="H362" s="22">
        <v>105.8</v>
      </c>
      <c r="I362" s="22">
        <v>105.8</v>
      </c>
      <c r="J362" s="22">
        <v>105.8</v>
      </c>
    </row>
    <row r="363" spans="2:11" s="20" customFormat="1" x14ac:dyDescent="0.2">
      <c r="B363" s="79" t="s">
        <v>400</v>
      </c>
      <c r="C363" s="18" t="s">
        <v>10</v>
      </c>
      <c r="D363" s="18" t="s">
        <v>401</v>
      </c>
      <c r="E363" s="18"/>
      <c r="F363" s="18"/>
      <c r="G363" s="18"/>
      <c r="H363" s="19">
        <f>H371+H364+H395</f>
        <v>19208.8</v>
      </c>
      <c r="I363" s="19">
        <f>I371+I364+I395</f>
        <v>7096.4</v>
      </c>
      <c r="J363" s="19">
        <f>J371+J364+J395</f>
        <v>7096.4</v>
      </c>
    </row>
    <row r="364" spans="2:11" s="20" customFormat="1" x14ac:dyDescent="0.2">
      <c r="B364" s="17" t="s">
        <v>402</v>
      </c>
      <c r="C364" s="18" t="s">
        <v>10</v>
      </c>
      <c r="D364" s="18" t="s">
        <v>401</v>
      </c>
      <c r="E364" s="18" t="s">
        <v>12</v>
      </c>
      <c r="F364" s="18"/>
      <c r="G364" s="18"/>
      <c r="H364" s="19">
        <f t="shared" ref="H364:J367" si="48">H365</f>
        <v>2803.2</v>
      </c>
      <c r="I364" s="19">
        <f t="shared" si="48"/>
        <v>2803.2</v>
      </c>
      <c r="J364" s="19">
        <f t="shared" si="48"/>
        <v>2803.2</v>
      </c>
    </row>
    <row r="365" spans="2:11" s="20" customFormat="1" ht="38.25" x14ac:dyDescent="0.2">
      <c r="B365" s="30" t="s">
        <v>28</v>
      </c>
      <c r="C365" s="24" t="s">
        <v>10</v>
      </c>
      <c r="D365" s="24" t="s">
        <v>401</v>
      </c>
      <c r="E365" s="24" t="s">
        <v>12</v>
      </c>
      <c r="F365" s="100" t="s">
        <v>29</v>
      </c>
      <c r="G365" s="100"/>
      <c r="H365" s="22">
        <f t="shared" si="48"/>
        <v>2803.2</v>
      </c>
      <c r="I365" s="22">
        <f t="shared" si="48"/>
        <v>2803.2</v>
      </c>
      <c r="J365" s="22">
        <f t="shared" si="48"/>
        <v>2803.2</v>
      </c>
    </row>
    <row r="366" spans="2:11" s="20" customFormat="1" x14ac:dyDescent="0.2">
      <c r="B366" s="32" t="s">
        <v>17</v>
      </c>
      <c r="C366" s="24" t="s">
        <v>10</v>
      </c>
      <c r="D366" s="24" t="s">
        <v>401</v>
      </c>
      <c r="E366" s="24" t="s">
        <v>12</v>
      </c>
      <c r="F366" s="100" t="s">
        <v>30</v>
      </c>
      <c r="G366" s="100"/>
      <c r="H366" s="22">
        <f t="shared" si="48"/>
        <v>2803.2</v>
      </c>
      <c r="I366" s="22">
        <f t="shared" si="48"/>
        <v>2803.2</v>
      </c>
      <c r="J366" s="22">
        <f t="shared" si="48"/>
        <v>2803.2</v>
      </c>
    </row>
    <row r="367" spans="2:11" s="20" customFormat="1" ht="28.5" customHeight="1" x14ac:dyDescent="0.2">
      <c r="B367" s="32" t="s">
        <v>110</v>
      </c>
      <c r="C367" s="24" t="s">
        <v>10</v>
      </c>
      <c r="D367" s="24" t="s">
        <v>401</v>
      </c>
      <c r="E367" s="24" t="s">
        <v>12</v>
      </c>
      <c r="F367" s="24" t="s">
        <v>111</v>
      </c>
      <c r="G367" s="24"/>
      <c r="H367" s="22">
        <f t="shared" si="48"/>
        <v>2803.2</v>
      </c>
      <c r="I367" s="22">
        <f t="shared" si="48"/>
        <v>2803.2</v>
      </c>
      <c r="J367" s="22">
        <f t="shared" si="48"/>
        <v>2803.2</v>
      </c>
    </row>
    <row r="368" spans="2:11" s="20" customFormat="1" x14ac:dyDescent="0.2">
      <c r="B368" s="41" t="s">
        <v>403</v>
      </c>
      <c r="C368" s="24" t="s">
        <v>10</v>
      </c>
      <c r="D368" s="24" t="s">
        <v>401</v>
      </c>
      <c r="E368" s="24" t="s">
        <v>12</v>
      </c>
      <c r="F368" s="34" t="s">
        <v>404</v>
      </c>
      <c r="G368" s="24"/>
      <c r="H368" s="22">
        <f>H370+H369</f>
        <v>2803.2</v>
      </c>
      <c r="I368" s="22">
        <f>I370+I369</f>
        <v>2803.2</v>
      </c>
      <c r="J368" s="22">
        <f>J370+J369</f>
        <v>2803.2</v>
      </c>
    </row>
    <row r="369" spans="2:11" s="20" customFormat="1" ht="25.5" x14ac:dyDescent="0.2">
      <c r="B369" s="41" t="s">
        <v>35</v>
      </c>
      <c r="C369" s="24" t="s">
        <v>10</v>
      </c>
      <c r="D369" s="24" t="s">
        <v>401</v>
      </c>
      <c r="E369" s="24" t="s">
        <v>12</v>
      </c>
      <c r="F369" s="34" t="s">
        <v>404</v>
      </c>
      <c r="G369" s="24" t="s">
        <v>36</v>
      </c>
      <c r="H369" s="22">
        <v>23</v>
      </c>
      <c r="I369" s="22">
        <v>23</v>
      </c>
      <c r="J369" s="22">
        <v>23</v>
      </c>
    </row>
    <row r="370" spans="2:11" s="20" customFormat="1" ht="13.5" customHeight="1" x14ac:dyDescent="0.2">
      <c r="B370" s="101" t="s">
        <v>405</v>
      </c>
      <c r="C370" s="24" t="s">
        <v>10</v>
      </c>
      <c r="D370" s="24" t="s">
        <v>401</v>
      </c>
      <c r="E370" s="24" t="s">
        <v>12</v>
      </c>
      <c r="F370" s="34" t="s">
        <v>404</v>
      </c>
      <c r="G370" s="24" t="s">
        <v>406</v>
      </c>
      <c r="H370" s="22">
        <v>2780.2</v>
      </c>
      <c r="I370" s="22">
        <v>2780.2</v>
      </c>
      <c r="J370" s="22">
        <v>2780.2</v>
      </c>
    </row>
    <row r="371" spans="2:11" s="20" customFormat="1" x14ac:dyDescent="0.2">
      <c r="B371" s="79" t="s">
        <v>407</v>
      </c>
      <c r="C371" s="18" t="s">
        <v>10</v>
      </c>
      <c r="D371" s="18" t="s">
        <v>401</v>
      </c>
      <c r="E371" s="18" t="s">
        <v>167</v>
      </c>
      <c r="F371" s="18"/>
      <c r="G371" s="18"/>
      <c r="H371" s="19">
        <f>H372+H383</f>
        <v>15835.6</v>
      </c>
      <c r="I371" s="19">
        <f>I372+I383</f>
        <v>4293.2</v>
      </c>
      <c r="J371" s="19">
        <f>J372+J383</f>
        <v>4293.2</v>
      </c>
    </row>
    <row r="372" spans="2:11" s="103" customFormat="1" ht="37.5" customHeight="1" x14ac:dyDescent="0.2">
      <c r="B372" s="30" t="s">
        <v>28</v>
      </c>
      <c r="C372" s="24" t="s">
        <v>10</v>
      </c>
      <c r="D372" s="24" t="s">
        <v>401</v>
      </c>
      <c r="E372" s="24" t="s">
        <v>167</v>
      </c>
      <c r="F372" s="31" t="s">
        <v>29</v>
      </c>
      <c r="G372" s="24"/>
      <c r="H372" s="102">
        <f>H374</f>
        <v>8067.1</v>
      </c>
      <c r="I372" s="102">
        <f>I374</f>
        <v>3207.1</v>
      </c>
      <c r="J372" s="102">
        <f>J374</f>
        <v>3207.1</v>
      </c>
    </row>
    <row r="373" spans="2:11" s="103" customFormat="1" ht="15.75" customHeight="1" x14ac:dyDescent="0.2">
      <c r="B373" s="32" t="s">
        <v>17</v>
      </c>
      <c r="C373" s="24" t="s">
        <v>10</v>
      </c>
      <c r="D373" s="24" t="s">
        <v>401</v>
      </c>
      <c r="E373" s="24" t="s">
        <v>167</v>
      </c>
      <c r="F373" s="34" t="s">
        <v>30</v>
      </c>
      <c r="G373" s="24"/>
      <c r="H373" s="102">
        <f>H374</f>
        <v>8067.1</v>
      </c>
      <c r="I373" s="102">
        <f>I374</f>
        <v>3207.1</v>
      </c>
      <c r="J373" s="102">
        <f>J374</f>
        <v>3207.1</v>
      </c>
    </row>
    <row r="374" spans="2:11" s="103" customFormat="1" ht="26.25" customHeight="1" x14ac:dyDescent="0.2">
      <c r="B374" s="32" t="s">
        <v>110</v>
      </c>
      <c r="C374" s="24" t="s">
        <v>10</v>
      </c>
      <c r="D374" s="24" t="s">
        <v>401</v>
      </c>
      <c r="E374" s="24" t="s">
        <v>167</v>
      </c>
      <c r="F374" s="34" t="s">
        <v>111</v>
      </c>
      <c r="G374" s="24"/>
      <c r="H374" s="102">
        <f>H375+H381</f>
        <v>8067.1</v>
      </c>
      <c r="I374" s="102">
        <f>I375+I381</f>
        <v>3207.1</v>
      </c>
      <c r="J374" s="102">
        <f>J375+J381</f>
        <v>3207.1</v>
      </c>
    </row>
    <row r="375" spans="2:11" s="103" customFormat="1" ht="13.5" customHeight="1" x14ac:dyDescent="0.2">
      <c r="B375" s="45" t="s">
        <v>408</v>
      </c>
      <c r="C375" s="24" t="s">
        <v>10</v>
      </c>
      <c r="D375" s="24" t="s">
        <v>401</v>
      </c>
      <c r="E375" s="24" t="s">
        <v>167</v>
      </c>
      <c r="F375" s="34" t="s">
        <v>409</v>
      </c>
      <c r="G375" s="24"/>
      <c r="H375" s="102">
        <f>H378+H379+H376+H377+H380</f>
        <v>3207.1</v>
      </c>
      <c r="I375" s="102">
        <f>I378+I379+I376+I377+I380</f>
        <v>3207.1</v>
      </c>
      <c r="J375" s="102">
        <f>J378+J379+J376+J377+J380</f>
        <v>3207.1</v>
      </c>
    </row>
    <row r="376" spans="2:11" s="103" customFormat="1" ht="13.5" customHeight="1" x14ac:dyDescent="0.2">
      <c r="B376" s="59" t="s">
        <v>133</v>
      </c>
      <c r="C376" s="24" t="s">
        <v>10</v>
      </c>
      <c r="D376" s="24" t="s">
        <v>401</v>
      </c>
      <c r="E376" s="24" t="s">
        <v>167</v>
      </c>
      <c r="F376" s="34" t="s">
        <v>409</v>
      </c>
      <c r="G376" s="24" t="s">
        <v>134</v>
      </c>
      <c r="H376" s="22">
        <v>540</v>
      </c>
      <c r="I376" s="22">
        <v>540</v>
      </c>
      <c r="J376" s="22">
        <v>540</v>
      </c>
      <c r="K376" s="39"/>
    </row>
    <row r="377" spans="2:11" s="103" customFormat="1" ht="26.25" customHeight="1" x14ac:dyDescent="0.2">
      <c r="B377" s="23" t="s">
        <v>35</v>
      </c>
      <c r="C377" s="24" t="s">
        <v>10</v>
      </c>
      <c r="D377" s="24" t="s">
        <v>401</v>
      </c>
      <c r="E377" s="24" t="s">
        <v>167</v>
      </c>
      <c r="F377" s="34" t="s">
        <v>409</v>
      </c>
      <c r="G377" s="24" t="s">
        <v>36</v>
      </c>
      <c r="H377" s="22">
        <v>18</v>
      </c>
      <c r="I377" s="22">
        <v>18</v>
      </c>
      <c r="J377" s="22">
        <v>18</v>
      </c>
      <c r="K377" s="39"/>
    </row>
    <row r="378" spans="2:11" s="103" customFormat="1" ht="23.25" customHeight="1" x14ac:dyDescent="0.2">
      <c r="B378" s="53" t="s">
        <v>410</v>
      </c>
      <c r="C378" s="24" t="s">
        <v>10</v>
      </c>
      <c r="D378" s="24" t="s">
        <v>401</v>
      </c>
      <c r="E378" s="24" t="s">
        <v>167</v>
      </c>
      <c r="F378" s="34" t="s">
        <v>409</v>
      </c>
      <c r="G378" s="24" t="s">
        <v>411</v>
      </c>
      <c r="H378" s="22">
        <v>1800</v>
      </c>
      <c r="I378" s="22">
        <v>1800</v>
      </c>
      <c r="J378" s="22">
        <v>1800</v>
      </c>
      <c r="K378" s="39"/>
    </row>
    <row r="379" spans="2:11" s="103" customFormat="1" ht="16.5" customHeight="1" x14ac:dyDescent="0.2">
      <c r="B379" s="53" t="s">
        <v>105</v>
      </c>
      <c r="C379" s="24" t="s">
        <v>10</v>
      </c>
      <c r="D379" s="24" t="s">
        <v>401</v>
      </c>
      <c r="E379" s="24" t="s">
        <v>167</v>
      </c>
      <c r="F379" s="34" t="s">
        <v>409</v>
      </c>
      <c r="G379" s="24" t="s">
        <v>106</v>
      </c>
      <c r="H379" s="22">
        <v>499.1</v>
      </c>
      <c r="I379" s="22">
        <v>499.1</v>
      </c>
      <c r="J379" s="22">
        <v>499.1</v>
      </c>
      <c r="K379" s="39"/>
    </row>
    <row r="380" spans="2:11" s="103" customFormat="1" ht="16.5" customHeight="1" x14ac:dyDescent="0.2">
      <c r="B380" s="53" t="s">
        <v>412</v>
      </c>
      <c r="C380" s="24" t="s">
        <v>10</v>
      </c>
      <c r="D380" s="24" t="s">
        <v>401</v>
      </c>
      <c r="E380" s="24" t="s">
        <v>167</v>
      </c>
      <c r="F380" s="34" t="s">
        <v>409</v>
      </c>
      <c r="G380" s="24" t="s">
        <v>152</v>
      </c>
      <c r="H380" s="22">
        <v>350</v>
      </c>
      <c r="I380" s="22">
        <v>350</v>
      </c>
      <c r="J380" s="22">
        <v>350</v>
      </c>
      <c r="K380" s="39"/>
    </row>
    <row r="381" spans="2:11" s="103" customFormat="1" ht="26.25" customHeight="1" x14ac:dyDescent="0.2">
      <c r="B381" s="45" t="s">
        <v>413</v>
      </c>
      <c r="C381" s="24" t="s">
        <v>10</v>
      </c>
      <c r="D381" s="24" t="s">
        <v>401</v>
      </c>
      <c r="E381" s="24" t="s">
        <v>167</v>
      </c>
      <c r="F381" s="34" t="s">
        <v>414</v>
      </c>
      <c r="G381" s="24"/>
      <c r="H381" s="22">
        <f>H382</f>
        <v>4860</v>
      </c>
      <c r="I381" s="22">
        <f>I382</f>
        <v>0</v>
      </c>
      <c r="J381" s="22">
        <f>J382</f>
        <v>0</v>
      </c>
    </row>
    <row r="382" spans="2:11" s="103" customFormat="1" ht="16.5" customHeight="1" x14ac:dyDescent="0.2">
      <c r="B382" s="77" t="s">
        <v>415</v>
      </c>
      <c r="C382" s="24" t="s">
        <v>10</v>
      </c>
      <c r="D382" s="24" t="s">
        <v>401</v>
      </c>
      <c r="E382" s="24" t="s">
        <v>167</v>
      </c>
      <c r="F382" s="34" t="s">
        <v>414</v>
      </c>
      <c r="G382" s="51" t="s">
        <v>406</v>
      </c>
      <c r="H382" s="22">
        <v>4860</v>
      </c>
      <c r="I382" s="22">
        <v>0</v>
      </c>
      <c r="J382" s="22">
        <v>0</v>
      </c>
      <c r="K382" s="39"/>
    </row>
    <row r="383" spans="2:11" s="57" customFormat="1" ht="41.25" customHeight="1" x14ac:dyDescent="0.2">
      <c r="B383" s="53" t="s">
        <v>271</v>
      </c>
      <c r="C383" s="24" t="s">
        <v>10</v>
      </c>
      <c r="D383" s="24" t="s">
        <v>401</v>
      </c>
      <c r="E383" s="24" t="s">
        <v>167</v>
      </c>
      <c r="F383" s="26" t="s">
        <v>272</v>
      </c>
      <c r="G383" s="24"/>
      <c r="H383" s="22">
        <f>H384+H391</f>
        <v>7768.5</v>
      </c>
      <c r="I383" s="22">
        <f>I384+I391</f>
        <v>1086.0999999999999</v>
      </c>
      <c r="J383" s="22">
        <f>J384+J391</f>
        <v>1086.0999999999999</v>
      </c>
    </row>
    <row r="384" spans="2:11" s="57" customFormat="1" ht="18.75" customHeight="1" x14ac:dyDescent="0.2">
      <c r="B384" s="23" t="s">
        <v>49</v>
      </c>
      <c r="C384" s="24" t="s">
        <v>10</v>
      </c>
      <c r="D384" s="24" t="s">
        <v>401</v>
      </c>
      <c r="E384" s="24" t="s">
        <v>167</v>
      </c>
      <c r="F384" s="26" t="s">
        <v>273</v>
      </c>
      <c r="G384" s="24"/>
      <c r="H384" s="22">
        <f>H385+H388</f>
        <v>7768.5</v>
      </c>
      <c r="I384" s="22">
        <f>I385+I388</f>
        <v>1086.0999999999999</v>
      </c>
      <c r="J384" s="22">
        <f>J385+J388</f>
        <v>1086.0999999999999</v>
      </c>
    </row>
    <row r="385" spans="2:10" s="57" customFormat="1" ht="41.25" customHeight="1" x14ac:dyDescent="0.2">
      <c r="B385" s="42" t="s">
        <v>416</v>
      </c>
      <c r="C385" s="24" t="s">
        <v>10</v>
      </c>
      <c r="D385" s="52" t="s">
        <v>401</v>
      </c>
      <c r="E385" s="52" t="s">
        <v>167</v>
      </c>
      <c r="F385" s="26" t="s">
        <v>417</v>
      </c>
      <c r="G385" s="52"/>
      <c r="H385" s="22">
        <f t="shared" ref="H385:J386" si="49">H386</f>
        <v>740.8</v>
      </c>
      <c r="I385" s="22">
        <f t="shared" si="49"/>
        <v>1086.0999999999999</v>
      </c>
      <c r="J385" s="22">
        <f t="shared" si="49"/>
        <v>1086.0999999999999</v>
      </c>
    </row>
    <row r="386" spans="2:10" s="57" customFormat="1" ht="94.5" customHeight="1" x14ac:dyDescent="0.2">
      <c r="B386" s="23" t="s">
        <v>418</v>
      </c>
      <c r="C386" s="24" t="s">
        <v>10</v>
      </c>
      <c r="D386" s="52" t="s">
        <v>401</v>
      </c>
      <c r="E386" s="52" t="s">
        <v>167</v>
      </c>
      <c r="F386" s="26" t="s">
        <v>419</v>
      </c>
      <c r="G386" s="52"/>
      <c r="H386" s="22">
        <f t="shared" si="49"/>
        <v>740.8</v>
      </c>
      <c r="I386" s="22">
        <f t="shared" si="49"/>
        <v>1086.0999999999999</v>
      </c>
      <c r="J386" s="22">
        <f t="shared" si="49"/>
        <v>1086.0999999999999</v>
      </c>
    </row>
    <row r="387" spans="2:10" s="57" customFormat="1" ht="27" customHeight="1" x14ac:dyDescent="0.2">
      <c r="B387" s="53" t="s">
        <v>410</v>
      </c>
      <c r="C387" s="24" t="s">
        <v>10</v>
      </c>
      <c r="D387" s="52" t="s">
        <v>401</v>
      </c>
      <c r="E387" s="52" t="s">
        <v>167</v>
      </c>
      <c r="F387" s="26" t="s">
        <v>419</v>
      </c>
      <c r="G387" s="52" t="s">
        <v>411</v>
      </c>
      <c r="H387" s="22">
        <f>174+566.8</f>
        <v>740.8</v>
      </c>
      <c r="I387" s="22">
        <f>519.6+566.5</f>
        <v>1086.0999999999999</v>
      </c>
      <c r="J387" s="22">
        <f>519.6+566.5</f>
        <v>1086.0999999999999</v>
      </c>
    </row>
    <row r="388" spans="2:10" s="57" customFormat="1" ht="24.75" customHeight="1" x14ac:dyDescent="0.2">
      <c r="B388" s="42" t="s">
        <v>420</v>
      </c>
      <c r="C388" s="24" t="s">
        <v>10</v>
      </c>
      <c r="D388" s="52"/>
      <c r="E388" s="52"/>
      <c r="F388" s="26" t="s">
        <v>421</v>
      </c>
      <c r="G388" s="52"/>
      <c r="H388" s="22">
        <f t="shared" ref="H388:J389" si="50">H389</f>
        <v>7027.7</v>
      </c>
      <c r="I388" s="22">
        <f t="shared" si="50"/>
        <v>0</v>
      </c>
      <c r="J388" s="22">
        <f t="shared" si="50"/>
        <v>0</v>
      </c>
    </row>
    <row r="389" spans="2:10" s="57" customFormat="1" ht="29.25" customHeight="1" x14ac:dyDescent="0.2">
      <c r="B389" s="54" t="s">
        <v>422</v>
      </c>
      <c r="C389" s="24" t="s">
        <v>10</v>
      </c>
      <c r="D389" s="52" t="s">
        <v>401</v>
      </c>
      <c r="E389" s="52" t="s">
        <v>167</v>
      </c>
      <c r="F389" s="26" t="s">
        <v>423</v>
      </c>
      <c r="G389" s="52"/>
      <c r="H389" s="22">
        <f t="shared" si="50"/>
        <v>7027.7</v>
      </c>
      <c r="I389" s="22">
        <f t="shared" si="50"/>
        <v>0</v>
      </c>
      <c r="J389" s="22">
        <f t="shared" si="50"/>
        <v>0</v>
      </c>
    </row>
    <row r="390" spans="2:10" s="57" customFormat="1" ht="27" customHeight="1" x14ac:dyDescent="0.2">
      <c r="B390" s="53" t="s">
        <v>410</v>
      </c>
      <c r="C390" s="24" t="s">
        <v>10</v>
      </c>
      <c r="D390" s="52" t="s">
        <v>401</v>
      </c>
      <c r="E390" s="52" t="s">
        <v>167</v>
      </c>
      <c r="F390" s="26" t="s">
        <v>423</v>
      </c>
      <c r="G390" s="52" t="s">
        <v>411</v>
      </c>
      <c r="H390" s="22">
        <f>6676.3+351.4</f>
        <v>7027.7</v>
      </c>
      <c r="I390" s="22">
        <v>0</v>
      </c>
      <c r="J390" s="22">
        <v>0</v>
      </c>
    </row>
    <row r="391" spans="2:10" s="57" customFormat="1" ht="17.25" hidden="1" customHeight="1" x14ac:dyDescent="0.2">
      <c r="B391" s="42" t="s">
        <v>17</v>
      </c>
      <c r="C391" s="24" t="s">
        <v>10</v>
      </c>
      <c r="D391" s="52" t="s">
        <v>401</v>
      </c>
      <c r="E391" s="52" t="s">
        <v>167</v>
      </c>
      <c r="F391" s="26" t="s">
        <v>424</v>
      </c>
      <c r="G391" s="52"/>
      <c r="H391" s="22">
        <f>H392</f>
        <v>0</v>
      </c>
      <c r="I391" s="22">
        <f t="shared" ref="I391:J393" si="51">I392</f>
        <v>0</v>
      </c>
      <c r="J391" s="22">
        <f t="shared" si="51"/>
        <v>0</v>
      </c>
    </row>
    <row r="392" spans="2:10" s="57" customFormat="1" ht="54" hidden="1" customHeight="1" x14ac:dyDescent="0.2">
      <c r="B392" s="42" t="s">
        <v>425</v>
      </c>
      <c r="C392" s="24" t="s">
        <v>10</v>
      </c>
      <c r="D392" s="52" t="s">
        <v>401</v>
      </c>
      <c r="E392" s="52" t="s">
        <v>167</v>
      </c>
      <c r="F392" s="26" t="s">
        <v>426</v>
      </c>
      <c r="G392" s="52"/>
      <c r="H392" s="22">
        <f>H393</f>
        <v>0</v>
      </c>
      <c r="I392" s="22">
        <f t="shared" si="51"/>
        <v>0</v>
      </c>
      <c r="J392" s="22">
        <f t="shared" si="51"/>
        <v>0</v>
      </c>
    </row>
    <row r="393" spans="2:10" s="57" customFormat="1" ht="57.75" hidden="1" customHeight="1" x14ac:dyDescent="0.2">
      <c r="B393" s="23" t="s">
        <v>427</v>
      </c>
      <c r="C393" s="24" t="s">
        <v>10</v>
      </c>
      <c r="D393" s="52" t="s">
        <v>401</v>
      </c>
      <c r="E393" s="52" t="s">
        <v>167</v>
      </c>
      <c r="F393" s="26" t="s">
        <v>428</v>
      </c>
      <c r="G393" s="52"/>
      <c r="H393" s="22">
        <f>H394</f>
        <v>0</v>
      </c>
      <c r="I393" s="22">
        <f t="shared" si="51"/>
        <v>0</v>
      </c>
      <c r="J393" s="22">
        <f t="shared" si="51"/>
        <v>0</v>
      </c>
    </row>
    <row r="394" spans="2:10" s="57" customFormat="1" ht="26.25" hidden="1" customHeight="1" x14ac:dyDescent="0.2">
      <c r="B394" s="53" t="s">
        <v>410</v>
      </c>
      <c r="C394" s="24" t="s">
        <v>10</v>
      </c>
      <c r="D394" s="52" t="s">
        <v>401</v>
      </c>
      <c r="E394" s="52" t="s">
        <v>167</v>
      </c>
      <c r="F394" s="26" t="s">
        <v>428</v>
      </c>
      <c r="G394" s="52" t="s">
        <v>411</v>
      </c>
      <c r="H394" s="22">
        <v>0</v>
      </c>
      <c r="I394" s="22">
        <v>0</v>
      </c>
      <c r="J394" s="22">
        <v>0</v>
      </c>
    </row>
    <row r="395" spans="2:10" s="64" customFormat="1" ht="19.5" customHeight="1" x14ac:dyDescent="0.2">
      <c r="B395" s="99" t="s">
        <v>429</v>
      </c>
      <c r="C395" s="18" t="s">
        <v>10</v>
      </c>
      <c r="D395" s="18" t="s">
        <v>401</v>
      </c>
      <c r="E395" s="18" t="s">
        <v>348</v>
      </c>
      <c r="F395" s="76"/>
      <c r="G395" s="18"/>
      <c r="H395" s="19">
        <f t="shared" ref="H395:J398" si="52">H396</f>
        <v>570</v>
      </c>
      <c r="I395" s="19">
        <f t="shared" si="52"/>
        <v>0</v>
      </c>
      <c r="J395" s="19">
        <f t="shared" si="52"/>
        <v>0</v>
      </c>
    </row>
    <row r="396" spans="2:10" s="20" customFormat="1" ht="40.5" customHeight="1" x14ac:dyDescent="0.2">
      <c r="B396" s="30" t="s">
        <v>28</v>
      </c>
      <c r="C396" s="24" t="s">
        <v>10</v>
      </c>
      <c r="D396" s="24" t="s">
        <v>401</v>
      </c>
      <c r="E396" s="24" t="s">
        <v>348</v>
      </c>
      <c r="F396" s="31" t="s">
        <v>29</v>
      </c>
      <c r="G396" s="24"/>
      <c r="H396" s="22">
        <f t="shared" si="52"/>
        <v>570</v>
      </c>
      <c r="I396" s="22">
        <f t="shared" si="52"/>
        <v>0</v>
      </c>
      <c r="J396" s="22">
        <f t="shared" si="52"/>
        <v>0</v>
      </c>
    </row>
    <row r="397" spans="2:10" s="20" customFormat="1" ht="15.75" customHeight="1" x14ac:dyDescent="0.2">
      <c r="B397" s="32" t="s">
        <v>17</v>
      </c>
      <c r="C397" s="24" t="s">
        <v>10</v>
      </c>
      <c r="D397" s="24" t="s">
        <v>401</v>
      </c>
      <c r="E397" s="24" t="s">
        <v>348</v>
      </c>
      <c r="F397" s="34" t="s">
        <v>30</v>
      </c>
      <c r="G397" s="24"/>
      <c r="H397" s="22">
        <f t="shared" si="52"/>
        <v>570</v>
      </c>
      <c r="I397" s="22">
        <f t="shared" si="52"/>
        <v>0</v>
      </c>
      <c r="J397" s="22">
        <f t="shared" si="52"/>
        <v>0</v>
      </c>
    </row>
    <row r="398" spans="2:10" s="20" customFormat="1" ht="26.25" customHeight="1" x14ac:dyDescent="0.2">
      <c r="B398" s="32" t="s">
        <v>110</v>
      </c>
      <c r="C398" s="24" t="s">
        <v>10</v>
      </c>
      <c r="D398" s="24" t="s">
        <v>401</v>
      </c>
      <c r="E398" s="24" t="s">
        <v>348</v>
      </c>
      <c r="F398" s="34" t="s">
        <v>111</v>
      </c>
      <c r="G398" s="24"/>
      <c r="H398" s="22">
        <f t="shared" si="52"/>
        <v>570</v>
      </c>
      <c r="I398" s="22">
        <f t="shared" si="52"/>
        <v>0</v>
      </c>
      <c r="J398" s="22">
        <f t="shared" si="52"/>
        <v>0</v>
      </c>
    </row>
    <row r="399" spans="2:10" s="20" customFormat="1" ht="24" customHeight="1" x14ac:dyDescent="0.2">
      <c r="B399" s="45" t="s">
        <v>430</v>
      </c>
      <c r="C399" s="24" t="s">
        <v>10</v>
      </c>
      <c r="D399" s="24" t="s">
        <v>401</v>
      </c>
      <c r="E399" s="24" t="s">
        <v>348</v>
      </c>
      <c r="F399" s="34" t="s">
        <v>414</v>
      </c>
      <c r="G399" s="24"/>
      <c r="H399" s="22">
        <f>H401+H400</f>
        <v>570</v>
      </c>
      <c r="I399" s="22">
        <f>I401+I400</f>
        <v>0</v>
      </c>
      <c r="J399" s="22">
        <f>J401+J400</f>
        <v>0</v>
      </c>
    </row>
    <row r="400" spans="2:10" s="20" customFormat="1" ht="24" customHeight="1" x14ac:dyDescent="0.2">
      <c r="B400" s="23" t="s">
        <v>35</v>
      </c>
      <c r="C400" s="24" t="s">
        <v>10</v>
      </c>
      <c r="D400" s="24" t="s">
        <v>401</v>
      </c>
      <c r="E400" s="24" t="s">
        <v>348</v>
      </c>
      <c r="F400" s="34" t="s">
        <v>414</v>
      </c>
      <c r="G400" s="24" t="s">
        <v>36</v>
      </c>
      <c r="H400" s="22">
        <v>150</v>
      </c>
      <c r="I400" s="22">
        <v>0</v>
      </c>
      <c r="J400" s="22">
        <v>0</v>
      </c>
    </row>
    <row r="401" spans="2:10" s="20" customFormat="1" ht="24" customHeight="1" x14ac:dyDescent="0.2">
      <c r="B401" s="53" t="s">
        <v>410</v>
      </c>
      <c r="C401" s="24" t="s">
        <v>10</v>
      </c>
      <c r="D401" s="24" t="s">
        <v>401</v>
      </c>
      <c r="E401" s="24" t="s">
        <v>348</v>
      </c>
      <c r="F401" s="34" t="s">
        <v>414</v>
      </c>
      <c r="G401" s="24" t="s">
        <v>411</v>
      </c>
      <c r="H401" s="22">
        <v>420</v>
      </c>
      <c r="I401" s="22">
        <v>0</v>
      </c>
      <c r="J401" s="22">
        <v>0</v>
      </c>
    </row>
    <row r="402" spans="2:10" s="64" customFormat="1" ht="15" customHeight="1" x14ac:dyDescent="0.2">
      <c r="B402" s="104" t="s">
        <v>431</v>
      </c>
      <c r="C402" s="18" t="s">
        <v>10</v>
      </c>
      <c r="D402" s="18" t="s">
        <v>78</v>
      </c>
      <c r="E402" s="18"/>
      <c r="F402" s="105"/>
      <c r="G402" s="18"/>
      <c r="H402" s="19">
        <f>H403+H424+H416</f>
        <v>17428.399999999998</v>
      </c>
      <c r="I402" s="19">
        <f>I403+I424+I416</f>
        <v>17508.399999999998</v>
      </c>
      <c r="J402" s="19">
        <f>J403+J424+J416</f>
        <v>17508.399999999998</v>
      </c>
    </row>
    <row r="403" spans="2:10" s="64" customFormat="1" ht="12.75" customHeight="1" x14ac:dyDescent="0.2">
      <c r="B403" s="17" t="s">
        <v>432</v>
      </c>
      <c r="C403" s="18" t="s">
        <v>10</v>
      </c>
      <c r="D403" s="18" t="s">
        <v>78</v>
      </c>
      <c r="E403" s="18" t="s">
        <v>12</v>
      </c>
      <c r="F403" s="18"/>
      <c r="G403" s="18"/>
      <c r="H403" s="19">
        <f t="shared" ref="H403:J405" si="53">H404</f>
        <v>15441.8</v>
      </c>
      <c r="I403" s="19">
        <f t="shared" si="53"/>
        <v>15521.8</v>
      </c>
      <c r="J403" s="19">
        <f t="shared" si="53"/>
        <v>15521.8</v>
      </c>
    </row>
    <row r="404" spans="2:10" s="20" customFormat="1" ht="42" customHeight="1" x14ac:dyDescent="0.2">
      <c r="B404" s="42" t="s">
        <v>143</v>
      </c>
      <c r="C404" s="24" t="s">
        <v>10</v>
      </c>
      <c r="D404" s="24" t="s">
        <v>78</v>
      </c>
      <c r="E404" s="24" t="s">
        <v>12</v>
      </c>
      <c r="F404" s="26" t="s">
        <v>144</v>
      </c>
      <c r="G404" s="24"/>
      <c r="H404" s="102">
        <f t="shared" si="53"/>
        <v>15441.8</v>
      </c>
      <c r="I404" s="102">
        <f t="shared" si="53"/>
        <v>15521.8</v>
      </c>
      <c r="J404" s="102">
        <f t="shared" si="53"/>
        <v>15521.8</v>
      </c>
    </row>
    <row r="405" spans="2:10" s="20" customFormat="1" ht="15" customHeight="1" x14ac:dyDescent="0.2">
      <c r="B405" s="53" t="s">
        <v>17</v>
      </c>
      <c r="C405" s="24" t="s">
        <v>10</v>
      </c>
      <c r="D405" s="24" t="s">
        <v>78</v>
      </c>
      <c r="E405" s="24" t="s">
        <v>12</v>
      </c>
      <c r="F405" s="26" t="s">
        <v>153</v>
      </c>
      <c r="G405" s="24"/>
      <c r="H405" s="102">
        <f t="shared" si="53"/>
        <v>15441.8</v>
      </c>
      <c r="I405" s="102">
        <f t="shared" si="53"/>
        <v>15521.8</v>
      </c>
      <c r="J405" s="102">
        <f t="shared" si="53"/>
        <v>15521.8</v>
      </c>
    </row>
    <row r="406" spans="2:10" s="20" customFormat="1" ht="25.5" customHeight="1" x14ac:dyDescent="0.2">
      <c r="B406" s="53" t="s">
        <v>433</v>
      </c>
      <c r="C406" s="24" t="s">
        <v>10</v>
      </c>
      <c r="D406" s="24" t="s">
        <v>78</v>
      </c>
      <c r="E406" s="24" t="s">
        <v>12</v>
      </c>
      <c r="F406" s="26" t="s">
        <v>434</v>
      </c>
      <c r="G406" s="52"/>
      <c r="H406" s="22">
        <f>H407+H411+H409</f>
        <v>15441.8</v>
      </c>
      <c r="I406" s="22">
        <f>I407+I411+I409</f>
        <v>15521.8</v>
      </c>
      <c r="J406" s="22">
        <f>J407+J411+J409</f>
        <v>15521.8</v>
      </c>
    </row>
    <row r="407" spans="2:10" s="20" customFormat="1" ht="25.5" customHeight="1" x14ac:dyDescent="0.2">
      <c r="B407" s="106" t="s">
        <v>435</v>
      </c>
      <c r="C407" s="24" t="s">
        <v>10</v>
      </c>
      <c r="D407" s="24" t="s">
        <v>78</v>
      </c>
      <c r="E407" s="24" t="s">
        <v>12</v>
      </c>
      <c r="F407" s="26" t="s">
        <v>436</v>
      </c>
      <c r="G407" s="52"/>
      <c r="H407" s="22">
        <f>H408</f>
        <v>5134.5</v>
      </c>
      <c r="I407" s="22">
        <f>I408</f>
        <v>5134.5</v>
      </c>
      <c r="J407" s="22">
        <f>J408</f>
        <v>5134.5</v>
      </c>
    </row>
    <row r="408" spans="2:10" s="20" customFormat="1" ht="15" customHeight="1" x14ac:dyDescent="0.2">
      <c r="B408" s="106" t="s">
        <v>365</v>
      </c>
      <c r="C408" s="24" t="s">
        <v>10</v>
      </c>
      <c r="D408" s="24" t="s">
        <v>78</v>
      </c>
      <c r="E408" s="24" t="s">
        <v>12</v>
      </c>
      <c r="F408" s="26" t="s">
        <v>436</v>
      </c>
      <c r="G408" s="52" t="s">
        <v>152</v>
      </c>
      <c r="H408" s="22">
        <v>5134.5</v>
      </c>
      <c r="I408" s="22">
        <v>5134.5</v>
      </c>
      <c r="J408" s="22">
        <v>5134.5</v>
      </c>
    </row>
    <row r="409" spans="2:10" s="20" customFormat="1" ht="27" customHeight="1" x14ac:dyDescent="0.2">
      <c r="B409" s="53" t="s">
        <v>41</v>
      </c>
      <c r="C409" s="24" t="s">
        <v>10</v>
      </c>
      <c r="D409" s="24" t="s">
        <v>78</v>
      </c>
      <c r="E409" s="24" t="s">
        <v>12</v>
      </c>
      <c r="F409" s="26" t="s">
        <v>437</v>
      </c>
      <c r="G409" s="24"/>
      <c r="H409" s="22">
        <f>H410</f>
        <v>9735.2999999999993</v>
      </c>
      <c r="I409" s="22">
        <f>I410</f>
        <v>9735.2999999999993</v>
      </c>
      <c r="J409" s="22">
        <f>J410</f>
        <v>9735.2999999999993</v>
      </c>
    </row>
    <row r="410" spans="2:10" s="20" customFormat="1" ht="15.75" customHeight="1" x14ac:dyDescent="0.2">
      <c r="B410" s="107" t="s">
        <v>151</v>
      </c>
      <c r="C410" s="24" t="s">
        <v>10</v>
      </c>
      <c r="D410" s="24" t="s">
        <v>78</v>
      </c>
      <c r="E410" s="24" t="s">
        <v>12</v>
      </c>
      <c r="F410" s="26" t="s">
        <v>437</v>
      </c>
      <c r="G410" s="24" t="s">
        <v>152</v>
      </c>
      <c r="H410" s="22">
        <f>8966.5+50+718.8</f>
        <v>9735.2999999999993</v>
      </c>
      <c r="I410" s="22">
        <f>8966.5+50+718.8</f>
        <v>9735.2999999999993</v>
      </c>
      <c r="J410" s="22">
        <f>8966.5+50+718.8</f>
        <v>9735.2999999999993</v>
      </c>
    </row>
    <row r="411" spans="2:10" s="20" customFormat="1" ht="14.25" customHeight="1" x14ac:dyDescent="0.2">
      <c r="B411" s="108" t="s">
        <v>438</v>
      </c>
      <c r="C411" s="24" t="s">
        <v>10</v>
      </c>
      <c r="D411" s="24" t="s">
        <v>78</v>
      </c>
      <c r="E411" s="24" t="s">
        <v>12</v>
      </c>
      <c r="F411" s="26" t="s">
        <v>439</v>
      </c>
      <c r="G411" s="52"/>
      <c r="H411" s="22">
        <f>H412+H413+H414+H415</f>
        <v>572</v>
      </c>
      <c r="I411" s="22">
        <f>I412+I413+I414+I415</f>
        <v>652</v>
      </c>
      <c r="J411" s="22">
        <f>J412+J413+J414+J415</f>
        <v>652</v>
      </c>
    </row>
    <row r="412" spans="2:10" s="20" customFormat="1" ht="25.5" customHeight="1" x14ac:dyDescent="0.2">
      <c r="B412" s="44" t="s">
        <v>23</v>
      </c>
      <c r="C412" s="24" t="s">
        <v>10</v>
      </c>
      <c r="D412" s="24" t="s">
        <v>78</v>
      </c>
      <c r="E412" s="24" t="s">
        <v>12</v>
      </c>
      <c r="F412" s="26" t="s">
        <v>439</v>
      </c>
      <c r="G412" s="52" t="s">
        <v>24</v>
      </c>
      <c r="H412" s="22">
        <v>50</v>
      </c>
      <c r="I412" s="22">
        <v>50</v>
      </c>
      <c r="J412" s="61">
        <v>50</v>
      </c>
    </row>
    <row r="413" spans="2:10" s="20" customFormat="1" ht="25.5" customHeight="1" x14ac:dyDescent="0.2">
      <c r="B413" s="23" t="s">
        <v>35</v>
      </c>
      <c r="C413" s="24" t="s">
        <v>10</v>
      </c>
      <c r="D413" s="24" t="s">
        <v>78</v>
      </c>
      <c r="E413" s="24" t="s">
        <v>12</v>
      </c>
      <c r="F413" s="26" t="s">
        <v>439</v>
      </c>
      <c r="G413" s="52" t="s">
        <v>36</v>
      </c>
      <c r="H413" s="22">
        <v>522</v>
      </c>
      <c r="I413" s="22">
        <v>602</v>
      </c>
      <c r="J413" s="61">
        <v>602</v>
      </c>
    </row>
    <row r="414" spans="2:10" s="20" customFormat="1" ht="15.75" hidden="1" customHeight="1" x14ac:dyDescent="0.2">
      <c r="B414" s="53" t="s">
        <v>150</v>
      </c>
      <c r="C414" s="24" t="s">
        <v>10</v>
      </c>
      <c r="D414" s="24" t="s">
        <v>78</v>
      </c>
      <c r="E414" s="24" t="s">
        <v>12</v>
      </c>
      <c r="F414" s="26" t="s">
        <v>439</v>
      </c>
      <c r="G414" s="52" t="s">
        <v>106</v>
      </c>
      <c r="H414" s="22">
        <v>0</v>
      </c>
      <c r="I414" s="22">
        <v>0</v>
      </c>
      <c r="J414" s="22">
        <v>0</v>
      </c>
    </row>
    <row r="415" spans="2:10" s="20" customFormat="1" ht="16.5" hidden="1" customHeight="1" x14ac:dyDescent="0.2">
      <c r="B415" s="60" t="s">
        <v>151</v>
      </c>
      <c r="C415" s="24" t="s">
        <v>10</v>
      </c>
      <c r="D415" s="24" t="s">
        <v>78</v>
      </c>
      <c r="E415" s="24" t="s">
        <v>12</v>
      </c>
      <c r="F415" s="26" t="s">
        <v>439</v>
      </c>
      <c r="G415" s="52" t="s">
        <v>152</v>
      </c>
      <c r="H415" s="22">
        <v>0</v>
      </c>
      <c r="I415" s="22">
        <v>0</v>
      </c>
      <c r="J415" s="22">
        <v>0</v>
      </c>
    </row>
    <row r="416" spans="2:10" s="20" customFormat="1" ht="18" customHeight="1" x14ac:dyDescent="0.2">
      <c r="B416" s="96" t="s">
        <v>440</v>
      </c>
      <c r="C416" s="18" t="s">
        <v>10</v>
      </c>
      <c r="D416" s="18" t="s">
        <v>78</v>
      </c>
      <c r="E416" s="18" t="s">
        <v>14</v>
      </c>
      <c r="F416" s="26"/>
      <c r="G416" s="24"/>
      <c r="H416" s="22">
        <f t="shared" ref="H416:J417" si="54">H417</f>
        <v>1522.2</v>
      </c>
      <c r="I416" s="22">
        <f t="shared" si="54"/>
        <v>1522.2</v>
      </c>
      <c r="J416" s="22">
        <f t="shared" si="54"/>
        <v>1522.2</v>
      </c>
    </row>
    <row r="417" spans="2:10" s="20" customFormat="1" ht="25.5" customHeight="1" x14ac:dyDescent="0.2">
      <c r="B417" s="42" t="s">
        <v>143</v>
      </c>
      <c r="C417" s="24" t="s">
        <v>10</v>
      </c>
      <c r="D417" s="24" t="s">
        <v>78</v>
      </c>
      <c r="E417" s="24" t="s">
        <v>14</v>
      </c>
      <c r="F417" s="26" t="s">
        <v>144</v>
      </c>
      <c r="G417" s="24"/>
      <c r="H417" s="22">
        <f>H418</f>
        <v>1522.2</v>
      </c>
      <c r="I417" s="22">
        <f t="shared" si="54"/>
        <v>1522.2</v>
      </c>
      <c r="J417" s="22">
        <f t="shared" si="54"/>
        <v>1522.2</v>
      </c>
    </row>
    <row r="418" spans="2:10" s="20" customFormat="1" ht="15.75" customHeight="1" x14ac:dyDescent="0.2">
      <c r="B418" s="42" t="s">
        <v>49</v>
      </c>
      <c r="C418" s="24" t="s">
        <v>10</v>
      </c>
      <c r="D418" s="24" t="s">
        <v>78</v>
      </c>
      <c r="E418" s="24" t="s">
        <v>14</v>
      </c>
      <c r="F418" s="26" t="s">
        <v>145</v>
      </c>
      <c r="G418" s="24"/>
      <c r="H418" s="22">
        <f>H419</f>
        <v>1522.2</v>
      </c>
      <c r="I418" s="22">
        <f>I419</f>
        <v>1522.2</v>
      </c>
      <c r="J418" s="22">
        <f>J419</f>
        <v>1522.2</v>
      </c>
    </row>
    <row r="419" spans="2:10" s="20" customFormat="1" ht="28.5" customHeight="1" x14ac:dyDescent="0.2">
      <c r="B419" s="53" t="s">
        <v>441</v>
      </c>
      <c r="C419" s="24" t="s">
        <v>10</v>
      </c>
      <c r="D419" s="24" t="s">
        <v>78</v>
      </c>
      <c r="E419" s="24" t="s">
        <v>14</v>
      </c>
      <c r="F419" s="26" t="s">
        <v>442</v>
      </c>
      <c r="G419" s="52"/>
      <c r="H419" s="22">
        <f>H420+H422</f>
        <v>1522.2</v>
      </c>
      <c r="I419" s="22">
        <f>I420+I422</f>
        <v>1522.2</v>
      </c>
      <c r="J419" s="22">
        <f>J420+J422</f>
        <v>1522.2</v>
      </c>
    </row>
    <row r="420" spans="2:10" s="20" customFormat="1" ht="41.25" customHeight="1" x14ac:dyDescent="0.2">
      <c r="B420" s="23" t="s">
        <v>443</v>
      </c>
      <c r="C420" s="24" t="s">
        <v>10</v>
      </c>
      <c r="D420" s="24" t="s">
        <v>78</v>
      </c>
      <c r="E420" s="24" t="s">
        <v>14</v>
      </c>
      <c r="F420" s="26" t="s">
        <v>444</v>
      </c>
      <c r="G420" s="52"/>
      <c r="H420" s="22">
        <f>H421</f>
        <v>522.20000000000005</v>
      </c>
      <c r="I420" s="22">
        <f>I421</f>
        <v>522.20000000000005</v>
      </c>
      <c r="J420" s="22">
        <f>J421</f>
        <v>522.20000000000005</v>
      </c>
    </row>
    <row r="421" spans="2:10" s="20" customFormat="1" ht="29.25" customHeight="1" x14ac:dyDescent="0.2">
      <c r="B421" s="23" t="s">
        <v>35</v>
      </c>
      <c r="C421" s="24" t="s">
        <v>10</v>
      </c>
      <c r="D421" s="24" t="s">
        <v>78</v>
      </c>
      <c r="E421" s="24" t="s">
        <v>14</v>
      </c>
      <c r="F421" s="26" t="s">
        <v>444</v>
      </c>
      <c r="G421" s="52" t="s">
        <v>36</v>
      </c>
      <c r="H421" s="22">
        <f>470+52.2</f>
        <v>522.20000000000005</v>
      </c>
      <c r="I421" s="22">
        <f>470+52.2</f>
        <v>522.20000000000005</v>
      </c>
      <c r="J421" s="22">
        <f>470+52.2</f>
        <v>522.20000000000005</v>
      </c>
    </row>
    <row r="422" spans="2:10" s="20" customFormat="1" ht="39" customHeight="1" x14ac:dyDescent="0.2">
      <c r="B422" s="53" t="s">
        <v>445</v>
      </c>
      <c r="C422" s="24" t="s">
        <v>10</v>
      </c>
      <c r="D422" s="24" t="s">
        <v>78</v>
      </c>
      <c r="E422" s="24" t="s">
        <v>14</v>
      </c>
      <c r="F422" s="26" t="s">
        <v>446</v>
      </c>
      <c r="G422" s="52"/>
      <c r="H422" s="22">
        <f>H423</f>
        <v>1000</v>
      </c>
      <c r="I422" s="22">
        <f>I423</f>
        <v>1000</v>
      </c>
      <c r="J422" s="22">
        <f>J423</f>
        <v>1000</v>
      </c>
    </row>
    <row r="423" spans="2:10" s="20" customFormat="1" ht="30.75" customHeight="1" x14ac:dyDescent="0.2">
      <c r="B423" s="23" t="s">
        <v>35</v>
      </c>
      <c r="C423" s="24" t="s">
        <v>10</v>
      </c>
      <c r="D423" s="24" t="s">
        <v>78</v>
      </c>
      <c r="E423" s="24" t="s">
        <v>14</v>
      </c>
      <c r="F423" s="26" t="s">
        <v>446</v>
      </c>
      <c r="G423" s="52" t="s">
        <v>36</v>
      </c>
      <c r="H423" s="22">
        <f>900+100</f>
        <v>1000</v>
      </c>
      <c r="I423" s="22">
        <f>900+100</f>
        <v>1000</v>
      </c>
      <c r="J423" s="22">
        <f>900+100</f>
        <v>1000</v>
      </c>
    </row>
    <row r="424" spans="2:10" s="20" customFormat="1" ht="19.5" customHeight="1" x14ac:dyDescent="0.2">
      <c r="B424" s="96" t="s">
        <v>447</v>
      </c>
      <c r="C424" s="18" t="s">
        <v>10</v>
      </c>
      <c r="D424" s="18" t="s">
        <v>78</v>
      </c>
      <c r="E424" s="18" t="s">
        <v>72</v>
      </c>
      <c r="F424" s="26"/>
      <c r="G424" s="24"/>
      <c r="H424" s="22">
        <f>H425</f>
        <v>464.4</v>
      </c>
      <c r="I424" s="22">
        <f>I425</f>
        <v>464.4</v>
      </c>
      <c r="J424" s="22">
        <f>J425</f>
        <v>464.4</v>
      </c>
    </row>
    <row r="425" spans="2:10" s="20" customFormat="1" ht="24.75" customHeight="1" x14ac:dyDescent="0.2">
      <c r="B425" s="42" t="s">
        <v>143</v>
      </c>
      <c r="C425" s="24" t="s">
        <v>10</v>
      </c>
      <c r="D425" s="24" t="s">
        <v>78</v>
      </c>
      <c r="E425" s="24" t="s">
        <v>72</v>
      </c>
      <c r="F425" s="26" t="s">
        <v>144</v>
      </c>
      <c r="G425" s="24"/>
      <c r="H425" s="22">
        <f>H427</f>
        <v>464.4</v>
      </c>
      <c r="I425" s="22">
        <f>I427</f>
        <v>464.4</v>
      </c>
      <c r="J425" s="22">
        <f>J427</f>
        <v>464.4</v>
      </c>
    </row>
    <row r="426" spans="2:10" s="20" customFormat="1" ht="16.5" customHeight="1" x14ac:dyDescent="0.2">
      <c r="B426" s="42" t="s">
        <v>49</v>
      </c>
      <c r="C426" s="24" t="s">
        <v>10</v>
      </c>
      <c r="D426" s="24" t="s">
        <v>78</v>
      </c>
      <c r="E426" s="24" t="s">
        <v>72</v>
      </c>
      <c r="F426" s="26" t="s">
        <v>145</v>
      </c>
      <c r="G426" s="24"/>
      <c r="H426" s="22">
        <f t="shared" ref="H426:J427" si="55">H427</f>
        <v>464.4</v>
      </c>
      <c r="I426" s="22">
        <f t="shared" si="55"/>
        <v>464.4</v>
      </c>
      <c r="J426" s="22">
        <f t="shared" si="55"/>
        <v>464.4</v>
      </c>
    </row>
    <row r="427" spans="2:10" s="20" customFormat="1" ht="27" customHeight="1" x14ac:dyDescent="0.2">
      <c r="B427" s="23" t="s">
        <v>448</v>
      </c>
      <c r="C427" s="24" t="s">
        <v>10</v>
      </c>
      <c r="D427" s="24" t="s">
        <v>78</v>
      </c>
      <c r="E427" s="24" t="s">
        <v>72</v>
      </c>
      <c r="F427" s="26" t="s">
        <v>449</v>
      </c>
      <c r="G427" s="52"/>
      <c r="H427" s="22">
        <f t="shared" si="55"/>
        <v>464.4</v>
      </c>
      <c r="I427" s="22">
        <f t="shared" si="55"/>
        <v>464.4</v>
      </c>
      <c r="J427" s="22">
        <f t="shared" si="55"/>
        <v>464.4</v>
      </c>
    </row>
    <row r="428" spans="2:10" s="20" customFormat="1" ht="24.75" customHeight="1" x14ac:dyDescent="0.2">
      <c r="B428" s="42" t="s">
        <v>450</v>
      </c>
      <c r="C428" s="24" t="s">
        <v>10</v>
      </c>
      <c r="D428" s="24" t="s">
        <v>78</v>
      </c>
      <c r="E428" s="24" t="s">
        <v>72</v>
      </c>
      <c r="F428" s="26" t="s">
        <v>451</v>
      </c>
      <c r="G428" s="52"/>
      <c r="H428" s="22">
        <f>H429+H430+H431</f>
        <v>464.4</v>
      </c>
      <c r="I428" s="22">
        <f>I429+I430+I431</f>
        <v>464.4</v>
      </c>
      <c r="J428" s="22">
        <f>J429+J430+J431</f>
        <v>464.4</v>
      </c>
    </row>
    <row r="429" spans="2:10" s="20" customFormat="1" ht="24.75" hidden="1" customHeight="1" x14ac:dyDescent="0.2">
      <c r="B429" s="23" t="s">
        <v>35</v>
      </c>
      <c r="C429" s="24" t="s">
        <v>10</v>
      </c>
      <c r="D429" s="24" t="s">
        <v>78</v>
      </c>
      <c r="E429" s="24" t="s">
        <v>72</v>
      </c>
      <c r="F429" s="26" t="s">
        <v>451</v>
      </c>
      <c r="G429" s="52" t="s">
        <v>36</v>
      </c>
      <c r="H429" s="22">
        <v>0</v>
      </c>
      <c r="I429" s="22">
        <v>0</v>
      </c>
      <c r="J429" s="22">
        <v>0</v>
      </c>
    </row>
    <row r="430" spans="2:10" s="20" customFormat="1" ht="14.25" hidden="1" customHeight="1" x14ac:dyDescent="0.2">
      <c r="B430" s="53" t="s">
        <v>150</v>
      </c>
      <c r="C430" s="24" t="s">
        <v>10</v>
      </c>
      <c r="D430" s="24" t="s">
        <v>78</v>
      </c>
      <c r="E430" s="24" t="s">
        <v>72</v>
      </c>
      <c r="F430" s="26" t="s">
        <v>451</v>
      </c>
      <c r="G430" s="52" t="s">
        <v>106</v>
      </c>
      <c r="H430" s="22">
        <v>0</v>
      </c>
      <c r="I430" s="22">
        <v>0</v>
      </c>
      <c r="J430" s="22">
        <v>0</v>
      </c>
    </row>
    <row r="431" spans="2:10" s="20" customFormat="1" ht="18" customHeight="1" x14ac:dyDescent="0.2">
      <c r="B431" s="60" t="s">
        <v>151</v>
      </c>
      <c r="C431" s="24" t="s">
        <v>10</v>
      </c>
      <c r="D431" s="24" t="s">
        <v>78</v>
      </c>
      <c r="E431" s="24" t="s">
        <v>72</v>
      </c>
      <c r="F431" s="26" t="s">
        <v>451</v>
      </c>
      <c r="G431" s="52" t="s">
        <v>152</v>
      </c>
      <c r="H431" s="22">
        <f>418+46.4</f>
        <v>464.4</v>
      </c>
      <c r="I431" s="22">
        <f>418+46.4</f>
        <v>464.4</v>
      </c>
      <c r="J431" s="22">
        <f>418+46.4</f>
        <v>464.4</v>
      </c>
    </row>
    <row r="432" spans="2:10" s="20" customFormat="1" ht="21.75" customHeight="1" x14ac:dyDescent="0.2">
      <c r="B432" s="79" t="s">
        <v>452</v>
      </c>
      <c r="C432" s="18" t="s">
        <v>453</v>
      </c>
      <c r="D432" s="18"/>
      <c r="E432" s="18"/>
      <c r="F432" s="18"/>
      <c r="G432" s="18"/>
      <c r="H432" s="19">
        <f t="shared" ref="H432:J435" si="56">H433</f>
        <v>1062.5</v>
      </c>
      <c r="I432" s="19">
        <f t="shared" si="56"/>
        <v>1342.6</v>
      </c>
      <c r="J432" s="19">
        <f t="shared" si="56"/>
        <v>1342.6</v>
      </c>
    </row>
    <row r="433" spans="2:10" s="20" customFormat="1" x14ac:dyDescent="0.2">
      <c r="B433" s="79" t="s">
        <v>11</v>
      </c>
      <c r="C433" s="18" t="s">
        <v>453</v>
      </c>
      <c r="D433" s="18" t="s">
        <v>12</v>
      </c>
      <c r="E433" s="18"/>
      <c r="F433" s="24"/>
      <c r="G433" s="18"/>
      <c r="H433" s="19">
        <f t="shared" si="56"/>
        <v>1062.5</v>
      </c>
      <c r="I433" s="19">
        <f t="shared" si="56"/>
        <v>1342.6</v>
      </c>
      <c r="J433" s="19">
        <f t="shared" si="56"/>
        <v>1342.6</v>
      </c>
    </row>
    <row r="434" spans="2:10" s="20" customFormat="1" ht="38.25" customHeight="1" x14ac:dyDescent="0.2">
      <c r="B434" s="93" t="s">
        <v>454</v>
      </c>
      <c r="C434" s="18" t="s">
        <v>453</v>
      </c>
      <c r="D434" s="18" t="s">
        <v>12</v>
      </c>
      <c r="E434" s="18" t="s">
        <v>167</v>
      </c>
      <c r="F434" s="24"/>
      <c r="G434" s="24"/>
      <c r="H434" s="19">
        <f t="shared" si="56"/>
        <v>1062.5</v>
      </c>
      <c r="I434" s="19">
        <f t="shared" si="56"/>
        <v>1342.6</v>
      </c>
      <c r="J434" s="19">
        <f t="shared" si="56"/>
        <v>1342.6</v>
      </c>
    </row>
    <row r="435" spans="2:10" s="20" customFormat="1" ht="24" customHeight="1" x14ac:dyDescent="0.2">
      <c r="B435" s="48" t="s">
        <v>455</v>
      </c>
      <c r="C435" s="24" t="s">
        <v>453</v>
      </c>
      <c r="D435" s="24" t="s">
        <v>12</v>
      </c>
      <c r="E435" s="24" t="s">
        <v>167</v>
      </c>
      <c r="F435" s="31" t="s">
        <v>456</v>
      </c>
      <c r="G435" s="109"/>
      <c r="H435" s="22">
        <f t="shared" si="56"/>
        <v>1062.5</v>
      </c>
      <c r="I435" s="22">
        <f t="shared" si="56"/>
        <v>1342.6</v>
      </c>
      <c r="J435" s="22">
        <f t="shared" si="56"/>
        <v>1342.6</v>
      </c>
    </row>
    <row r="436" spans="2:10" s="20" customFormat="1" x14ac:dyDescent="0.2">
      <c r="B436" s="23" t="s">
        <v>37</v>
      </c>
      <c r="C436" s="24" t="s">
        <v>453</v>
      </c>
      <c r="D436" s="24" t="s">
        <v>12</v>
      </c>
      <c r="E436" s="24" t="s">
        <v>167</v>
      </c>
      <c r="F436" s="31" t="s">
        <v>457</v>
      </c>
      <c r="G436" s="109"/>
      <c r="H436" s="22">
        <f>H437+H438</f>
        <v>1062.5</v>
      </c>
      <c r="I436" s="22">
        <f>I437+I438</f>
        <v>1342.6</v>
      </c>
      <c r="J436" s="22">
        <f>J437+J438</f>
        <v>1342.6</v>
      </c>
    </row>
    <row r="437" spans="2:10" s="20" customFormat="1" ht="25.5" x14ac:dyDescent="0.2">
      <c r="B437" s="35" t="s">
        <v>23</v>
      </c>
      <c r="C437" s="24" t="s">
        <v>453</v>
      </c>
      <c r="D437" s="24" t="s">
        <v>12</v>
      </c>
      <c r="E437" s="24" t="s">
        <v>167</v>
      </c>
      <c r="F437" s="31" t="s">
        <v>457</v>
      </c>
      <c r="G437" s="109">
        <v>120</v>
      </c>
      <c r="H437" s="22">
        <f>288.8+8.7</f>
        <v>297.5</v>
      </c>
      <c r="I437" s="22">
        <v>577.6</v>
      </c>
      <c r="J437" s="22">
        <v>577.6</v>
      </c>
    </row>
    <row r="438" spans="2:10" s="20" customFormat="1" ht="25.5" x14ac:dyDescent="0.2">
      <c r="B438" s="23" t="s">
        <v>35</v>
      </c>
      <c r="C438" s="24" t="s">
        <v>453</v>
      </c>
      <c r="D438" s="24" t="s">
        <v>12</v>
      </c>
      <c r="E438" s="24" t="s">
        <v>167</v>
      </c>
      <c r="F438" s="31" t="s">
        <v>457</v>
      </c>
      <c r="G438" s="109">
        <v>240</v>
      </c>
      <c r="H438" s="22">
        <v>765</v>
      </c>
      <c r="I438" s="22">
        <v>765</v>
      </c>
      <c r="J438" s="22">
        <v>765</v>
      </c>
    </row>
    <row r="439" spans="2:10" s="64" customFormat="1" ht="15" customHeight="1" x14ac:dyDescent="0.2">
      <c r="B439" s="17" t="s">
        <v>458</v>
      </c>
      <c r="C439" s="18" t="s">
        <v>459</v>
      </c>
      <c r="D439" s="18"/>
      <c r="E439" s="18"/>
      <c r="F439" s="110"/>
      <c r="G439" s="111"/>
      <c r="H439" s="19">
        <f t="shared" ref="H439:J441" si="57">H440</f>
        <v>1211.9000000000001</v>
      </c>
      <c r="I439" s="19">
        <f t="shared" si="57"/>
        <v>1211.9000000000001</v>
      </c>
      <c r="J439" s="19">
        <f t="shared" si="57"/>
        <v>1211.9000000000001</v>
      </c>
    </row>
    <row r="440" spans="2:10" s="64" customFormat="1" ht="14.25" customHeight="1" x14ac:dyDescent="0.2">
      <c r="B440" s="17" t="s">
        <v>11</v>
      </c>
      <c r="C440" s="18" t="s">
        <v>459</v>
      </c>
      <c r="D440" s="18" t="s">
        <v>12</v>
      </c>
      <c r="E440" s="18"/>
      <c r="F440" s="110"/>
      <c r="G440" s="111"/>
      <c r="H440" s="19">
        <f t="shared" si="57"/>
        <v>1211.9000000000001</v>
      </c>
      <c r="I440" s="19">
        <f t="shared" si="57"/>
        <v>1211.9000000000001</v>
      </c>
      <c r="J440" s="19">
        <f t="shared" si="57"/>
        <v>1211.9000000000001</v>
      </c>
    </row>
    <row r="441" spans="2:10" s="64" customFormat="1" ht="26.25" customHeight="1" x14ac:dyDescent="0.2">
      <c r="B441" s="17" t="s">
        <v>460</v>
      </c>
      <c r="C441" s="18" t="s">
        <v>459</v>
      </c>
      <c r="D441" s="18" t="s">
        <v>12</v>
      </c>
      <c r="E441" s="18" t="s">
        <v>348</v>
      </c>
      <c r="F441" s="110"/>
      <c r="G441" s="111"/>
      <c r="H441" s="19">
        <f>H442</f>
        <v>1211.9000000000001</v>
      </c>
      <c r="I441" s="19">
        <f t="shared" si="57"/>
        <v>1211.9000000000001</v>
      </c>
      <c r="J441" s="19">
        <f t="shared" si="57"/>
        <v>1211.9000000000001</v>
      </c>
    </row>
    <row r="442" spans="2:10" s="20" customFormat="1" ht="16.5" customHeight="1" x14ac:dyDescent="0.2">
      <c r="B442" s="48" t="s">
        <v>461</v>
      </c>
      <c r="C442" s="24" t="s">
        <v>459</v>
      </c>
      <c r="D442" s="24" t="s">
        <v>12</v>
      </c>
      <c r="E442" s="24" t="s">
        <v>348</v>
      </c>
      <c r="F442" s="31" t="s">
        <v>462</v>
      </c>
      <c r="G442" s="31"/>
      <c r="H442" s="22">
        <f>H443</f>
        <v>1211.9000000000001</v>
      </c>
      <c r="I442" s="22">
        <f>I443</f>
        <v>1211.9000000000001</v>
      </c>
      <c r="J442" s="22">
        <f>J443</f>
        <v>1211.9000000000001</v>
      </c>
    </row>
    <row r="443" spans="2:10" s="20" customFormat="1" ht="17.25" customHeight="1" x14ac:dyDescent="0.2">
      <c r="B443" s="112" t="s">
        <v>463</v>
      </c>
      <c r="C443" s="24" t="s">
        <v>459</v>
      </c>
      <c r="D443" s="24" t="s">
        <v>12</v>
      </c>
      <c r="E443" s="24" t="s">
        <v>348</v>
      </c>
      <c r="F443" s="31" t="s">
        <v>464</v>
      </c>
      <c r="G443" s="31"/>
      <c r="H443" s="22">
        <f>H444+H445+H446</f>
        <v>1211.9000000000001</v>
      </c>
      <c r="I443" s="22">
        <f>I444+I445+I446</f>
        <v>1211.9000000000001</v>
      </c>
      <c r="J443" s="22">
        <f>J444+J445+J446</f>
        <v>1211.9000000000001</v>
      </c>
    </row>
    <row r="444" spans="2:10" s="20" customFormat="1" ht="26.25" customHeight="1" x14ac:dyDescent="0.2">
      <c r="B444" s="23" t="s">
        <v>23</v>
      </c>
      <c r="C444" s="24" t="s">
        <v>459</v>
      </c>
      <c r="D444" s="24" t="s">
        <v>12</v>
      </c>
      <c r="E444" s="24" t="s">
        <v>348</v>
      </c>
      <c r="F444" s="31" t="s">
        <v>464</v>
      </c>
      <c r="G444" s="31" t="s">
        <v>24</v>
      </c>
      <c r="H444" s="40">
        <f>948.2+8</f>
        <v>956.2</v>
      </c>
      <c r="I444" s="40">
        <f>948.2+8</f>
        <v>956.2</v>
      </c>
      <c r="J444" s="40">
        <f>948.2+8</f>
        <v>956.2</v>
      </c>
    </row>
    <row r="445" spans="2:10" s="20" customFormat="1" ht="26.25" customHeight="1" x14ac:dyDescent="0.2">
      <c r="B445" s="23" t="s">
        <v>35</v>
      </c>
      <c r="C445" s="24" t="s">
        <v>459</v>
      </c>
      <c r="D445" s="24" t="s">
        <v>12</v>
      </c>
      <c r="E445" s="24" t="s">
        <v>348</v>
      </c>
      <c r="F445" s="31" t="s">
        <v>464</v>
      </c>
      <c r="G445" s="31" t="s">
        <v>36</v>
      </c>
      <c r="H445" s="40">
        <v>255.7</v>
      </c>
      <c r="I445" s="40">
        <v>255.7</v>
      </c>
      <c r="J445" s="40">
        <v>255.7</v>
      </c>
    </row>
    <row r="446" spans="2:10" s="20" customFormat="1" ht="17.25" hidden="1" customHeight="1" x14ac:dyDescent="0.2">
      <c r="B446" s="23" t="s">
        <v>39</v>
      </c>
      <c r="C446" s="24" t="s">
        <v>459</v>
      </c>
      <c r="D446" s="24" t="s">
        <v>12</v>
      </c>
      <c r="E446" s="24" t="s">
        <v>348</v>
      </c>
      <c r="F446" s="31" t="s">
        <v>464</v>
      </c>
      <c r="G446" s="31" t="s">
        <v>40</v>
      </c>
      <c r="H446" s="40"/>
      <c r="I446" s="40"/>
      <c r="J446" s="40"/>
    </row>
    <row r="447" spans="2:10" s="64" customFormat="1" ht="25.5" customHeight="1" x14ac:dyDescent="0.2">
      <c r="B447" s="17" t="s">
        <v>465</v>
      </c>
      <c r="C447" s="18" t="s">
        <v>466</v>
      </c>
      <c r="D447" s="18"/>
      <c r="E447" s="18"/>
      <c r="F447" s="18"/>
      <c r="G447" s="18"/>
      <c r="H447" s="19">
        <f>H448+H474+H483</f>
        <v>27008.7</v>
      </c>
      <c r="I447" s="19">
        <f>I448+I474+I483</f>
        <v>26162.400000000001</v>
      </c>
      <c r="J447" s="19">
        <f>J448+J474+J483</f>
        <v>26081.9</v>
      </c>
    </row>
    <row r="448" spans="2:10" s="64" customFormat="1" x14ac:dyDescent="0.2">
      <c r="B448" s="17" t="s">
        <v>11</v>
      </c>
      <c r="C448" s="18" t="s">
        <v>466</v>
      </c>
      <c r="D448" s="18" t="s">
        <v>12</v>
      </c>
      <c r="E448" s="18"/>
      <c r="F448" s="18"/>
      <c r="G448" s="18"/>
      <c r="H448" s="19">
        <f>H449+H462</f>
        <v>26878.2</v>
      </c>
      <c r="I448" s="19">
        <f>I449+I462</f>
        <v>26031.9</v>
      </c>
      <c r="J448" s="19">
        <f>J449+J462</f>
        <v>26031.9</v>
      </c>
    </row>
    <row r="449" spans="2:10" s="64" customFormat="1" ht="24" customHeight="1" x14ac:dyDescent="0.2">
      <c r="B449" s="17" t="s">
        <v>460</v>
      </c>
      <c r="C449" s="18" t="s">
        <v>466</v>
      </c>
      <c r="D449" s="18" t="s">
        <v>12</v>
      </c>
      <c r="E449" s="18" t="s">
        <v>348</v>
      </c>
      <c r="F449" s="18"/>
      <c r="G449" s="18"/>
      <c r="H449" s="19">
        <f>H450+H453</f>
        <v>10516.6</v>
      </c>
      <c r="I449" s="19">
        <f>I450+I453</f>
        <v>10237.300000000001</v>
      </c>
      <c r="J449" s="19">
        <f>J450+J453</f>
        <v>10237.300000000001</v>
      </c>
    </row>
    <row r="450" spans="2:10" s="20" customFormat="1" ht="19.5" customHeight="1" x14ac:dyDescent="0.2">
      <c r="B450" s="23" t="s">
        <v>73</v>
      </c>
      <c r="C450" s="24" t="s">
        <v>466</v>
      </c>
      <c r="D450" s="24" t="s">
        <v>12</v>
      </c>
      <c r="E450" s="24" t="s">
        <v>348</v>
      </c>
      <c r="F450" s="24" t="s">
        <v>74</v>
      </c>
      <c r="G450" s="24"/>
      <c r="H450" s="22">
        <f t="shared" ref="H450:J451" si="58">H451</f>
        <v>47.4</v>
      </c>
      <c r="I450" s="22">
        <f t="shared" si="58"/>
        <v>47.1</v>
      </c>
      <c r="J450" s="22">
        <f t="shared" si="58"/>
        <v>47.1</v>
      </c>
    </row>
    <row r="451" spans="2:10" s="20" customFormat="1" ht="80.25" customHeight="1" x14ac:dyDescent="0.2">
      <c r="B451" s="41" t="s">
        <v>467</v>
      </c>
      <c r="C451" s="24" t="s">
        <v>466</v>
      </c>
      <c r="D451" s="24" t="s">
        <v>12</v>
      </c>
      <c r="E451" s="24" t="s">
        <v>348</v>
      </c>
      <c r="F451" s="24" t="s">
        <v>468</v>
      </c>
      <c r="G451" s="24"/>
      <c r="H451" s="22">
        <f t="shared" si="58"/>
        <v>47.4</v>
      </c>
      <c r="I451" s="22">
        <f t="shared" si="58"/>
        <v>47.1</v>
      </c>
      <c r="J451" s="22">
        <f t="shared" si="58"/>
        <v>47.1</v>
      </c>
    </row>
    <row r="452" spans="2:10" s="20" customFormat="1" ht="25.5" customHeight="1" x14ac:dyDescent="0.2">
      <c r="B452" s="23" t="s">
        <v>23</v>
      </c>
      <c r="C452" s="24" t="s">
        <v>466</v>
      </c>
      <c r="D452" s="24" t="s">
        <v>12</v>
      </c>
      <c r="E452" s="24" t="s">
        <v>348</v>
      </c>
      <c r="F452" s="24" t="s">
        <v>468</v>
      </c>
      <c r="G452" s="24" t="s">
        <v>24</v>
      </c>
      <c r="H452" s="22">
        <v>47.4</v>
      </c>
      <c r="I452" s="22">
        <v>47.1</v>
      </c>
      <c r="J452" s="22">
        <v>47.1</v>
      </c>
    </row>
    <row r="453" spans="2:10" s="57" customFormat="1" ht="25.5" customHeight="1" x14ac:dyDescent="0.2">
      <c r="B453" s="23" t="s">
        <v>469</v>
      </c>
      <c r="C453" s="24" t="s">
        <v>466</v>
      </c>
      <c r="D453" s="24" t="s">
        <v>12</v>
      </c>
      <c r="E453" s="24" t="s">
        <v>348</v>
      </c>
      <c r="F453" s="26" t="s">
        <v>470</v>
      </c>
      <c r="G453" s="24"/>
      <c r="H453" s="22">
        <f t="shared" ref="H453:J454" si="59">H454</f>
        <v>10469.200000000001</v>
      </c>
      <c r="I453" s="22">
        <f t="shared" si="59"/>
        <v>10190.200000000001</v>
      </c>
      <c r="J453" s="22">
        <f t="shared" si="59"/>
        <v>10190.200000000001</v>
      </c>
    </row>
    <row r="454" spans="2:10" s="57" customFormat="1" ht="19.5" customHeight="1" x14ac:dyDescent="0.2">
      <c r="B454" s="43" t="s">
        <v>17</v>
      </c>
      <c r="C454" s="24" t="s">
        <v>466</v>
      </c>
      <c r="D454" s="24" t="s">
        <v>12</v>
      </c>
      <c r="E454" s="24" t="s">
        <v>348</v>
      </c>
      <c r="F454" s="26" t="s">
        <v>471</v>
      </c>
      <c r="G454" s="24"/>
      <c r="H454" s="22">
        <f t="shared" si="59"/>
        <v>10469.200000000001</v>
      </c>
      <c r="I454" s="22">
        <f t="shared" si="59"/>
        <v>10190.200000000001</v>
      </c>
      <c r="J454" s="22">
        <f t="shared" si="59"/>
        <v>10190.200000000001</v>
      </c>
    </row>
    <row r="455" spans="2:10" s="57" customFormat="1" ht="30" customHeight="1" x14ac:dyDescent="0.2">
      <c r="B455" s="43" t="s">
        <v>472</v>
      </c>
      <c r="C455" s="24" t="s">
        <v>466</v>
      </c>
      <c r="D455" s="24" t="s">
        <v>12</v>
      </c>
      <c r="E455" s="24" t="s">
        <v>348</v>
      </c>
      <c r="F455" s="26" t="s">
        <v>473</v>
      </c>
      <c r="G455" s="52"/>
      <c r="H455" s="22">
        <f>H456+H460</f>
        <v>10469.200000000001</v>
      </c>
      <c r="I455" s="22">
        <f>I456+I460</f>
        <v>10190.200000000001</v>
      </c>
      <c r="J455" s="22">
        <f>J456+J460</f>
        <v>10190.200000000001</v>
      </c>
    </row>
    <row r="456" spans="2:10" s="57" customFormat="1" ht="18" customHeight="1" x14ac:dyDescent="0.2">
      <c r="B456" s="46" t="s">
        <v>37</v>
      </c>
      <c r="C456" s="24" t="s">
        <v>466</v>
      </c>
      <c r="D456" s="24" t="s">
        <v>12</v>
      </c>
      <c r="E456" s="24" t="s">
        <v>348</v>
      </c>
      <c r="F456" s="26" t="s">
        <v>474</v>
      </c>
      <c r="G456" s="52"/>
      <c r="H456" s="22">
        <f>H457+H458+H459</f>
        <v>10444.200000000001</v>
      </c>
      <c r="I456" s="22">
        <f>I457+I458+I459</f>
        <v>10165.200000000001</v>
      </c>
      <c r="J456" s="22">
        <f>J457+J458+J459</f>
        <v>10165.200000000001</v>
      </c>
    </row>
    <row r="457" spans="2:10" s="57" customFormat="1" ht="25.5" customHeight="1" x14ac:dyDescent="0.2">
      <c r="B457" s="23" t="s">
        <v>23</v>
      </c>
      <c r="C457" s="24" t="s">
        <v>466</v>
      </c>
      <c r="D457" s="24" t="s">
        <v>12</v>
      </c>
      <c r="E457" s="24" t="s">
        <v>348</v>
      </c>
      <c r="F457" s="26" t="s">
        <v>475</v>
      </c>
      <c r="G457" s="52" t="s">
        <v>24</v>
      </c>
      <c r="H457" s="22">
        <f>9501.4+30.2+279</f>
        <v>9810.6</v>
      </c>
      <c r="I457" s="22">
        <f>9501.4+30.2</f>
        <v>9531.6</v>
      </c>
      <c r="J457" s="22">
        <f>9501.4+30.2</f>
        <v>9531.6</v>
      </c>
    </row>
    <row r="458" spans="2:10" s="57" customFormat="1" ht="30.75" customHeight="1" x14ac:dyDescent="0.2">
      <c r="B458" s="23" t="s">
        <v>35</v>
      </c>
      <c r="C458" s="24" t="s">
        <v>466</v>
      </c>
      <c r="D458" s="24" t="s">
        <v>12</v>
      </c>
      <c r="E458" s="24" t="s">
        <v>348</v>
      </c>
      <c r="F458" s="26" t="s">
        <v>474</v>
      </c>
      <c r="G458" s="52" t="s">
        <v>36</v>
      </c>
      <c r="H458" s="22">
        <v>632.6</v>
      </c>
      <c r="I458" s="22">
        <v>632.6</v>
      </c>
      <c r="J458" s="22">
        <v>632.6</v>
      </c>
    </row>
    <row r="459" spans="2:10" s="57" customFormat="1" ht="16.5" customHeight="1" x14ac:dyDescent="0.2">
      <c r="B459" s="23" t="s">
        <v>39</v>
      </c>
      <c r="C459" s="24" t="s">
        <v>466</v>
      </c>
      <c r="D459" s="24" t="s">
        <v>12</v>
      </c>
      <c r="E459" s="24" t="s">
        <v>348</v>
      </c>
      <c r="F459" s="26" t="s">
        <v>474</v>
      </c>
      <c r="G459" s="52" t="s">
        <v>40</v>
      </c>
      <c r="H459" s="22">
        <v>1</v>
      </c>
      <c r="I459" s="22">
        <v>1</v>
      </c>
      <c r="J459" s="22">
        <v>1</v>
      </c>
    </row>
    <row r="460" spans="2:10" s="57" customFormat="1" ht="25.5" customHeight="1" x14ac:dyDescent="0.2">
      <c r="B460" s="23" t="s">
        <v>476</v>
      </c>
      <c r="C460" s="24" t="s">
        <v>466</v>
      </c>
      <c r="D460" s="24" t="s">
        <v>12</v>
      </c>
      <c r="E460" s="24" t="s">
        <v>348</v>
      </c>
      <c r="F460" s="26" t="s">
        <v>477</v>
      </c>
      <c r="G460" s="24"/>
      <c r="H460" s="22">
        <f>H461</f>
        <v>25</v>
      </c>
      <c r="I460" s="22">
        <f>I461</f>
        <v>25</v>
      </c>
      <c r="J460" s="22">
        <f>J461</f>
        <v>25</v>
      </c>
    </row>
    <row r="461" spans="2:10" s="57" customFormat="1" ht="25.5" customHeight="1" x14ac:dyDescent="0.2">
      <c r="B461" s="23" t="s">
        <v>35</v>
      </c>
      <c r="C461" s="24" t="s">
        <v>466</v>
      </c>
      <c r="D461" s="24" t="s">
        <v>12</v>
      </c>
      <c r="E461" s="24" t="s">
        <v>348</v>
      </c>
      <c r="F461" s="26" t="s">
        <v>477</v>
      </c>
      <c r="G461" s="24" t="s">
        <v>36</v>
      </c>
      <c r="H461" s="22">
        <v>25</v>
      </c>
      <c r="I461" s="22">
        <v>25</v>
      </c>
      <c r="J461" s="22">
        <v>25</v>
      </c>
    </row>
    <row r="462" spans="2:10" s="64" customFormat="1" ht="15.75" customHeight="1" x14ac:dyDescent="0.2">
      <c r="B462" s="93" t="s">
        <v>84</v>
      </c>
      <c r="C462" s="18" t="s">
        <v>466</v>
      </c>
      <c r="D462" s="18" t="s">
        <v>12</v>
      </c>
      <c r="E462" s="18" t="s">
        <v>85</v>
      </c>
      <c r="F462" s="76"/>
      <c r="G462" s="18"/>
      <c r="H462" s="19">
        <f t="shared" ref="H462:J464" si="60">H463</f>
        <v>16361.6</v>
      </c>
      <c r="I462" s="19">
        <f t="shared" si="60"/>
        <v>15794.6</v>
      </c>
      <c r="J462" s="19">
        <f t="shared" si="60"/>
        <v>15794.6</v>
      </c>
    </row>
    <row r="463" spans="2:10" s="57" customFormat="1" ht="24.75" customHeight="1" x14ac:dyDescent="0.2">
      <c r="B463" s="23" t="s">
        <v>469</v>
      </c>
      <c r="C463" s="24" t="s">
        <v>466</v>
      </c>
      <c r="D463" s="24" t="s">
        <v>12</v>
      </c>
      <c r="E463" s="24" t="s">
        <v>85</v>
      </c>
      <c r="F463" s="26" t="s">
        <v>470</v>
      </c>
      <c r="G463" s="31"/>
      <c r="H463" s="22">
        <f t="shared" si="60"/>
        <v>16361.6</v>
      </c>
      <c r="I463" s="22">
        <f t="shared" si="60"/>
        <v>15794.6</v>
      </c>
      <c r="J463" s="22">
        <f t="shared" si="60"/>
        <v>15794.6</v>
      </c>
    </row>
    <row r="464" spans="2:10" s="57" customFormat="1" ht="18" customHeight="1" x14ac:dyDescent="0.2">
      <c r="B464" s="43" t="s">
        <v>17</v>
      </c>
      <c r="C464" s="24" t="s">
        <v>466</v>
      </c>
      <c r="D464" s="24" t="s">
        <v>12</v>
      </c>
      <c r="E464" s="24" t="s">
        <v>85</v>
      </c>
      <c r="F464" s="26" t="s">
        <v>471</v>
      </c>
      <c r="G464" s="31"/>
      <c r="H464" s="22">
        <f>H465</f>
        <v>16361.6</v>
      </c>
      <c r="I464" s="22">
        <f t="shared" si="60"/>
        <v>15794.6</v>
      </c>
      <c r="J464" s="22">
        <f t="shared" si="60"/>
        <v>15794.6</v>
      </c>
    </row>
    <row r="465" spans="2:10" s="57" customFormat="1" ht="31.5" customHeight="1" x14ac:dyDescent="0.2">
      <c r="B465" s="43" t="s">
        <v>472</v>
      </c>
      <c r="C465" s="24" t="s">
        <v>466</v>
      </c>
      <c r="D465" s="24" t="s">
        <v>12</v>
      </c>
      <c r="E465" s="24" t="s">
        <v>85</v>
      </c>
      <c r="F465" s="26" t="s">
        <v>473</v>
      </c>
      <c r="G465" s="31"/>
      <c r="H465" s="22">
        <f>H466+H468+H472</f>
        <v>16361.6</v>
      </c>
      <c r="I465" s="22">
        <f>I466+I468+I472</f>
        <v>15794.6</v>
      </c>
      <c r="J465" s="22">
        <f>J466+J468+J472</f>
        <v>15794.6</v>
      </c>
    </row>
    <row r="466" spans="2:10" s="57" customFormat="1" ht="16.5" customHeight="1" x14ac:dyDescent="0.2">
      <c r="B466" s="41" t="s">
        <v>478</v>
      </c>
      <c r="C466" s="24" t="s">
        <v>466</v>
      </c>
      <c r="D466" s="24" t="s">
        <v>12</v>
      </c>
      <c r="E466" s="24" t="s">
        <v>85</v>
      </c>
      <c r="F466" s="26" t="s">
        <v>479</v>
      </c>
      <c r="G466" s="31"/>
      <c r="H466" s="22">
        <f>H467</f>
        <v>30</v>
      </c>
      <c r="I466" s="22">
        <f>I467</f>
        <v>30</v>
      </c>
      <c r="J466" s="22">
        <f>J467</f>
        <v>30</v>
      </c>
    </row>
    <row r="467" spans="2:10" s="57" customFormat="1" ht="16.5" customHeight="1" x14ac:dyDescent="0.2">
      <c r="B467" s="41" t="s">
        <v>39</v>
      </c>
      <c r="C467" s="24" t="s">
        <v>466</v>
      </c>
      <c r="D467" s="24" t="s">
        <v>12</v>
      </c>
      <c r="E467" s="24" t="s">
        <v>85</v>
      </c>
      <c r="F467" s="26" t="s">
        <v>479</v>
      </c>
      <c r="G467" s="31" t="s">
        <v>40</v>
      </c>
      <c r="H467" s="22">
        <v>30</v>
      </c>
      <c r="I467" s="22">
        <v>30</v>
      </c>
      <c r="J467" s="22">
        <v>30</v>
      </c>
    </row>
    <row r="468" spans="2:10" s="57" customFormat="1" ht="26.25" customHeight="1" x14ac:dyDescent="0.2">
      <c r="B468" s="23" t="s">
        <v>227</v>
      </c>
      <c r="C468" s="24" t="s">
        <v>466</v>
      </c>
      <c r="D468" s="24" t="s">
        <v>12</v>
      </c>
      <c r="E468" s="24" t="s">
        <v>85</v>
      </c>
      <c r="F468" s="26" t="s">
        <v>480</v>
      </c>
      <c r="G468" s="31"/>
      <c r="H468" s="22">
        <f>H469+H470+H471</f>
        <v>1360.4</v>
      </c>
      <c r="I468" s="22">
        <f>I469+I470+I471</f>
        <v>793.4</v>
      </c>
      <c r="J468" s="22">
        <f>J469+J470+J471</f>
        <v>793.4</v>
      </c>
    </row>
    <row r="469" spans="2:10" s="57" customFormat="1" ht="19.5" hidden="1" customHeight="1" x14ac:dyDescent="0.2">
      <c r="B469" s="44" t="s">
        <v>133</v>
      </c>
      <c r="C469" s="24" t="s">
        <v>466</v>
      </c>
      <c r="D469" s="24" t="s">
        <v>12</v>
      </c>
      <c r="E469" s="24" t="s">
        <v>85</v>
      </c>
      <c r="F469" s="26" t="s">
        <v>480</v>
      </c>
      <c r="G469" s="31" t="s">
        <v>134</v>
      </c>
      <c r="H469" s="22"/>
      <c r="I469" s="22"/>
      <c r="J469" s="22"/>
    </row>
    <row r="470" spans="2:10" s="57" customFormat="1" ht="27.75" customHeight="1" x14ac:dyDescent="0.2">
      <c r="B470" s="44" t="s">
        <v>35</v>
      </c>
      <c r="C470" s="24" t="s">
        <v>466</v>
      </c>
      <c r="D470" s="24" t="s">
        <v>12</v>
      </c>
      <c r="E470" s="24" t="s">
        <v>85</v>
      </c>
      <c r="F470" s="26" t="s">
        <v>480</v>
      </c>
      <c r="G470" s="31" t="s">
        <v>36</v>
      </c>
      <c r="H470" s="22">
        <v>1360.4</v>
      </c>
      <c r="I470" s="22">
        <v>793.4</v>
      </c>
      <c r="J470" s="22">
        <v>793.4</v>
      </c>
    </row>
    <row r="471" spans="2:10" s="57" customFormat="1" ht="14.25" hidden="1" customHeight="1" x14ac:dyDescent="0.2">
      <c r="B471" s="23" t="s">
        <v>39</v>
      </c>
      <c r="C471" s="24" t="s">
        <v>466</v>
      </c>
      <c r="D471" s="24" t="s">
        <v>12</v>
      </c>
      <c r="E471" s="24" t="s">
        <v>85</v>
      </c>
      <c r="F471" s="26" t="s">
        <v>480</v>
      </c>
      <c r="G471" s="31" t="s">
        <v>40</v>
      </c>
      <c r="H471" s="22"/>
      <c r="I471" s="22"/>
      <c r="J471" s="22"/>
    </row>
    <row r="472" spans="2:10" s="57" customFormat="1" ht="26.25" customHeight="1" x14ac:dyDescent="0.2">
      <c r="B472" s="41" t="s">
        <v>41</v>
      </c>
      <c r="C472" s="24" t="s">
        <v>466</v>
      </c>
      <c r="D472" s="24" t="s">
        <v>12</v>
      </c>
      <c r="E472" s="24" t="s">
        <v>85</v>
      </c>
      <c r="F472" s="26" t="s">
        <v>481</v>
      </c>
      <c r="G472" s="31"/>
      <c r="H472" s="22">
        <f>H473</f>
        <v>14971.2</v>
      </c>
      <c r="I472" s="22">
        <f>I473</f>
        <v>14971.2</v>
      </c>
      <c r="J472" s="22">
        <f>J473</f>
        <v>14971.2</v>
      </c>
    </row>
    <row r="473" spans="2:10" s="57" customFormat="1" ht="14.25" customHeight="1" x14ac:dyDescent="0.2">
      <c r="B473" s="113" t="s">
        <v>133</v>
      </c>
      <c r="C473" s="24" t="s">
        <v>466</v>
      </c>
      <c r="D473" s="24" t="s">
        <v>12</v>
      </c>
      <c r="E473" s="24" t="s">
        <v>85</v>
      </c>
      <c r="F473" s="26" t="s">
        <v>481</v>
      </c>
      <c r="G473" s="31" t="s">
        <v>134</v>
      </c>
      <c r="H473" s="22">
        <f>2599.6+12371.6</f>
        <v>14971.2</v>
      </c>
      <c r="I473" s="22">
        <f>2599.6+12371.6</f>
        <v>14971.2</v>
      </c>
      <c r="J473" s="22">
        <f>2599.6+12371.6</f>
        <v>14971.2</v>
      </c>
    </row>
    <row r="474" spans="2:10" s="80" customFormat="1" ht="15" customHeight="1" x14ac:dyDescent="0.2">
      <c r="B474" s="17" t="s">
        <v>207</v>
      </c>
      <c r="C474" s="18" t="s">
        <v>466</v>
      </c>
      <c r="D474" s="18" t="s">
        <v>27</v>
      </c>
      <c r="E474" s="18"/>
      <c r="F474" s="76"/>
      <c r="G474" s="18"/>
      <c r="H474" s="19">
        <f>H475</f>
        <v>50</v>
      </c>
      <c r="I474" s="19">
        <f t="shared" ref="I474:J476" si="61">I475</f>
        <v>50</v>
      </c>
      <c r="J474" s="19">
        <f t="shared" si="61"/>
        <v>50</v>
      </c>
    </row>
    <row r="475" spans="2:10" s="80" customFormat="1" ht="12.75" customHeight="1" x14ac:dyDescent="0.2">
      <c r="B475" s="82" t="s">
        <v>245</v>
      </c>
      <c r="C475" s="18" t="s">
        <v>466</v>
      </c>
      <c r="D475" s="18" t="s">
        <v>27</v>
      </c>
      <c r="E475" s="18" t="s">
        <v>246</v>
      </c>
      <c r="F475" s="76"/>
      <c r="G475" s="18"/>
      <c r="H475" s="19">
        <f>H476</f>
        <v>50</v>
      </c>
      <c r="I475" s="19">
        <f t="shared" si="61"/>
        <v>50</v>
      </c>
      <c r="J475" s="19">
        <f t="shared" si="61"/>
        <v>50</v>
      </c>
    </row>
    <row r="476" spans="2:10" s="57" customFormat="1" ht="24" customHeight="1" x14ac:dyDescent="0.2">
      <c r="B476" s="23" t="s">
        <v>247</v>
      </c>
      <c r="C476" s="24" t="s">
        <v>466</v>
      </c>
      <c r="D476" s="24" t="s">
        <v>27</v>
      </c>
      <c r="E476" s="24" t="s">
        <v>246</v>
      </c>
      <c r="F476" s="26" t="s">
        <v>248</v>
      </c>
      <c r="G476" s="24"/>
      <c r="H476" s="22">
        <f>H477</f>
        <v>50</v>
      </c>
      <c r="I476" s="22">
        <f t="shared" si="61"/>
        <v>50</v>
      </c>
      <c r="J476" s="22">
        <f t="shared" si="61"/>
        <v>50</v>
      </c>
    </row>
    <row r="477" spans="2:10" s="57" customFormat="1" ht="17.25" customHeight="1" x14ac:dyDescent="0.2">
      <c r="B477" s="23" t="s">
        <v>17</v>
      </c>
      <c r="C477" s="24" t="s">
        <v>466</v>
      </c>
      <c r="D477" s="24" t="s">
        <v>27</v>
      </c>
      <c r="E477" s="24" t="s">
        <v>246</v>
      </c>
      <c r="F477" s="26" t="s">
        <v>257</v>
      </c>
      <c r="G477" s="24"/>
      <c r="H477" s="22">
        <f>H478</f>
        <v>50</v>
      </c>
      <c r="I477" s="22">
        <f>I478</f>
        <v>50</v>
      </c>
      <c r="J477" s="22">
        <f>J478</f>
        <v>50</v>
      </c>
    </row>
    <row r="478" spans="2:10" s="57" customFormat="1" ht="26.25" customHeight="1" x14ac:dyDescent="0.2">
      <c r="B478" s="23" t="s">
        <v>258</v>
      </c>
      <c r="C478" s="24" t="s">
        <v>466</v>
      </c>
      <c r="D478" s="24" t="s">
        <v>27</v>
      </c>
      <c r="E478" s="24" t="s">
        <v>246</v>
      </c>
      <c r="F478" s="26" t="s">
        <v>259</v>
      </c>
      <c r="G478" s="24"/>
      <c r="H478" s="22">
        <f>H479+H481</f>
        <v>50</v>
      </c>
      <c r="I478" s="22">
        <f>I479+I481</f>
        <v>50</v>
      </c>
      <c r="J478" s="22">
        <f>J479+J481</f>
        <v>50</v>
      </c>
    </row>
    <row r="479" spans="2:10" s="57" customFormat="1" ht="12.75" customHeight="1" x14ac:dyDescent="0.2">
      <c r="B479" s="23" t="s">
        <v>482</v>
      </c>
      <c r="C479" s="24" t="s">
        <v>466</v>
      </c>
      <c r="D479" s="24" t="s">
        <v>27</v>
      </c>
      <c r="E479" s="24" t="s">
        <v>246</v>
      </c>
      <c r="F479" s="26" t="s">
        <v>483</v>
      </c>
      <c r="G479" s="24"/>
      <c r="H479" s="22">
        <f>H480</f>
        <v>50</v>
      </c>
      <c r="I479" s="22">
        <f>I480</f>
        <v>50</v>
      </c>
      <c r="J479" s="22">
        <f>J480</f>
        <v>50</v>
      </c>
    </row>
    <row r="480" spans="2:10" s="57" customFormat="1" ht="25.5" customHeight="1" x14ac:dyDescent="0.2">
      <c r="B480" s="23" t="s">
        <v>35</v>
      </c>
      <c r="C480" s="24" t="s">
        <v>466</v>
      </c>
      <c r="D480" s="24" t="s">
        <v>27</v>
      </c>
      <c r="E480" s="24" t="s">
        <v>246</v>
      </c>
      <c r="F480" s="26" t="s">
        <v>483</v>
      </c>
      <c r="G480" s="24" t="s">
        <v>36</v>
      </c>
      <c r="H480" s="22">
        <v>50</v>
      </c>
      <c r="I480" s="22">
        <v>50</v>
      </c>
      <c r="J480" s="22">
        <v>50</v>
      </c>
    </row>
    <row r="481" spans="2:10" s="57" customFormat="1" ht="24" hidden="1" customHeight="1" x14ac:dyDescent="0.2">
      <c r="B481" s="23" t="s">
        <v>255</v>
      </c>
      <c r="C481" s="24" t="s">
        <v>466</v>
      </c>
      <c r="D481" s="24" t="s">
        <v>27</v>
      </c>
      <c r="E481" s="24" t="s">
        <v>246</v>
      </c>
      <c r="F481" s="26" t="s">
        <v>484</v>
      </c>
      <c r="G481" s="24"/>
      <c r="H481" s="22">
        <f>H482</f>
        <v>0</v>
      </c>
      <c r="I481" s="22">
        <f>I482</f>
        <v>0</v>
      </c>
      <c r="J481" s="22">
        <f>J482</f>
        <v>0</v>
      </c>
    </row>
    <row r="482" spans="2:10" s="57" customFormat="1" ht="23.25" hidden="1" customHeight="1" x14ac:dyDescent="0.2">
      <c r="B482" s="23" t="s">
        <v>35</v>
      </c>
      <c r="C482" s="24" t="s">
        <v>466</v>
      </c>
      <c r="D482" s="24" t="s">
        <v>27</v>
      </c>
      <c r="E482" s="24" t="s">
        <v>246</v>
      </c>
      <c r="F482" s="26" t="s">
        <v>484</v>
      </c>
      <c r="G482" s="24" t="s">
        <v>36</v>
      </c>
      <c r="H482" s="22">
        <v>0</v>
      </c>
      <c r="I482" s="22">
        <v>0</v>
      </c>
      <c r="J482" s="22">
        <v>0</v>
      </c>
    </row>
    <row r="483" spans="2:10" s="20" customFormat="1" ht="27.75" customHeight="1" x14ac:dyDescent="0.2">
      <c r="B483" s="17" t="s">
        <v>485</v>
      </c>
      <c r="C483" s="18" t="s">
        <v>466</v>
      </c>
      <c r="D483" s="114" t="s">
        <v>85</v>
      </c>
      <c r="E483" s="114"/>
      <c r="F483" s="26"/>
      <c r="G483" s="24"/>
      <c r="H483" s="22">
        <f t="shared" ref="H483:J488" si="62">H484</f>
        <v>80.5</v>
      </c>
      <c r="I483" s="22">
        <f t="shared" si="62"/>
        <v>80.5</v>
      </c>
      <c r="J483" s="22">
        <f t="shared" si="62"/>
        <v>0</v>
      </c>
    </row>
    <row r="484" spans="2:10" s="20" customFormat="1" ht="27.75" customHeight="1" x14ac:dyDescent="0.2">
      <c r="B484" s="17" t="s">
        <v>486</v>
      </c>
      <c r="C484" s="18" t="s">
        <v>466</v>
      </c>
      <c r="D484" s="114" t="s">
        <v>85</v>
      </c>
      <c r="E484" s="114" t="s">
        <v>12</v>
      </c>
      <c r="F484" s="26"/>
      <c r="G484" s="24"/>
      <c r="H484" s="22">
        <f t="shared" si="62"/>
        <v>80.5</v>
      </c>
      <c r="I484" s="22">
        <f t="shared" si="62"/>
        <v>80.5</v>
      </c>
      <c r="J484" s="22">
        <f t="shared" si="62"/>
        <v>0</v>
      </c>
    </row>
    <row r="485" spans="2:10" s="20" customFormat="1" ht="27.75" customHeight="1" x14ac:dyDescent="0.2">
      <c r="B485" s="48" t="s">
        <v>469</v>
      </c>
      <c r="C485" s="24" t="s">
        <v>466</v>
      </c>
      <c r="D485" s="52" t="s">
        <v>85</v>
      </c>
      <c r="E485" s="52" t="s">
        <v>12</v>
      </c>
      <c r="F485" s="26" t="s">
        <v>470</v>
      </c>
      <c r="G485" s="24"/>
      <c r="H485" s="22">
        <f t="shared" si="62"/>
        <v>80.5</v>
      </c>
      <c r="I485" s="22">
        <f t="shared" si="62"/>
        <v>80.5</v>
      </c>
      <c r="J485" s="22">
        <f t="shared" si="62"/>
        <v>0</v>
      </c>
    </row>
    <row r="486" spans="2:10" s="20" customFormat="1" ht="20.25" customHeight="1" x14ac:dyDescent="0.2">
      <c r="B486" s="48" t="s">
        <v>17</v>
      </c>
      <c r="C486" s="24" t="s">
        <v>466</v>
      </c>
      <c r="D486" s="52" t="s">
        <v>85</v>
      </c>
      <c r="E486" s="52" t="s">
        <v>12</v>
      </c>
      <c r="F486" s="26" t="s">
        <v>471</v>
      </c>
      <c r="G486" s="24"/>
      <c r="H486" s="22">
        <f t="shared" si="62"/>
        <v>80.5</v>
      </c>
      <c r="I486" s="22">
        <f t="shared" si="62"/>
        <v>80.5</v>
      </c>
      <c r="J486" s="22">
        <f t="shared" si="62"/>
        <v>0</v>
      </c>
    </row>
    <row r="487" spans="2:10" s="20" customFormat="1" ht="42.75" customHeight="1" x14ac:dyDescent="0.2">
      <c r="B487" s="46" t="s">
        <v>487</v>
      </c>
      <c r="C487" s="24" t="s">
        <v>466</v>
      </c>
      <c r="D487" s="52" t="s">
        <v>85</v>
      </c>
      <c r="E487" s="52" t="s">
        <v>12</v>
      </c>
      <c r="F487" s="26" t="s">
        <v>488</v>
      </c>
      <c r="G487" s="24"/>
      <c r="H487" s="22">
        <f t="shared" si="62"/>
        <v>80.5</v>
      </c>
      <c r="I487" s="22">
        <f t="shared" si="62"/>
        <v>80.5</v>
      </c>
      <c r="J487" s="22">
        <f t="shared" si="62"/>
        <v>0</v>
      </c>
    </row>
    <row r="488" spans="2:10" s="20" customFormat="1" ht="30.75" customHeight="1" x14ac:dyDescent="0.2">
      <c r="B488" s="46" t="s">
        <v>489</v>
      </c>
      <c r="C488" s="24" t="s">
        <v>466</v>
      </c>
      <c r="D488" s="52" t="s">
        <v>85</v>
      </c>
      <c r="E488" s="52" t="s">
        <v>12</v>
      </c>
      <c r="F488" s="26" t="s">
        <v>490</v>
      </c>
      <c r="G488" s="24"/>
      <c r="H488" s="22">
        <f t="shared" si="62"/>
        <v>80.5</v>
      </c>
      <c r="I488" s="22">
        <f t="shared" si="62"/>
        <v>80.5</v>
      </c>
      <c r="J488" s="22">
        <f t="shared" si="62"/>
        <v>0</v>
      </c>
    </row>
    <row r="489" spans="2:10" s="20" customFormat="1" ht="16.5" customHeight="1" x14ac:dyDescent="0.2">
      <c r="B489" s="23" t="s">
        <v>491</v>
      </c>
      <c r="C489" s="24" t="s">
        <v>466</v>
      </c>
      <c r="D489" s="52" t="s">
        <v>85</v>
      </c>
      <c r="E489" s="52" t="s">
        <v>12</v>
      </c>
      <c r="F489" s="26" t="s">
        <v>490</v>
      </c>
      <c r="G489" s="24" t="s">
        <v>492</v>
      </c>
      <c r="H489" s="22">
        <v>80.5</v>
      </c>
      <c r="I489" s="22">
        <v>80.5</v>
      </c>
      <c r="J489" s="22">
        <v>0</v>
      </c>
    </row>
    <row r="490" spans="2:10" s="20" customFormat="1" ht="25.5" x14ac:dyDescent="0.2">
      <c r="B490" s="17" t="s">
        <v>493</v>
      </c>
      <c r="C490" s="18" t="s">
        <v>494</v>
      </c>
      <c r="D490" s="18"/>
      <c r="E490" s="18"/>
      <c r="F490" s="18"/>
      <c r="G490" s="18"/>
      <c r="H490" s="19">
        <f>H491+H502+H521+H528</f>
        <v>11463.6</v>
      </c>
      <c r="I490" s="19">
        <f>I491+I502+I521+I528</f>
        <v>9047.4</v>
      </c>
      <c r="J490" s="19">
        <f>J491+J502+J521+J528</f>
        <v>9044.1</v>
      </c>
    </row>
    <row r="491" spans="2:10" s="20" customFormat="1" x14ac:dyDescent="0.2">
      <c r="B491" s="17" t="s">
        <v>11</v>
      </c>
      <c r="C491" s="18" t="s">
        <v>494</v>
      </c>
      <c r="D491" s="18" t="s">
        <v>12</v>
      </c>
      <c r="E491" s="18"/>
      <c r="F491" s="18"/>
      <c r="G491" s="18"/>
      <c r="H491" s="19">
        <f>H492</f>
        <v>3079.5</v>
      </c>
      <c r="I491" s="19">
        <f>I492</f>
        <v>2759.5</v>
      </c>
      <c r="J491" s="19">
        <f>J492</f>
        <v>2759.5</v>
      </c>
    </row>
    <row r="492" spans="2:10" s="64" customFormat="1" ht="15.75" customHeight="1" x14ac:dyDescent="0.2">
      <c r="B492" s="17" t="s">
        <v>84</v>
      </c>
      <c r="C492" s="18" t="s">
        <v>494</v>
      </c>
      <c r="D492" s="18" t="s">
        <v>12</v>
      </c>
      <c r="E492" s="18" t="s">
        <v>85</v>
      </c>
      <c r="F492" s="18"/>
      <c r="G492" s="18"/>
      <c r="H492" s="19">
        <f>H496+H493</f>
        <v>3079.5</v>
      </c>
      <c r="I492" s="19">
        <f>I496+I493</f>
        <v>2759.5</v>
      </c>
      <c r="J492" s="19">
        <f>J496+J493</f>
        <v>2759.5</v>
      </c>
    </row>
    <row r="493" spans="2:10" s="64" customFormat="1" ht="25.5" customHeight="1" x14ac:dyDescent="0.2">
      <c r="B493" s="48" t="s">
        <v>86</v>
      </c>
      <c r="C493" s="24" t="s">
        <v>494</v>
      </c>
      <c r="D493" s="24" t="s">
        <v>12</v>
      </c>
      <c r="E493" s="24" t="s">
        <v>85</v>
      </c>
      <c r="F493" s="24" t="s">
        <v>87</v>
      </c>
      <c r="G493" s="18"/>
      <c r="H493" s="22">
        <f t="shared" ref="H493:J494" si="63">H494</f>
        <v>320</v>
      </c>
      <c r="I493" s="22">
        <f t="shared" si="63"/>
        <v>0</v>
      </c>
      <c r="J493" s="22">
        <f t="shared" si="63"/>
        <v>0</v>
      </c>
    </row>
    <row r="494" spans="2:10" s="64" customFormat="1" ht="27" customHeight="1" x14ac:dyDescent="0.2">
      <c r="B494" s="43" t="s">
        <v>88</v>
      </c>
      <c r="C494" s="24" t="s">
        <v>494</v>
      </c>
      <c r="D494" s="24" t="s">
        <v>12</v>
      </c>
      <c r="E494" s="24" t="s">
        <v>85</v>
      </c>
      <c r="F494" s="24" t="s">
        <v>89</v>
      </c>
      <c r="G494" s="18"/>
      <c r="H494" s="22">
        <f t="shared" si="63"/>
        <v>320</v>
      </c>
      <c r="I494" s="22">
        <f t="shared" si="63"/>
        <v>0</v>
      </c>
      <c r="J494" s="22">
        <f t="shared" si="63"/>
        <v>0</v>
      </c>
    </row>
    <row r="495" spans="2:10" s="64" customFormat="1" ht="26.25" customHeight="1" x14ac:dyDescent="0.2">
      <c r="B495" s="23" t="s">
        <v>35</v>
      </c>
      <c r="C495" s="24" t="s">
        <v>494</v>
      </c>
      <c r="D495" s="24" t="s">
        <v>12</v>
      </c>
      <c r="E495" s="24" t="s">
        <v>85</v>
      </c>
      <c r="F495" s="24" t="s">
        <v>89</v>
      </c>
      <c r="G495" s="24" t="s">
        <v>36</v>
      </c>
      <c r="H495" s="22">
        <v>320</v>
      </c>
      <c r="I495" s="22">
        <v>0</v>
      </c>
      <c r="J495" s="22">
        <v>0</v>
      </c>
    </row>
    <row r="496" spans="2:10" s="80" customFormat="1" ht="38.25" customHeight="1" x14ac:dyDescent="0.2">
      <c r="B496" s="53" t="s">
        <v>266</v>
      </c>
      <c r="C496" s="24" t="s">
        <v>494</v>
      </c>
      <c r="D496" s="24" t="s">
        <v>12</v>
      </c>
      <c r="E496" s="24" t="s">
        <v>85</v>
      </c>
      <c r="F496" s="26" t="s">
        <v>320</v>
      </c>
      <c r="G496" s="31"/>
      <c r="H496" s="22">
        <f t="shared" ref="H496:J498" si="64">H497</f>
        <v>2759.5</v>
      </c>
      <c r="I496" s="22">
        <f t="shared" si="64"/>
        <v>2759.5</v>
      </c>
      <c r="J496" s="22">
        <f t="shared" si="64"/>
        <v>2759.5</v>
      </c>
    </row>
    <row r="497" spans="2:10" s="80" customFormat="1" ht="15.75" customHeight="1" x14ac:dyDescent="0.2">
      <c r="B497" s="53" t="s">
        <v>17</v>
      </c>
      <c r="C497" s="24" t="s">
        <v>494</v>
      </c>
      <c r="D497" s="24" t="s">
        <v>12</v>
      </c>
      <c r="E497" s="24" t="s">
        <v>85</v>
      </c>
      <c r="F497" s="26" t="s">
        <v>321</v>
      </c>
      <c r="G497" s="31"/>
      <c r="H497" s="22">
        <f t="shared" si="64"/>
        <v>2759.5</v>
      </c>
      <c r="I497" s="22">
        <f t="shared" si="64"/>
        <v>2759.5</v>
      </c>
      <c r="J497" s="22">
        <f t="shared" si="64"/>
        <v>2759.5</v>
      </c>
    </row>
    <row r="498" spans="2:10" s="80" customFormat="1" ht="38.25" customHeight="1" x14ac:dyDescent="0.2">
      <c r="B498" s="23" t="s">
        <v>322</v>
      </c>
      <c r="C498" s="24" t="s">
        <v>494</v>
      </c>
      <c r="D498" s="24" t="s">
        <v>12</v>
      </c>
      <c r="E498" s="24" t="s">
        <v>85</v>
      </c>
      <c r="F498" s="26" t="s">
        <v>323</v>
      </c>
      <c r="G498" s="52"/>
      <c r="H498" s="22">
        <f t="shared" si="64"/>
        <v>2759.5</v>
      </c>
      <c r="I498" s="22">
        <f t="shared" si="64"/>
        <v>2759.5</v>
      </c>
      <c r="J498" s="22">
        <f t="shared" si="64"/>
        <v>2759.5</v>
      </c>
    </row>
    <row r="499" spans="2:10" s="80" customFormat="1" ht="28.5" customHeight="1" x14ac:dyDescent="0.2">
      <c r="B499" s="89" t="s">
        <v>269</v>
      </c>
      <c r="C499" s="24" t="s">
        <v>494</v>
      </c>
      <c r="D499" s="24" t="s">
        <v>12</v>
      </c>
      <c r="E499" s="24" t="s">
        <v>85</v>
      </c>
      <c r="F499" s="34" t="s">
        <v>324</v>
      </c>
      <c r="G499" s="51"/>
      <c r="H499" s="22">
        <f>H500+H501</f>
        <v>2759.5</v>
      </c>
      <c r="I499" s="22">
        <f>I500+I501</f>
        <v>2759.5</v>
      </c>
      <c r="J499" s="22">
        <f>J500+J501</f>
        <v>2759.5</v>
      </c>
    </row>
    <row r="500" spans="2:10" s="80" customFormat="1" ht="27" customHeight="1" x14ac:dyDescent="0.2">
      <c r="B500" s="45" t="s">
        <v>35</v>
      </c>
      <c r="C500" s="24" t="s">
        <v>494</v>
      </c>
      <c r="D500" s="24" t="s">
        <v>12</v>
      </c>
      <c r="E500" s="24" t="s">
        <v>85</v>
      </c>
      <c r="F500" s="34" t="s">
        <v>324</v>
      </c>
      <c r="G500" s="51" t="s">
        <v>36</v>
      </c>
      <c r="H500" s="22">
        <f>490+2224.5</f>
        <v>2714.5</v>
      </c>
      <c r="I500" s="22">
        <f>490+2224.5</f>
        <v>2714.5</v>
      </c>
      <c r="J500" s="22">
        <f>490+2224.5</f>
        <v>2714.5</v>
      </c>
    </row>
    <row r="501" spans="2:10" s="80" customFormat="1" ht="18" customHeight="1" x14ac:dyDescent="0.2">
      <c r="B501" s="45" t="s">
        <v>39</v>
      </c>
      <c r="C501" s="24" t="s">
        <v>494</v>
      </c>
      <c r="D501" s="24" t="s">
        <v>12</v>
      </c>
      <c r="E501" s="24" t="s">
        <v>85</v>
      </c>
      <c r="F501" s="34" t="s">
        <v>324</v>
      </c>
      <c r="G501" s="51" t="s">
        <v>40</v>
      </c>
      <c r="H501" s="22">
        <v>45</v>
      </c>
      <c r="I501" s="22">
        <v>45</v>
      </c>
      <c r="J501" s="22">
        <v>45</v>
      </c>
    </row>
    <row r="502" spans="2:10" s="64" customFormat="1" ht="13.5" customHeight="1" x14ac:dyDescent="0.2">
      <c r="B502" s="17" t="s">
        <v>207</v>
      </c>
      <c r="C502" s="18" t="s">
        <v>494</v>
      </c>
      <c r="D502" s="18" t="s">
        <v>27</v>
      </c>
      <c r="E502" s="18"/>
      <c r="F502" s="18"/>
      <c r="G502" s="18"/>
      <c r="H502" s="19">
        <f t="shared" ref="H502:J503" si="65">H503</f>
        <v>4378.7</v>
      </c>
      <c r="I502" s="19">
        <f t="shared" si="65"/>
        <v>4091.1</v>
      </c>
      <c r="J502" s="19">
        <f t="shared" si="65"/>
        <v>4087.8</v>
      </c>
    </row>
    <row r="503" spans="2:10" s="64" customFormat="1" ht="14.25" customHeight="1" x14ac:dyDescent="0.2">
      <c r="B503" s="82" t="s">
        <v>245</v>
      </c>
      <c r="C503" s="18" t="s">
        <v>494</v>
      </c>
      <c r="D503" s="18" t="s">
        <v>27</v>
      </c>
      <c r="E503" s="18" t="s">
        <v>246</v>
      </c>
      <c r="F503" s="18"/>
      <c r="G503" s="18"/>
      <c r="H503" s="19">
        <f t="shared" si="65"/>
        <v>4378.7</v>
      </c>
      <c r="I503" s="19">
        <f t="shared" si="65"/>
        <v>4091.1</v>
      </c>
      <c r="J503" s="19">
        <f t="shared" si="65"/>
        <v>4087.8</v>
      </c>
    </row>
    <row r="504" spans="2:10" s="57" customFormat="1" ht="41.25" customHeight="1" x14ac:dyDescent="0.2">
      <c r="B504" s="53" t="s">
        <v>266</v>
      </c>
      <c r="C504" s="24" t="s">
        <v>494</v>
      </c>
      <c r="D504" s="24" t="s">
        <v>27</v>
      </c>
      <c r="E504" s="24" t="s">
        <v>246</v>
      </c>
      <c r="F504" s="76" t="s">
        <v>320</v>
      </c>
      <c r="G504" s="24"/>
      <c r="H504" s="22">
        <f>H505+H512</f>
        <v>4378.7</v>
      </c>
      <c r="I504" s="22">
        <f>I505+I512</f>
        <v>4091.1</v>
      </c>
      <c r="J504" s="22">
        <f>J505+J512</f>
        <v>4087.8</v>
      </c>
    </row>
    <row r="505" spans="2:10" s="57" customFormat="1" ht="15.75" customHeight="1" x14ac:dyDescent="0.2">
      <c r="B505" s="23" t="s">
        <v>49</v>
      </c>
      <c r="C505" s="24" t="s">
        <v>494</v>
      </c>
      <c r="D505" s="24" t="s">
        <v>27</v>
      </c>
      <c r="E505" s="24" t="s">
        <v>246</v>
      </c>
      <c r="F505" s="26" t="s">
        <v>495</v>
      </c>
      <c r="G505" s="52"/>
      <c r="H505" s="22">
        <f>H506</f>
        <v>508.1</v>
      </c>
      <c r="I505" s="22">
        <f>I506</f>
        <v>300</v>
      </c>
      <c r="J505" s="22">
        <f>J506</f>
        <v>300</v>
      </c>
    </row>
    <row r="506" spans="2:10" s="57" customFormat="1" ht="31.5" customHeight="1" x14ac:dyDescent="0.2">
      <c r="B506" s="23" t="s">
        <v>496</v>
      </c>
      <c r="C506" s="24" t="s">
        <v>494</v>
      </c>
      <c r="D506" s="24" t="s">
        <v>27</v>
      </c>
      <c r="E506" s="24" t="s">
        <v>246</v>
      </c>
      <c r="F506" s="26" t="s">
        <v>497</v>
      </c>
      <c r="G506" s="52"/>
      <c r="H506" s="22">
        <f>H507+H509</f>
        <v>508.1</v>
      </c>
      <c r="I506" s="22">
        <f>I507+I509</f>
        <v>300</v>
      </c>
      <c r="J506" s="22">
        <f>J507+J509</f>
        <v>300</v>
      </c>
    </row>
    <row r="507" spans="2:10" s="57" customFormat="1" ht="42" customHeight="1" x14ac:dyDescent="0.2">
      <c r="B507" s="23" t="s">
        <v>498</v>
      </c>
      <c r="C507" s="24" t="s">
        <v>494</v>
      </c>
      <c r="D507" s="24" t="s">
        <v>27</v>
      </c>
      <c r="E507" s="24" t="s">
        <v>246</v>
      </c>
      <c r="F507" s="26" t="s">
        <v>499</v>
      </c>
      <c r="G507" s="52"/>
      <c r="H507" s="22">
        <f>H508</f>
        <v>208.1</v>
      </c>
      <c r="I507" s="22">
        <f>I508</f>
        <v>0</v>
      </c>
      <c r="J507" s="22">
        <f>J508</f>
        <v>0</v>
      </c>
    </row>
    <row r="508" spans="2:10" s="57" customFormat="1" ht="26.25" customHeight="1" x14ac:dyDescent="0.2">
      <c r="B508" s="23" t="s">
        <v>35</v>
      </c>
      <c r="C508" s="24" t="s">
        <v>494</v>
      </c>
      <c r="D508" s="24" t="s">
        <v>27</v>
      </c>
      <c r="E508" s="24" t="s">
        <v>246</v>
      </c>
      <c r="F508" s="26" t="s">
        <v>499</v>
      </c>
      <c r="G508" s="52" t="s">
        <v>36</v>
      </c>
      <c r="H508" s="22">
        <f>74.1+134</f>
        <v>208.1</v>
      </c>
      <c r="I508" s="22">
        <v>0</v>
      </c>
      <c r="J508" s="22">
        <v>0</v>
      </c>
    </row>
    <row r="509" spans="2:10" s="57" customFormat="1" ht="30.75" customHeight="1" x14ac:dyDescent="0.2">
      <c r="B509" s="23" t="s">
        <v>500</v>
      </c>
      <c r="C509" s="24" t="s">
        <v>494</v>
      </c>
      <c r="D509" s="52" t="s">
        <v>27</v>
      </c>
      <c r="E509" s="52" t="s">
        <v>246</v>
      </c>
      <c r="F509" s="26" t="s">
        <v>501</v>
      </c>
      <c r="G509" s="52"/>
      <c r="H509" s="22">
        <f>H510+H511</f>
        <v>300</v>
      </c>
      <c r="I509" s="22">
        <f>I510+I511</f>
        <v>300</v>
      </c>
      <c r="J509" s="22">
        <f>J510+J511</f>
        <v>300</v>
      </c>
    </row>
    <row r="510" spans="2:10" s="57" customFormat="1" ht="27" customHeight="1" x14ac:dyDescent="0.2">
      <c r="B510" s="23" t="s">
        <v>35</v>
      </c>
      <c r="C510" s="24" t="s">
        <v>494</v>
      </c>
      <c r="D510" s="52" t="s">
        <v>27</v>
      </c>
      <c r="E510" s="52" t="s">
        <v>246</v>
      </c>
      <c r="F510" s="26" t="s">
        <v>501</v>
      </c>
      <c r="G510" s="52" t="s">
        <v>36</v>
      </c>
      <c r="H510" s="22">
        <v>300</v>
      </c>
      <c r="I510" s="22">
        <v>300</v>
      </c>
      <c r="J510" s="22">
        <v>300</v>
      </c>
    </row>
    <row r="511" spans="2:10" s="57" customFormat="1" ht="16.5" hidden="1" customHeight="1" x14ac:dyDescent="0.2">
      <c r="B511" s="23" t="s">
        <v>39</v>
      </c>
      <c r="C511" s="24" t="s">
        <v>494</v>
      </c>
      <c r="D511" s="52" t="s">
        <v>27</v>
      </c>
      <c r="E511" s="52" t="s">
        <v>246</v>
      </c>
      <c r="F511" s="26" t="s">
        <v>501</v>
      </c>
      <c r="G511" s="52" t="s">
        <v>40</v>
      </c>
      <c r="H511" s="22">
        <v>0</v>
      </c>
      <c r="I511" s="22"/>
      <c r="J511" s="22">
        <v>0</v>
      </c>
    </row>
    <row r="512" spans="2:10" s="57" customFormat="1" ht="16.5" customHeight="1" x14ac:dyDescent="0.2">
      <c r="B512" s="23" t="s">
        <v>65</v>
      </c>
      <c r="C512" s="24" t="s">
        <v>494</v>
      </c>
      <c r="D512" s="24" t="s">
        <v>27</v>
      </c>
      <c r="E512" s="24" t="s">
        <v>246</v>
      </c>
      <c r="F512" s="26" t="s">
        <v>321</v>
      </c>
      <c r="G512" s="52"/>
      <c r="H512" s="22">
        <f>H513+H516</f>
        <v>3870.6</v>
      </c>
      <c r="I512" s="22">
        <f>I513+I516</f>
        <v>3791.1</v>
      </c>
      <c r="J512" s="22">
        <f>J513+J516</f>
        <v>3787.8</v>
      </c>
    </row>
    <row r="513" spans="2:11" s="57" customFormat="1" ht="52.5" customHeight="1" x14ac:dyDescent="0.2">
      <c r="B513" s="23" t="s">
        <v>502</v>
      </c>
      <c r="C513" s="24" t="s">
        <v>494</v>
      </c>
      <c r="D513" s="24" t="s">
        <v>27</v>
      </c>
      <c r="E513" s="24" t="s">
        <v>246</v>
      </c>
      <c r="F513" s="26" t="s">
        <v>503</v>
      </c>
      <c r="G513" s="52"/>
      <c r="H513" s="22">
        <f t="shared" ref="H513:J514" si="66">H514</f>
        <v>44.6</v>
      </c>
      <c r="I513" s="22">
        <f t="shared" si="66"/>
        <v>17</v>
      </c>
      <c r="J513" s="22">
        <f t="shared" si="66"/>
        <v>17</v>
      </c>
    </row>
    <row r="514" spans="2:11" s="57" customFormat="1" ht="68.25" customHeight="1" x14ac:dyDescent="0.2">
      <c r="B514" s="23" t="s">
        <v>504</v>
      </c>
      <c r="C514" s="24" t="s">
        <v>494</v>
      </c>
      <c r="D514" s="52" t="s">
        <v>27</v>
      </c>
      <c r="E514" s="52" t="s">
        <v>246</v>
      </c>
      <c r="F514" s="26" t="s">
        <v>505</v>
      </c>
      <c r="G514" s="52"/>
      <c r="H514" s="22">
        <f t="shared" si="66"/>
        <v>44.6</v>
      </c>
      <c r="I514" s="22">
        <f t="shared" si="66"/>
        <v>17</v>
      </c>
      <c r="J514" s="22">
        <f t="shared" si="66"/>
        <v>17</v>
      </c>
    </row>
    <row r="515" spans="2:11" s="57" customFormat="1" ht="29.25" customHeight="1" x14ac:dyDescent="0.2">
      <c r="B515" s="23" t="s">
        <v>35</v>
      </c>
      <c r="C515" s="24" t="s">
        <v>494</v>
      </c>
      <c r="D515" s="52" t="s">
        <v>27</v>
      </c>
      <c r="E515" s="52" t="s">
        <v>246</v>
      </c>
      <c r="F515" s="26" t="s">
        <v>505</v>
      </c>
      <c r="G515" s="52" t="s">
        <v>36</v>
      </c>
      <c r="H515" s="22">
        <v>44.6</v>
      </c>
      <c r="I515" s="22">
        <v>17</v>
      </c>
      <c r="J515" s="22">
        <v>17</v>
      </c>
    </row>
    <row r="516" spans="2:11" s="57" customFormat="1" ht="43.5" customHeight="1" x14ac:dyDescent="0.2">
      <c r="B516" s="23" t="s">
        <v>506</v>
      </c>
      <c r="C516" s="24" t="s">
        <v>494</v>
      </c>
      <c r="D516" s="24" t="s">
        <v>27</v>
      </c>
      <c r="E516" s="24" t="s">
        <v>246</v>
      </c>
      <c r="F516" s="26" t="s">
        <v>507</v>
      </c>
      <c r="G516" s="52"/>
      <c r="H516" s="22">
        <f>H517</f>
        <v>3826</v>
      </c>
      <c r="I516" s="22">
        <f>I517</f>
        <v>3774.1</v>
      </c>
      <c r="J516" s="22">
        <f>J517</f>
        <v>3770.8</v>
      </c>
    </row>
    <row r="517" spans="2:11" s="57" customFormat="1" ht="16.5" customHeight="1" x14ac:dyDescent="0.2">
      <c r="B517" s="46" t="s">
        <v>37</v>
      </c>
      <c r="C517" s="24" t="s">
        <v>494</v>
      </c>
      <c r="D517" s="24" t="s">
        <v>27</v>
      </c>
      <c r="E517" s="24" t="s">
        <v>246</v>
      </c>
      <c r="F517" s="26" t="s">
        <v>508</v>
      </c>
      <c r="G517" s="52"/>
      <c r="H517" s="22">
        <f>H518+H519+H520</f>
        <v>3826</v>
      </c>
      <c r="I517" s="22">
        <f>I518+I519+I520</f>
        <v>3774.1</v>
      </c>
      <c r="J517" s="22">
        <f>J518+J519+J520</f>
        <v>3770.8</v>
      </c>
    </row>
    <row r="518" spans="2:11" s="57" customFormat="1" ht="26.25" customHeight="1" x14ac:dyDescent="0.2">
      <c r="B518" s="23" t="s">
        <v>23</v>
      </c>
      <c r="C518" s="24" t="s">
        <v>494</v>
      </c>
      <c r="D518" s="52" t="s">
        <v>27</v>
      </c>
      <c r="E518" s="52" t="s">
        <v>246</v>
      </c>
      <c r="F518" s="26" t="s">
        <v>508</v>
      </c>
      <c r="G518" s="52" t="s">
        <v>24</v>
      </c>
      <c r="H518" s="22">
        <f>2300.4+1031.4+19.1+51.9</f>
        <v>3402.8</v>
      </c>
      <c r="I518" s="22">
        <f>2300.4+1031.4+19.1</f>
        <v>3350.9</v>
      </c>
      <c r="J518" s="22">
        <f>2300.4+1031.4+15.8</f>
        <v>3347.6000000000004</v>
      </c>
      <c r="K518" s="115"/>
    </row>
    <row r="519" spans="2:11" s="57" customFormat="1" ht="28.5" customHeight="1" x14ac:dyDescent="0.2">
      <c r="B519" s="23" t="s">
        <v>35</v>
      </c>
      <c r="C519" s="24" t="s">
        <v>494</v>
      </c>
      <c r="D519" s="52" t="s">
        <v>27</v>
      </c>
      <c r="E519" s="52" t="s">
        <v>246</v>
      </c>
      <c r="F519" s="26" t="s">
        <v>508</v>
      </c>
      <c r="G519" s="52" t="s">
        <v>36</v>
      </c>
      <c r="H519" s="22">
        <f>362.2+60</f>
        <v>422.2</v>
      </c>
      <c r="I519" s="22">
        <v>422.2</v>
      </c>
      <c r="J519" s="22">
        <v>422.2</v>
      </c>
    </row>
    <row r="520" spans="2:11" s="57" customFormat="1" ht="16.5" customHeight="1" x14ac:dyDescent="0.2">
      <c r="B520" s="23" t="s">
        <v>39</v>
      </c>
      <c r="C520" s="24" t="s">
        <v>494</v>
      </c>
      <c r="D520" s="52" t="s">
        <v>27</v>
      </c>
      <c r="E520" s="52" t="s">
        <v>246</v>
      </c>
      <c r="F520" s="26" t="s">
        <v>508</v>
      </c>
      <c r="G520" s="52" t="s">
        <v>40</v>
      </c>
      <c r="H520" s="22">
        <v>1</v>
      </c>
      <c r="I520" s="22">
        <v>1</v>
      </c>
      <c r="J520" s="22">
        <v>1</v>
      </c>
    </row>
    <row r="521" spans="2:11" s="64" customFormat="1" ht="15" customHeight="1" x14ac:dyDescent="0.2">
      <c r="B521" s="17" t="s">
        <v>264</v>
      </c>
      <c r="C521" s="18" t="s">
        <v>494</v>
      </c>
      <c r="D521" s="18" t="s">
        <v>72</v>
      </c>
      <c r="E521" s="18"/>
      <c r="F521" s="18"/>
      <c r="G521" s="18"/>
      <c r="H521" s="19">
        <f t="shared" ref="H521:J525" si="67">H522</f>
        <v>1080</v>
      </c>
      <c r="I521" s="19">
        <f t="shared" si="67"/>
        <v>1080</v>
      </c>
      <c r="J521" s="19">
        <f t="shared" si="67"/>
        <v>1080</v>
      </c>
    </row>
    <row r="522" spans="2:11" s="64" customFormat="1" ht="13.5" customHeight="1" x14ac:dyDescent="0.2">
      <c r="B522" s="17" t="s">
        <v>265</v>
      </c>
      <c r="C522" s="18" t="s">
        <v>494</v>
      </c>
      <c r="D522" s="18" t="s">
        <v>72</v>
      </c>
      <c r="E522" s="18" t="s">
        <v>12</v>
      </c>
      <c r="F522" s="18"/>
      <c r="G522" s="18"/>
      <c r="H522" s="19">
        <f t="shared" si="67"/>
        <v>1080</v>
      </c>
      <c r="I522" s="19">
        <f t="shared" si="67"/>
        <v>1080</v>
      </c>
      <c r="J522" s="19">
        <f t="shared" si="67"/>
        <v>1080</v>
      </c>
    </row>
    <row r="523" spans="2:11" s="80" customFormat="1" ht="39" customHeight="1" x14ac:dyDescent="0.2">
      <c r="B523" s="53" t="s">
        <v>266</v>
      </c>
      <c r="C523" s="24" t="s">
        <v>494</v>
      </c>
      <c r="D523" s="24" t="s">
        <v>72</v>
      </c>
      <c r="E523" s="24" t="s">
        <v>12</v>
      </c>
      <c r="F523" s="26" t="s">
        <v>320</v>
      </c>
      <c r="G523" s="31"/>
      <c r="H523" s="22">
        <f>H524</f>
        <v>1080</v>
      </c>
      <c r="I523" s="22">
        <f t="shared" si="67"/>
        <v>1080</v>
      </c>
      <c r="J523" s="22">
        <f t="shared" si="67"/>
        <v>1080</v>
      </c>
    </row>
    <row r="524" spans="2:11" s="80" customFormat="1" ht="13.5" customHeight="1" x14ac:dyDescent="0.2">
      <c r="B524" s="23" t="s">
        <v>65</v>
      </c>
      <c r="C524" s="24" t="s">
        <v>494</v>
      </c>
      <c r="D524" s="24" t="s">
        <v>72</v>
      </c>
      <c r="E524" s="24" t="s">
        <v>12</v>
      </c>
      <c r="F524" s="26" t="s">
        <v>321</v>
      </c>
      <c r="G524" s="31"/>
      <c r="H524" s="22">
        <f>H525</f>
        <v>1080</v>
      </c>
      <c r="I524" s="22">
        <f>I525</f>
        <v>1080</v>
      </c>
      <c r="J524" s="22">
        <f>J525</f>
        <v>1080</v>
      </c>
    </row>
    <row r="525" spans="2:11" s="80" customFormat="1" ht="37.5" customHeight="1" x14ac:dyDescent="0.2">
      <c r="B525" s="23" t="s">
        <v>322</v>
      </c>
      <c r="C525" s="24" t="s">
        <v>494</v>
      </c>
      <c r="D525" s="24" t="s">
        <v>72</v>
      </c>
      <c r="E525" s="24" t="s">
        <v>12</v>
      </c>
      <c r="F525" s="26" t="s">
        <v>323</v>
      </c>
      <c r="G525" s="31"/>
      <c r="H525" s="22">
        <f t="shared" si="67"/>
        <v>1080</v>
      </c>
      <c r="I525" s="22">
        <f t="shared" si="67"/>
        <v>1080</v>
      </c>
      <c r="J525" s="22">
        <f t="shared" si="67"/>
        <v>1080</v>
      </c>
    </row>
    <row r="526" spans="2:11" s="80" customFormat="1" ht="24" customHeight="1" x14ac:dyDescent="0.2">
      <c r="B526" s="116" t="s">
        <v>269</v>
      </c>
      <c r="C526" s="24" t="s">
        <v>494</v>
      </c>
      <c r="D526" s="24" t="s">
        <v>72</v>
      </c>
      <c r="E526" s="24" t="s">
        <v>12</v>
      </c>
      <c r="F526" s="34" t="s">
        <v>324</v>
      </c>
      <c r="G526" s="51"/>
      <c r="H526" s="22">
        <f>H527</f>
        <v>1080</v>
      </c>
      <c r="I526" s="22">
        <f>I527</f>
        <v>1080</v>
      </c>
      <c r="J526" s="22">
        <f>J527</f>
        <v>1080</v>
      </c>
    </row>
    <row r="527" spans="2:11" s="80" customFormat="1" ht="27" customHeight="1" x14ac:dyDescent="0.2">
      <c r="B527" s="45" t="s">
        <v>35</v>
      </c>
      <c r="C527" s="24" t="s">
        <v>494</v>
      </c>
      <c r="D527" s="24" t="s">
        <v>72</v>
      </c>
      <c r="E527" s="24" t="s">
        <v>12</v>
      </c>
      <c r="F527" s="34" t="s">
        <v>324</v>
      </c>
      <c r="G527" s="51" t="s">
        <v>36</v>
      </c>
      <c r="H527" s="22">
        <v>1080</v>
      </c>
      <c r="I527" s="22">
        <v>1080</v>
      </c>
      <c r="J527" s="22">
        <v>1080</v>
      </c>
    </row>
    <row r="528" spans="2:11" s="80" customFormat="1" ht="16.5" customHeight="1" x14ac:dyDescent="0.2">
      <c r="B528" s="17" t="s">
        <v>400</v>
      </c>
      <c r="C528" s="18" t="s">
        <v>494</v>
      </c>
      <c r="D528" s="18" t="s">
        <v>401</v>
      </c>
      <c r="E528" s="18"/>
      <c r="F528" s="76"/>
      <c r="G528" s="110"/>
      <c r="H528" s="19">
        <f t="shared" ref="H528:J533" si="68">H529</f>
        <v>2925.4</v>
      </c>
      <c r="I528" s="19">
        <f t="shared" si="68"/>
        <v>1116.8</v>
      </c>
      <c r="J528" s="19">
        <f t="shared" si="68"/>
        <v>1116.8</v>
      </c>
    </row>
    <row r="529" spans="2:10" s="80" customFormat="1" ht="17.25" customHeight="1" x14ac:dyDescent="0.2">
      <c r="B529" s="17" t="s">
        <v>407</v>
      </c>
      <c r="C529" s="18" t="s">
        <v>494</v>
      </c>
      <c r="D529" s="18" t="s">
        <v>401</v>
      </c>
      <c r="E529" s="18" t="s">
        <v>167</v>
      </c>
      <c r="F529" s="76"/>
      <c r="G529" s="110"/>
      <c r="H529" s="19">
        <f t="shared" si="68"/>
        <v>2925.4</v>
      </c>
      <c r="I529" s="19">
        <f t="shared" si="68"/>
        <v>1116.8</v>
      </c>
      <c r="J529" s="19">
        <f t="shared" si="68"/>
        <v>1116.8</v>
      </c>
    </row>
    <row r="530" spans="2:10" s="80" customFormat="1" ht="39" customHeight="1" x14ac:dyDescent="0.2">
      <c r="B530" s="53" t="s">
        <v>266</v>
      </c>
      <c r="C530" s="24" t="s">
        <v>494</v>
      </c>
      <c r="D530" s="24" t="s">
        <v>401</v>
      </c>
      <c r="E530" s="24" t="s">
        <v>167</v>
      </c>
      <c r="F530" s="26" t="s">
        <v>320</v>
      </c>
      <c r="G530" s="24"/>
      <c r="H530" s="22">
        <f t="shared" si="68"/>
        <v>2925.4</v>
      </c>
      <c r="I530" s="22">
        <f t="shared" si="68"/>
        <v>1116.8</v>
      </c>
      <c r="J530" s="22">
        <f t="shared" si="68"/>
        <v>1116.8</v>
      </c>
    </row>
    <row r="531" spans="2:10" s="80" customFormat="1" ht="18" customHeight="1" x14ac:dyDescent="0.2">
      <c r="B531" s="23" t="s">
        <v>65</v>
      </c>
      <c r="C531" s="24" t="s">
        <v>494</v>
      </c>
      <c r="D531" s="24" t="s">
        <v>401</v>
      </c>
      <c r="E531" s="24" t="s">
        <v>167</v>
      </c>
      <c r="F531" s="26" t="s">
        <v>321</v>
      </c>
      <c r="G531" s="24"/>
      <c r="H531" s="22">
        <f t="shared" si="68"/>
        <v>2925.4</v>
      </c>
      <c r="I531" s="22">
        <f t="shared" si="68"/>
        <v>1116.8</v>
      </c>
      <c r="J531" s="22">
        <f t="shared" si="68"/>
        <v>1116.8</v>
      </c>
    </row>
    <row r="532" spans="2:10" s="80" customFormat="1" ht="57" customHeight="1" x14ac:dyDescent="0.2">
      <c r="B532" s="23" t="s">
        <v>502</v>
      </c>
      <c r="C532" s="24" t="s">
        <v>494</v>
      </c>
      <c r="D532" s="24" t="s">
        <v>401</v>
      </c>
      <c r="E532" s="24" t="s">
        <v>167</v>
      </c>
      <c r="F532" s="26" t="s">
        <v>503</v>
      </c>
      <c r="G532" s="24"/>
      <c r="H532" s="22">
        <f t="shared" si="68"/>
        <v>2925.4</v>
      </c>
      <c r="I532" s="22">
        <f t="shared" si="68"/>
        <v>1116.8</v>
      </c>
      <c r="J532" s="22">
        <f t="shared" si="68"/>
        <v>1116.8</v>
      </c>
    </row>
    <row r="533" spans="2:10" s="80" customFormat="1" ht="67.5" customHeight="1" x14ac:dyDescent="0.2">
      <c r="B533" s="23" t="s">
        <v>504</v>
      </c>
      <c r="C533" s="24" t="s">
        <v>494</v>
      </c>
      <c r="D533" s="24" t="s">
        <v>401</v>
      </c>
      <c r="E533" s="24" t="s">
        <v>167</v>
      </c>
      <c r="F533" s="26" t="s">
        <v>505</v>
      </c>
      <c r="G533" s="24"/>
      <c r="H533" s="22">
        <f t="shared" si="68"/>
        <v>2925.4</v>
      </c>
      <c r="I533" s="22">
        <f t="shared" si="68"/>
        <v>1116.8</v>
      </c>
      <c r="J533" s="22">
        <f t="shared" si="68"/>
        <v>1116.8</v>
      </c>
    </row>
    <row r="534" spans="2:10" s="80" customFormat="1" ht="15.75" customHeight="1" x14ac:dyDescent="0.2">
      <c r="B534" s="53" t="s">
        <v>415</v>
      </c>
      <c r="C534" s="24" t="s">
        <v>494</v>
      </c>
      <c r="D534" s="24" t="s">
        <v>401</v>
      </c>
      <c r="E534" s="24" t="s">
        <v>167</v>
      </c>
      <c r="F534" s="26" t="s">
        <v>505</v>
      </c>
      <c r="G534" s="24" t="s">
        <v>406</v>
      </c>
      <c r="H534" s="22">
        <v>2925.4</v>
      </c>
      <c r="I534" s="22">
        <v>1116.8</v>
      </c>
      <c r="J534" s="22">
        <v>1116.8</v>
      </c>
    </row>
    <row r="535" spans="2:10" s="64" customFormat="1" ht="25.5" x14ac:dyDescent="0.2">
      <c r="B535" s="117" t="s">
        <v>509</v>
      </c>
      <c r="C535" s="18" t="s">
        <v>510</v>
      </c>
      <c r="D535" s="18"/>
      <c r="E535" s="18"/>
      <c r="F535" s="18"/>
      <c r="G535" s="18"/>
      <c r="H535" s="19">
        <f>H550+H647+H543+H536+H667</f>
        <v>341947.8</v>
      </c>
      <c r="I535" s="19">
        <f>I550+I647+I543+I536+I667</f>
        <v>326645.90000000002</v>
      </c>
      <c r="J535" s="19">
        <f>J550+J647+J543+J536+J667</f>
        <v>315819.2</v>
      </c>
    </row>
    <row r="536" spans="2:10" s="64" customFormat="1" x14ac:dyDescent="0.2">
      <c r="B536" s="63" t="s">
        <v>170</v>
      </c>
      <c r="C536" s="18" t="s">
        <v>510</v>
      </c>
      <c r="D536" s="18" t="s">
        <v>167</v>
      </c>
      <c r="E536" s="18"/>
      <c r="F536" s="18"/>
      <c r="G536" s="18"/>
      <c r="H536" s="19">
        <f t="shared" ref="H536:J541" si="69">H537</f>
        <v>50</v>
      </c>
      <c r="I536" s="19">
        <f t="shared" si="69"/>
        <v>50</v>
      </c>
      <c r="J536" s="19">
        <f t="shared" si="69"/>
        <v>50</v>
      </c>
    </row>
    <row r="537" spans="2:10" s="64" customFormat="1" ht="25.5" x14ac:dyDescent="0.2">
      <c r="B537" s="117" t="s">
        <v>185</v>
      </c>
      <c r="C537" s="18" t="s">
        <v>510</v>
      </c>
      <c r="D537" s="18" t="s">
        <v>167</v>
      </c>
      <c r="E537" s="18" t="s">
        <v>186</v>
      </c>
      <c r="F537" s="18"/>
      <c r="G537" s="18"/>
      <c r="H537" s="19">
        <f>H538</f>
        <v>50</v>
      </c>
      <c r="I537" s="19">
        <f t="shared" si="69"/>
        <v>50</v>
      </c>
      <c r="J537" s="19">
        <f t="shared" si="69"/>
        <v>50</v>
      </c>
    </row>
    <row r="538" spans="2:10" s="64" customFormat="1" ht="26.25" customHeight="1" x14ac:dyDescent="0.2">
      <c r="B538" s="50" t="s">
        <v>218</v>
      </c>
      <c r="C538" s="24" t="s">
        <v>510</v>
      </c>
      <c r="D538" s="24" t="s">
        <v>167</v>
      </c>
      <c r="E538" s="24" t="s">
        <v>186</v>
      </c>
      <c r="F538" s="24" t="s">
        <v>219</v>
      </c>
      <c r="G538" s="24"/>
      <c r="H538" s="22">
        <f>H539</f>
        <v>50</v>
      </c>
      <c r="I538" s="22">
        <f t="shared" si="69"/>
        <v>50</v>
      </c>
      <c r="J538" s="22">
        <f t="shared" si="69"/>
        <v>50</v>
      </c>
    </row>
    <row r="539" spans="2:10" s="64" customFormat="1" ht="17.25" customHeight="1" x14ac:dyDescent="0.2">
      <c r="B539" s="23" t="s">
        <v>17</v>
      </c>
      <c r="C539" s="24" t="s">
        <v>510</v>
      </c>
      <c r="D539" s="24" t="s">
        <v>167</v>
      </c>
      <c r="E539" s="24" t="s">
        <v>186</v>
      </c>
      <c r="F539" s="24" t="s">
        <v>220</v>
      </c>
      <c r="G539" s="24"/>
      <c r="H539" s="22">
        <f>H540</f>
        <v>50</v>
      </c>
      <c r="I539" s="22">
        <f t="shared" si="69"/>
        <v>50</v>
      </c>
      <c r="J539" s="22">
        <f t="shared" si="69"/>
        <v>50</v>
      </c>
    </row>
    <row r="540" spans="2:10" s="64" customFormat="1" ht="26.25" customHeight="1" x14ac:dyDescent="0.2">
      <c r="B540" s="81" t="s">
        <v>241</v>
      </c>
      <c r="C540" s="24" t="s">
        <v>510</v>
      </c>
      <c r="D540" s="24" t="s">
        <v>167</v>
      </c>
      <c r="E540" s="24" t="s">
        <v>186</v>
      </c>
      <c r="F540" s="24" t="s">
        <v>242</v>
      </c>
      <c r="G540" s="24"/>
      <c r="H540" s="22">
        <f>H541</f>
        <v>50</v>
      </c>
      <c r="I540" s="22">
        <f t="shared" si="69"/>
        <v>50</v>
      </c>
      <c r="J540" s="22">
        <f t="shared" si="69"/>
        <v>50</v>
      </c>
    </row>
    <row r="541" spans="2:10" s="64" customFormat="1" ht="26.25" customHeight="1" x14ac:dyDescent="0.2">
      <c r="B541" s="81" t="s">
        <v>511</v>
      </c>
      <c r="C541" s="24" t="s">
        <v>510</v>
      </c>
      <c r="D541" s="24" t="s">
        <v>167</v>
      </c>
      <c r="E541" s="24" t="s">
        <v>186</v>
      </c>
      <c r="F541" s="26" t="s">
        <v>512</v>
      </c>
      <c r="G541" s="24"/>
      <c r="H541" s="22">
        <f>H542</f>
        <v>50</v>
      </c>
      <c r="I541" s="22">
        <f t="shared" si="69"/>
        <v>50</v>
      </c>
      <c r="J541" s="22">
        <f t="shared" si="69"/>
        <v>50</v>
      </c>
    </row>
    <row r="542" spans="2:10" s="64" customFormat="1" ht="26.25" customHeight="1" x14ac:dyDescent="0.2">
      <c r="B542" s="23" t="s">
        <v>35</v>
      </c>
      <c r="C542" s="24" t="s">
        <v>510</v>
      </c>
      <c r="D542" s="24" t="s">
        <v>167</v>
      </c>
      <c r="E542" s="24" t="s">
        <v>186</v>
      </c>
      <c r="F542" s="26" t="s">
        <v>512</v>
      </c>
      <c r="G542" s="24" t="s">
        <v>36</v>
      </c>
      <c r="H542" s="22">
        <v>50</v>
      </c>
      <c r="I542" s="22">
        <v>50</v>
      </c>
      <c r="J542" s="22">
        <v>50</v>
      </c>
    </row>
    <row r="543" spans="2:10" s="64" customFormat="1" x14ac:dyDescent="0.2">
      <c r="B543" s="117" t="s">
        <v>347</v>
      </c>
      <c r="C543" s="18" t="s">
        <v>510</v>
      </c>
      <c r="D543" s="18" t="s">
        <v>348</v>
      </c>
      <c r="E543" s="18"/>
      <c r="F543" s="18"/>
      <c r="G543" s="18"/>
      <c r="H543" s="19">
        <f t="shared" ref="H543:J548" si="70">H544</f>
        <v>30</v>
      </c>
      <c r="I543" s="19">
        <f t="shared" si="70"/>
        <v>30</v>
      </c>
      <c r="J543" s="19">
        <f t="shared" si="70"/>
        <v>30</v>
      </c>
    </row>
    <row r="544" spans="2:10" s="64" customFormat="1" x14ac:dyDescent="0.2">
      <c r="B544" s="117" t="s">
        <v>349</v>
      </c>
      <c r="C544" s="18" t="s">
        <v>510</v>
      </c>
      <c r="D544" s="18" t="s">
        <v>348</v>
      </c>
      <c r="E544" s="18" t="s">
        <v>72</v>
      </c>
      <c r="F544" s="18"/>
      <c r="G544" s="18"/>
      <c r="H544" s="19">
        <f t="shared" si="70"/>
        <v>30</v>
      </c>
      <c r="I544" s="19">
        <f t="shared" si="70"/>
        <v>30</v>
      </c>
      <c r="J544" s="19">
        <f t="shared" si="70"/>
        <v>30</v>
      </c>
    </row>
    <row r="545" spans="2:11" s="20" customFormat="1" ht="29.25" customHeight="1" x14ac:dyDescent="0.2">
      <c r="B545" s="23" t="s">
        <v>350</v>
      </c>
      <c r="C545" s="24" t="s">
        <v>510</v>
      </c>
      <c r="D545" s="24" t="s">
        <v>348</v>
      </c>
      <c r="E545" s="24" t="s">
        <v>72</v>
      </c>
      <c r="F545" s="24" t="s">
        <v>64</v>
      </c>
      <c r="G545" s="24"/>
      <c r="H545" s="22">
        <f>H546</f>
        <v>30</v>
      </c>
      <c r="I545" s="22">
        <f t="shared" si="70"/>
        <v>30</v>
      </c>
      <c r="J545" s="22">
        <f t="shared" si="70"/>
        <v>30</v>
      </c>
    </row>
    <row r="546" spans="2:11" s="20" customFormat="1" ht="14.25" customHeight="1" x14ac:dyDescent="0.2">
      <c r="B546" s="42" t="s">
        <v>17</v>
      </c>
      <c r="C546" s="24"/>
      <c r="D546" s="24"/>
      <c r="E546" s="24"/>
      <c r="F546" s="24" t="s">
        <v>66</v>
      </c>
      <c r="G546" s="24"/>
      <c r="H546" s="22">
        <f>H547</f>
        <v>30</v>
      </c>
      <c r="I546" s="22">
        <f>I547</f>
        <v>30</v>
      </c>
      <c r="J546" s="22">
        <f>J547</f>
        <v>30</v>
      </c>
    </row>
    <row r="547" spans="2:11" s="20" customFormat="1" ht="25.5" x14ac:dyDescent="0.2">
      <c r="B547" s="36" t="s">
        <v>361</v>
      </c>
      <c r="C547" s="24" t="s">
        <v>510</v>
      </c>
      <c r="D547" s="24" t="s">
        <v>348</v>
      </c>
      <c r="E547" s="24" t="s">
        <v>72</v>
      </c>
      <c r="F547" s="26" t="s">
        <v>362</v>
      </c>
      <c r="G547" s="24"/>
      <c r="H547" s="22">
        <f t="shared" si="70"/>
        <v>30</v>
      </c>
      <c r="I547" s="22">
        <f t="shared" si="70"/>
        <v>30</v>
      </c>
      <c r="J547" s="22">
        <f t="shared" si="70"/>
        <v>30</v>
      </c>
    </row>
    <row r="548" spans="2:11" s="20" customFormat="1" x14ac:dyDescent="0.2">
      <c r="B548" s="118" t="s">
        <v>363</v>
      </c>
      <c r="C548" s="24" t="s">
        <v>510</v>
      </c>
      <c r="D548" s="24" t="s">
        <v>348</v>
      </c>
      <c r="E548" s="24" t="s">
        <v>72</v>
      </c>
      <c r="F548" s="26" t="s">
        <v>364</v>
      </c>
      <c r="G548" s="24"/>
      <c r="H548" s="22">
        <f t="shared" si="70"/>
        <v>30</v>
      </c>
      <c r="I548" s="22">
        <f t="shared" si="70"/>
        <v>30</v>
      </c>
      <c r="J548" s="22">
        <f t="shared" si="70"/>
        <v>30</v>
      </c>
    </row>
    <row r="549" spans="2:11" s="20" customFormat="1" x14ac:dyDescent="0.2">
      <c r="B549" s="90" t="s">
        <v>105</v>
      </c>
      <c r="C549" s="24" t="s">
        <v>510</v>
      </c>
      <c r="D549" s="24" t="s">
        <v>348</v>
      </c>
      <c r="E549" s="24" t="s">
        <v>72</v>
      </c>
      <c r="F549" s="26" t="s">
        <v>364</v>
      </c>
      <c r="G549" s="24" t="s">
        <v>106</v>
      </c>
      <c r="H549" s="22">
        <v>30</v>
      </c>
      <c r="I549" s="22">
        <v>30</v>
      </c>
      <c r="J549" s="22">
        <v>30</v>
      </c>
    </row>
    <row r="550" spans="2:11" s="20" customFormat="1" x14ac:dyDescent="0.2">
      <c r="B550" s="63" t="s">
        <v>513</v>
      </c>
      <c r="C550" s="18" t="s">
        <v>510</v>
      </c>
      <c r="D550" s="18" t="s">
        <v>367</v>
      </c>
      <c r="E550" s="18"/>
      <c r="F550" s="18"/>
      <c r="G550" s="18"/>
      <c r="H550" s="19">
        <f>H551+H568+H622+H607</f>
        <v>339772.5</v>
      </c>
      <c r="I550" s="19">
        <f>I551+I568+I622+I607</f>
        <v>325104.30000000005</v>
      </c>
      <c r="J550" s="19">
        <f>J551+J568+J622+J607</f>
        <v>314277.60000000003</v>
      </c>
    </row>
    <row r="551" spans="2:11" s="20" customFormat="1" ht="12" customHeight="1" x14ac:dyDescent="0.2">
      <c r="B551" s="17" t="s">
        <v>514</v>
      </c>
      <c r="C551" s="18" t="s">
        <v>510</v>
      </c>
      <c r="D551" s="18" t="s">
        <v>367</v>
      </c>
      <c r="E551" s="18" t="s">
        <v>12</v>
      </c>
      <c r="F551" s="18"/>
      <c r="G551" s="18"/>
      <c r="H551" s="19">
        <f>H552</f>
        <v>92341</v>
      </c>
      <c r="I551" s="19">
        <f>I552</f>
        <v>92855.8</v>
      </c>
      <c r="J551" s="19">
        <f>J552</f>
        <v>92855.8</v>
      </c>
    </row>
    <row r="552" spans="2:11" s="57" customFormat="1" ht="26.25" customHeight="1" x14ac:dyDescent="0.2">
      <c r="B552" s="53" t="s">
        <v>209</v>
      </c>
      <c r="C552" s="24" t="s">
        <v>510</v>
      </c>
      <c r="D552" s="24" t="s">
        <v>367</v>
      </c>
      <c r="E552" s="24" t="s">
        <v>12</v>
      </c>
      <c r="F552" s="26" t="s">
        <v>210</v>
      </c>
      <c r="G552" s="24"/>
      <c r="H552" s="22">
        <f>H553+H559</f>
        <v>92341</v>
      </c>
      <c r="I552" s="22">
        <f>I553+I559</f>
        <v>92855.8</v>
      </c>
      <c r="J552" s="22">
        <f>J553+J559</f>
        <v>92855.8</v>
      </c>
    </row>
    <row r="553" spans="2:11" s="57" customFormat="1" ht="18" customHeight="1" x14ac:dyDescent="0.2">
      <c r="B553" s="119" t="s">
        <v>49</v>
      </c>
      <c r="C553" s="24" t="s">
        <v>510</v>
      </c>
      <c r="D553" s="24" t="s">
        <v>367</v>
      </c>
      <c r="E553" s="24" t="s">
        <v>12</v>
      </c>
      <c r="F553" s="34" t="s">
        <v>515</v>
      </c>
      <c r="G553" s="24"/>
      <c r="H553" s="120">
        <f>H554</f>
        <v>348.9</v>
      </c>
      <c r="I553" s="120">
        <f>I554</f>
        <v>96.3</v>
      </c>
      <c r="J553" s="120">
        <f>J554</f>
        <v>96.3</v>
      </c>
    </row>
    <row r="554" spans="2:11" s="57" customFormat="1" ht="26.25" customHeight="1" x14ac:dyDescent="0.2">
      <c r="B554" s="45" t="s">
        <v>516</v>
      </c>
      <c r="C554" s="24" t="s">
        <v>510</v>
      </c>
      <c r="D554" s="24" t="s">
        <v>367</v>
      </c>
      <c r="E554" s="24" t="s">
        <v>12</v>
      </c>
      <c r="F554" s="34" t="s">
        <v>517</v>
      </c>
      <c r="G554" s="24"/>
      <c r="H554" s="120">
        <f>H557+H555</f>
        <v>348.9</v>
      </c>
      <c r="I554" s="120">
        <f>I557+I555</f>
        <v>96.3</v>
      </c>
      <c r="J554" s="120">
        <f>J557+J555</f>
        <v>96.3</v>
      </c>
    </row>
    <row r="555" spans="2:11" s="57" customFormat="1" ht="54" customHeight="1" x14ac:dyDescent="0.2">
      <c r="B555" s="77" t="s">
        <v>518</v>
      </c>
      <c r="C555" s="24" t="s">
        <v>510</v>
      </c>
      <c r="D555" s="24" t="s">
        <v>367</v>
      </c>
      <c r="E555" s="24" t="s">
        <v>12</v>
      </c>
      <c r="F555" s="121" t="s">
        <v>519</v>
      </c>
      <c r="G555" s="24"/>
      <c r="H555" s="120">
        <f>H556</f>
        <v>252.6</v>
      </c>
      <c r="I555" s="120">
        <f>I556</f>
        <v>0</v>
      </c>
      <c r="J555" s="120">
        <f>J556</f>
        <v>0</v>
      </c>
      <c r="K555" s="39"/>
    </row>
    <row r="556" spans="2:11" s="57" customFormat="1" ht="16.5" customHeight="1" x14ac:dyDescent="0.2">
      <c r="B556" s="71" t="s">
        <v>105</v>
      </c>
      <c r="C556" s="24" t="s">
        <v>510</v>
      </c>
      <c r="D556" s="24" t="s">
        <v>367</v>
      </c>
      <c r="E556" s="24" t="s">
        <v>12</v>
      </c>
      <c r="F556" s="121" t="s">
        <v>519</v>
      </c>
      <c r="G556" s="24" t="s">
        <v>106</v>
      </c>
      <c r="H556" s="120">
        <f>245+7.6</f>
        <v>252.6</v>
      </c>
      <c r="I556" s="120">
        <v>0</v>
      </c>
      <c r="J556" s="120">
        <v>0</v>
      </c>
      <c r="K556" s="39"/>
    </row>
    <row r="557" spans="2:11" s="57" customFormat="1" ht="54.75" customHeight="1" x14ac:dyDescent="0.2">
      <c r="B557" s="77" t="s">
        <v>520</v>
      </c>
      <c r="C557" s="24" t="s">
        <v>510</v>
      </c>
      <c r="D557" s="24" t="s">
        <v>367</v>
      </c>
      <c r="E557" s="24" t="s">
        <v>12</v>
      </c>
      <c r="F557" s="121" t="s">
        <v>521</v>
      </c>
      <c r="G557" s="24"/>
      <c r="H557" s="120">
        <f>H558</f>
        <v>96.3</v>
      </c>
      <c r="I557" s="120">
        <f>I558</f>
        <v>96.3</v>
      </c>
      <c r="J557" s="120">
        <f>J558</f>
        <v>96.3</v>
      </c>
    </row>
    <row r="558" spans="2:11" s="57" customFormat="1" ht="15" customHeight="1" x14ac:dyDescent="0.2">
      <c r="B558" s="71" t="s">
        <v>105</v>
      </c>
      <c r="C558" s="24" t="s">
        <v>510</v>
      </c>
      <c r="D558" s="24" t="s">
        <v>367</v>
      </c>
      <c r="E558" s="24" t="s">
        <v>12</v>
      </c>
      <c r="F558" s="121" t="s">
        <v>521</v>
      </c>
      <c r="G558" s="24" t="s">
        <v>106</v>
      </c>
      <c r="H558" s="120">
        <f>77+19.3</f>
        <v>96.3</v>
      </c>
      <c r="I558" s="120">
        <f>77+19.3</f>
        <v>96.3</v>
      </c>
      <c r="J558" s="120">
        <f>77+19.3</f>
        <v>96.3</v>
      </c>
    </row>
    <row r="559" spans="2:11" s="57" customFormat="1" ht="18" customHeight="1" x14ac:dyDescent="0.2">
      <c r="B559" s="23" t="s">
        <v>17</v>
      </c>
      <c r="C559" s="24" t="s">
        <v>510</v>
      </c>
      <c r="D559" s="24" t="s">
        <v>367</v>
      </c>
      <c r="E559" s="24" t="s">
        <v>12</v>
      </c>
      <c r="F559" s="26" t="s">
        <v>211</v>
      </c>
      <c r="G559" s="24"/>
      <c r="H559" s="22">
        <f>H560</f>
        <v>91992.1</v>
      </c>
      <c r="I559" s="22">
        <f>I560</f>
        <v>92759.5</v>
      </c>
      <c r="J559" s="22">
        <f>J560</f>
        <v>92759.5</v>
      </c>
    </row>
    <row r="560" spans="2:11" s="57" customFormat="1" ht="26.25" customHeight="1" x14ac:dyDescent="0.2">
      <c r="B560" s="23" t="s">
        <v>522</v>
      </c>
      <c r="C560" s="24" t="s">
        <v>510</v>
      </c>
      <c r="D560" s="24" t="s">
        <v>367</v>
      </c>
      <c r="E560" s="24" t="s">
        <v>12</v>
      </c>
      <c r="F560" s="26" t="s">
        <v>523</v>
      </c>
      <c r="G560" s="24"/>
      <c r="H560" s="22">
        <f>H561+H563</f>
        <v>91992.1</v>
      </c>
      <c r="I560" s="22">
        <f>I561+I563</f>
        <v>92759.5</v>
      </c>
      <c r="J560" s="22">
        <f>J561+J563</f>
        <v>92759.5</v>
      </c>
    </row>
    <row r="561" spans="2:11" s="57" customFormat="1" ht="27.75" customHeight="1" x14ac:dyDescent="0.2">
      <c r="B561" s="119" t="s">
        <v>524</v>
      </c>
      <c r="C561" s="24" t="s">
        <v>510</v>
      </c>
      <c r="D561" s="24" t="s">
        <v>367</v>
      </c>
      <c r="E561" s="24" t="s">
        <v>12</v>
      </c>
      <c r="F561" s="26" t="s">
        <v>525</v>
      </c>
      <c r="G561" s="24"/>
      <c r="H561" s="22">
        <f>H562</f>
        <v>66981.8</v>
      </c>
      <c r="I561" s="22">
        <f>I562</f>
        <v>66981.8</v>
      </c>
      <c r="J561" s="22">
        <f>J562</f>
        <v>66981.8</v>
      </c>
    </row>
    <row r="562" spans="2:11" s="57" customFormat="1" ht="14.25" customHeight="1" x14ac:dyDescent="0.2">
      <c r="B562" s="122" t="s">
        <v>105</v>
      </c>
      <c r="C562" s="24" t="s">
        <v>510</v>
      </c>
      <c r="D562" s="24" t="s">
        <v>367</v>
      </c>
      <c r="E562" s="24" t="s">
        <v>12</v>
      </c>
      <c r="F562" s="26" t="s">
        <v>525</v>
      </c>
      <c r="G562" s="24" t="s">
        <v>106</v>
      </c>
      <c r="H562" s="22">
        <v>66981.8</v>
      </c>
      <c r="I562" s="22">
        <v>66981.8</v>
      </c>
      <c r="J562" s="22">
        <v>66981.8</v>
      </c>
    </row>
    <row r="563" spans="2:11" s="57" customFormat="1" ht="14.25" customHeight="1" x14ac:dyDescent="0.2">
      <c r="B563" s="119" t="s">
        <v>526</v>
      </c>
      <c r="C563" s="24" t="s">
        <v>510</v>
      </c>
      <c r="D563" s="24" t="s">
        <v>367</v>
      </c>
      <c r="E563" s="24" t="s">
        <v>12</v>
      </c>
      <c r="F563" s="26" t="s">
        <v>527</v>
      </c>
      <c r="G563" s="24"/>
      <c r="H563" s="22">
        <f>H564</f>
        <v>25010.300000000003</v>
      </c>
      <c r="I563" s="22">
        <f>I564</f>
        <v>25777.7</v>
      </c>
      <c r="J563" s="22">
        <f>J564</f>
        <v>25777.7</v>
      </c>
    </row>
    <row r="564" spans="2:11" s="57" customFormat="1" ht="15.75" customHeight="1" x14ac:dyDescent="0.2">
      <c r="B564" s="122" t="s">
        <v>105</v>
      </c>
      <c r="C564" s="24" t="s">
        <v>510</v>
      </c>
      <c r="D564" s="24" t="s">
        <v>367</v>
      </c>
      <c r="E564" s="24" t="s">
        <v>12</v>
      </c>
      <c r="F564" s="26" t="s">
        <v>527</v>
      </c>
      <c r="G564" s="24" t="s">
        <v>106</v>
      </c>
      <c r="H564" s="22">
        <f>27912.4-243-2659.1</f>
        <v>25010.300000000003</v>
      </c>
      <c r="I564" s="22">
        <f>27912.4-2134.7</f>
        <v>25777.7</v>
      </c>
      <c r="J564" s="22">
        <f>27912.4-2134.7</f>
        <v>25777.7</v>
      </c>
      <c r="K564" s="115"/>
    </row>
    <row r="565" spans="2:11" s="57" customFormat="1" ht="39.75" hidden="1" customHeight="1" x14ac:dyDescent="0.2">
      <c r="B565" s="53" t="s">
        <v>528</v>
      </c>
      <c r="C565" s="24" t="s">
        <v>510</v>
      </c>
      <c r="D565" s="24" t="s">
        <v>367</v>
      </c>
      <c r="E565" s="24" t="s">
        <v>12</v>
      </c>
      <c r="F565" s="26" t="s">
        <v>529</v>
      </c>
      <c r="G565" s="24"/>
      <c r="H565" s="22">
        <f t="shared" ref="H565:J566" si="71">H566</f>
        <v>0</v>
      </c>
      <c r="I565" s="22">
        <f t="shared" si="71"/>
        <v>0</v>
      </c>
      <c r="J565" s="22">
        <f t="shared" si="71"/>
        <v>0</v>
      </c>
    </row>
    <row r="566" spans="2:11" s="57" customFormat="1" ht="15.75" hidden="1" customHeight="1" x14ac:dyDescent="0.2">
      <c r="B566" s="42" t="s">
        <v>526</v>
      </c>
      <c r="C566" s="24" t="s">
        <v>510</v>
      </c>
      <c r="D566" s="24" t="s">
        <v>367</v>
      </c>
      <c r="E566" s="24" t="s">
        <v>12</v>
      </c>
      <c r="F566" s="26" t="s">
        <v>530</v>
      </c>
      <c r="G566" s="24"/>
      <c r="H566" s="22">
        <f t="shared" si="71"/>
        <v>0</v>
      </c>
      <c r="I566" s="22">
        <f t="shared" si="71"/>
        <v>0</v>
      </c>
      <c r="J566" s="22">
        <f t="shared" si="71"/>
        <v>0</v>
      </c>
    </row>
    <row r="567" spans="2:11" s="57" customFormat="1" ht="16.5" hidden="1" customHeight="1" x14ac:dyDescent="0.2">
      <c r="B567" s="53" t="s">
        <v>105</v>
      </c>
      <c r="C567" s="24" t="s">
        <v>510</v>
      </c>
      <c r="D567" s="24" t="s">
        <v>367</v>
      </c>
      <c r="E567" s="24" t="s">
        <v>12</v>
      </c>
      <c r="F567" s="26" t="s">
        <v>530</v>
      </c>
      <c r="G567" s="24" t="s">
        <v>106</v>
      </c>
      <c r="H567" s="22">
        <v>0</v>
      </c>
      <c r="I567" s="22">
        <v>0</v>
      </c>
      <c r="J567" s="22">
        <v>0</v>
      </c>
    </row>
    <row r="568" spans="2:11" s="64" customFormat="1" ht="13.5" customHeight="1" x14ac:dyDescent="0.2">
      <c r="B568" s="17" t="s">
        <v>531</v>
      </c>
      <c r="C568" s="18" t="s">
        <v>510</v>
      </c>
      <c r="D568" s="18" t="s">
        <v>367</v>
      </c>
      <c r="E568" s="18" t="s">
        <v>14</v>
      </c>
      <c r="F568" s="18"/>
      <c r="G568" s="18"/>
      <c r="H568" s="19">
        <f>H569</f>
        <v>219766.1</v>
      </c>
      <c r="I568" s="19">
        <f>I569</f>
        <v>207159.1</v>
      </c>
      <c r="J568" s="19">
        <f>J569</f>
        <v>196332.4</v>
      </c>
    </row>
    <row r="569" spans="2:11" s="57" customFormat="1" ht="26.25" customHeight="1" x14ac:dyDescent="0.2">
      <c r="B569" s="53" t="s">
        <v>209</v>
      </c>
      <c r="C569" s="24" t="s">
        <v>510</v>
      </c>
      <c r="D569" s="24" t="s">
        <v>367</v>
      </c>
      <c r="E569" s="24" t="s">
        <v>14</v>
      </c>
      <c r="F569" s="26" t="s">
        <v>210</v>
      </c>
      <c r="G569" s="24"/>
      <c r="H569" s="22">
        <f>H570+H581+H593</f>
        <v>219766.1</v>
      </c>
      <c r="I569" s="22">
        <f>I570+I581+I593</f>
        <v>207159.1</v>
      </c>
      <c r="J569" s="22">
        <f>J570+J581+J593</f>
        <v>196332.4</v>
      </c>
    </row>
    <row r="570" spans="2:11" s="57" customFormat="1" ht="20.25" customHeight="1" x14ac:dyDescent="0.2">
      <c r="B570" s="119" t="s">
        <v>532</v>
      </c>
      <c r="C570" s="24" t="s">
        <v>510</v>
      </c>
      <c r="D570" s="24" t="s">
        <v>367</v>
      </c>
      <c r="E570" s="24" t="s">
        <v>14</v>
      </c>
      <c r="F570" s="26" t="s">
        <v>533</v>
      </c>
      <c r="G570" s="24"/>
      <c r="H570" s="22">
        <f>H571+H578</f>
        <v>17162.599999999999</v>
      </c>
      <c r="I570" s="22">
        <f>I571+I578</f>
        <v>9212.1999999999989</v>
      </c>
      <c r="J570" s="22">
        <f>J571+J578</f>
        <v>330.5</v>
      </c>
    </row>
    <row r="571" spans="2:11" s="57" customFormat="1" ht="40.5" customHeight="1" x14ac:dyDescent="0.2">
      <c r="B571" s="119" t="s">
        <v>534</v>
      </c>
      <c r="C571" s="24" t="s">
        <v>510</v>
      </c>
      <c r="D571" s="24" t="s">
        <v>367</v>
      </c>
      <c r="E571" s="24" t="s">
        <v>14</v>
      </c>
      <c r="F571" s="34" t="s">
        <v>535</v>
      </c>
      <c r="G571" s="24"/>
      <c r="H571" s="22">
        <f>H572+H574+H576</f>
        <v>17131.3</v>
      </c>
      <c r="I571" s="22">
        <f>I572+I574+I576</f>
        <v>8881.6999999999989</v>
      </c>
      <c r="J571" s="22">
        <f>J572+J574+J576</f>
        <v>0</v>
      </c>
    </row>
    <row r="572" spans="2:11" s="57" customFormat="1" ht="18" customHeight="1" x14ac:dyDescent="0.2">
      <c r="B572" s="119" t="s">
        <v>536</v>
      </c>
      <c r="C572" s="24" t="s">
        <v>510</v>
      </c>
      <c r="D572" s="24" t="s">
        <v>367</v>
      </c>
      <c r="E572" s="24" t="s">
        <v>14</v>
      </c>
      <c r="F572" s="34" t="s">
        <v>537</v>
      </c>
      <c r="G572" s="24"/>
      <c r="H572" s="22">
        <f>H573</f>
        <v>12297</v>
      </c>
      <c r="I572" s="22">
        <f>I573</f>
        <v>4303.8999999999996</v>
      </c>
      <c r="J572" s="22">
        <f>J573</f>
        <v>0</v>
      </c>
    </row>
    <row r="573" spans="2:11" s="57" customFormat="1" ht="16.5" customHeight="1" x14ac:dyDescent="0.2">
      <c r="B573" s="122" t="s">
        <v>105</v>
      </c>
      <c r="C573" s="24" t="s">
        <v>510</v>
      </c>
      <c r="D573" s="24" t="s">
        <v>367</v>
      </c>
      <c r="E573" s="24" t="s">
        <v>14</v>
      </c>
      <c r="F573" s="34" t="s">
        <v>537</v>
      </c>
      <c r="G573" s="24" t="s">
        <v>106</v>
      </c>
      <c r="H573" s="22">
        <f>12294.5+2.5</f>
        <v>12297</v>
      </c>
      <c r="I573" s="22">
        <f>4303+0.9</f>
        <v>4303.8999999999996</v>
      </c>
      <c r="J573" s="22">
        <v>0</v>
      </c>
    </row>
    <row r="574" spans="2:11" s="57" customFormat="1" ht="54" customHeight="1" x14ac:dyDescent="0.2">
      <c r="B574" s="119" t="s">
        <v>538</v>
      </c>
      <c r="C574" s="24" t="s">
        <v>510</v>
      </c>
      <c r="D574" s="24" t="s">
        <v>367</v>
      </c>
      <c r="E574" s="24" t="s">
        <v>14</v>
      </c>
      <c r="F574" s="34" t="s">
        <v>539</v>
      </c>
      <c r="G574" s="24"/>
      <c r="H574" s="22">
        <f>H575</f>
        <v>2833.9</v>
      </c>
      <c r="I574" s="22">
        <f>I575</f>
        <v>4577.7999999999993</v>
      </c>
      <c r="J574" s="22">
        <f>J575</f>
        <v>0</v>
      </c>
    </row>
    <row r="575" spans="2:11" s="57" customFormat="1" ht="14.25" customHeight="1" x14ac:dyDescent="0.2">
      <c r="B575" s="122" t="s">
        <v>105</v>
      </c>
      <c r="C575" s="24" t="s">
        <v>510</v>
      </c>
      <c r="D575" s="24" t="s">
        <v>367</v>
      </c>
      <c r="E575" s="24" t="s">
        <v>14</v>
      </c>
      <c r="F575" s="34" t="s">
        <v>539</v>
      </c>
      <c r="G575" s="24" t="s">
        <v>106</v>
      </c>
      <c r="H575" s="22">
        <f>2833.3+0.6</f>
        <v>2833.9</v>
      </c>
      <c r="I575" s="22">
        <f>4576.9+0.9</f>
        <v>4577.7999999999993</v>
      </c>
      <c r="J575" s="22">
        <v>0</v>
      </c>
    </row>
    <row r="576" spans="2:11" s="57" customFormat="1" ht="77.25" customHeight="1" x14ac:dyDescent="0.2">
      <c r="B576" s="123" t="s">
        <v>540</v>
      </c>
      <c r="C576" s="24" t="s">
        <v>510</v>
      </c>
      <c r="D576" s="24" t="s">
        <v>367</v>
      </c>
      <c r="E576" s="24" t="s">
        <v>14</v>
      </c>
      <c r="F576" s="34" t="s">
        <v>541</v>
      </c>
      <c r="G576" s="24"/>
      <c r="H576" s="22">
        <f>H577</f>
        <v>2000.4</v>
      </c>
      <c r="I576" s="22">
        <f>I577</f>
        <v>0</v>
      </c>
      <c r="J576" s="22">
        <f>J577</f>
        <v>0</v>
      </c>
    </row>
    <row r="577" spans="2:10" s="57" customFormat="1" ht="15" customHeight="1" x14ac:dyDescent="0.2">
      <c r="B577" s="71" t="s">
        <v>105</v>
      </c>
      <c r="C577" s="24" t="s">
        <v>510</v>
      </c>
      <c r="D577" s="24" t="s">
        <v>367</v>
      </c>
      <c r="E577" s="24" t="s">
        <v>14</v>
      </c>
      <c r="F577" s="34" t="s">
        <v>541</v>
      </c>
      <c r="G577" s="24" t="s">
        <v>106</v>
      </c>
      <c r="H577" s="22">
        <f>2000+0.4</f>
        <v>2000.4</v>
      </c>
      <c r="I577" s="22">
        <v>0</v>
      </c>
      <c r="J577" s="22">
        <v>0</v>
      </c>
    </row>
    <row r="578" spans="2:10" s="57" customFormat="1" ht="15" customHeight="1" x14ac:dyDescent="0.2">
      <c r="B578" s="124" t="s">
        <v>542</v>
      </c>
      <c r="C578" s="24" t="s">
        <v>510</v>
      </c>
      <c r="D578" s="24" t="s">
        <v>367</v>
      </c>
      <c r="E578" s="24" t="s">
        <v>14</v>
      </c>
      <c r="F578" s="34" t="s">
        <v>543</v>
      </c>
      <c r="G578" s="24"/>
      <c r="H578" s="22">
        <f t="shared" ref="H578:J579" si="72">H579</f>
        <v>31.3</v>
      </c>
      <c r="I578" s="22">
        <f t="shared" si="72"/>
        <v>330.5</v>
      </c>
      <c r="J578" s="22">
        <f t="shared" si="72"/>
        <v>330.5</v>
      </c>
    </row>
    <row r="579" spans="2:10" s="57" customFormat="1" ht="41.25" customHeight="1" x14ac:dyDescent="0.2">
      <c r="B579" s="77" t="s">
        <v>544</v>
      </c>
      <c r="C579" s="24" t="s">
        <v>510</v>
      </c>
      <c r="D579" s="24" t="s">
        <v>367</v>
      </c>
      <c r="E579" s="24" t="s">
        <v>14</v>
      </c>
      <c r="F579" s="34" t="s">
        <v>545</v>
      </c>
      <c r="G579" s="24"/>
      <c r="H579" s="22">
        <f t="shared" si="72"/>
        <v>31.3</v>
      </c>
      <c r="I579" s="22">
        <f t="shared" si="72"/>
        <v>330.5</v>
      </c>
      <c r="J579" s="22">
        <f t="shared" si="72"/>
        <v>330.5</v>
      </c>
    </row>
    <row r="580" spans="2:10" s="57" customFormat="1" ht="15" customHeight="1" x14ac:dyDescent="0.2">
      <c r="B580" s="124" t="s">
        <v>105</v>
      </c>
      <c r="C580" s="24" t="s">
        <v>510</v>
      </c>
      <c r="D580" s="24" t="s">
        <v>367</v>
      </c>
      <c r="E580" s="24" t="s">
        <v>14</v>
      </c>
      <c r="F580" s="34" t="s">
        <v>545</v>
      </c>
      <c r="G580" s="24" t="s">
        <v>106</v>
      </c>
      <c r="H580" s="22">
        <v>31.3</v>
      </c>
      <c r="I580" s="22">
        <v>330.5</v>
      </c>
      <c r="J580" s="22">
        <v>330.5</v>
      </c>
    </row>
    <row r="581" spans="2:10" s="57" customFormat="1" ht="19.5" customHeight="1" x14ac:dyDescent="0.2">
      <c r="B581" s="119" t="s">
        <v>49</v>
      </c>
      <c r="C581" s="24" t="s">
        <v>510</v>
      </c>
      <c r="D581" s="24" t="s">
        <v>367</v>
      </c>
      <c r="E581" s="24" t="s">
        <v>14</v>
      </c>
      <c r="F581" s="34" t="s">
        <v>515</v>
      </c>
      <c r="G581" s="24"/>
      <c r="H581" s="22">
        <f>H582</f>
        <v>11342.300000000001</v>
      </c>
      <c r="I581" s="22">
        <f>I582</f>
        <v>8982.9</v>
      </c>
      <c r="J581" s="22">
        <f>J582</f>
        <v>7037.9</v>
      </c>
    </row>
    <row r="582" spans="2:10" s="57" customFormat="1" ht="29.25" customHeight="1" x14ac:dyDescent="0.2">
      <c r="B582" s="45" t="s">
        <v>516</v>
      </c>
      <c r="C582" s="24" t="s">
        <v>510</v>
      </c>
      <c r="D582" s="24" t="s">
        <v>367</v>
      </c>
      <c r="E582" s="24" t="s">
        <v>14</v>
      </c>
      <c r="F582" s="34" t="s">
        <v>517</v>
      </c>
      <c r="G582" s="24"/>
      <c r="H582" s="22">
        <f>H585+H589+H583+H591+H587</f>
        <v>11342.300000000001</v>
      </c>
      <c r="I582" s="22">
        <f>I585+I589+I583+I591+I587</f>
        <v>8982.9</v>
      </c>
      <c r="J582" s="22">
        <f>J585+J589+J583+J591+J587</f>
        <v>7037.9</v>
      </c>
    </row>
    <row r="583" spans="2:10" s="57" customFormat="1" ht="15" customHeight="1" x14ac:dyDescent="0.2">
      <c r="B583" s="125" t="s">
        <v>546</v>
      </c>
      <c r="C583" s="24" t="s">
        <v>510</v>
      </c>
      <c r="D583" s="24" t="s">
        <v>367</v>
      </c>
      <c r="E583" s="24" t="s">
        <v>14</v>
      </c>
      <c r="F583" s="34" t="s">
        <v>547</v>
      </c>
      <c r="G583" s="24"/>
      <c r="H583" s="22">
        <f>H584</f>
        <v>1000.2</v>
      </c>
      <c r="I583" s="22">
        <f>I584</f>
        <v>0</v>
      </c>
      <c r="J583" s="22">
        <f>J584</f>
        <v>0</v>
      </c>
    </row>
    <row r="584" spans="2:10" s="57" customFormat="1" ht="15" customHeight="1" x14ac:dyDescent="0.2">
      <c r="B584" s="71" t="s">
        <v>105</v>
      </c>
      <c r="C584" s="24" t="s">
        <v>510</v>
      </c>
      <c r="D584" s="24" t="s">
        <v>367</v>
      </c>
      <c r="E584" s="24" t="s">
        <v>14</v>
      </c>
      <c r="F584" s="34" t="s">
        <v>547</v>
      </c>
      <c r="G584" s="24" t="s">
        <v>106</v>
      </c>
      <c r="H584" s="22">
        <f>1000+0.2</f>
        <v>1000.2</v>
      </c>
      <c r="I584" s="22">
        <v>0</v>
      </c>
      <c r="J584" s="22">
        <v>0</v>
      </c>
    </row>
    <row r="585" spans="2:10" s="57" customFormat="1" ht="24.75" customHeight="1" x14ac:dyDescent="0.2">
      <c r="B585" s="119" t="s">
        <v>548</v>
      </c>
      <c r="C585" s="24" t="s">
        <v>510</v>
      </c>
      <c r="D585" s="24" t="s">
        <v>367</v>
      </c>
      <c r="E585" s="24" t="s">
        <v>14</v>
      </c>
      <c r="F585" s="34" t="s">
        <v>549</v>
      </c>
      <c r="G585" s="24"/>
      <c r="H585" s="22">
        <f>H586</f>
        <v>4592.7999999999993</v>
      </c>
      <c r="I585" s="22">
        <f>I586</f>
        <v>5561.3</v>
      </c>
      <c r="J585" s="22">
        <f>J586</f>
        <v>3616.2999999999997</v>
      </c>
    </row>
    <row r="586" spans="2:10" s="57" customFormat="1" ht="15" customHeight="1" x14ac:dyDescent="0.2">
      <c r="B586" s="71" t="s">
        <v>105</v>
      </c>
      <c r="C586" s="24" t="s">
        <v>510</v>
      </c>
      <c r="D586" s="24" t="s">
        <v>367</v>
      </c>
      <c r="E586" s="24" t="s">
        <v>14</v>
      </c>
      <c r="F586" s="34" t="s">
        <v>549</v>
      </c>
      <c r="G586" s="24" t="s">
        <v>106</v>
      </c>
      <c r="H586" s="22">
        <f>4591.9+0.9</f>
        <v>4592.7999999999993</v>
      </c>
      <c r="I586" s="22">
        <f>5560.2+1.1</f>
        <v>5561.3</v>
      </c>
      <c r="J586" s="22">
        <f>3615.6+0.7</f>
        <v>3616.2999999999997</v>
      </c>
    </row>
    <row r="587" spans="2:10" s="57" customFormat="1" ht="54.75" customHeight="1" x14ac:dyDescent="0.2">
      <c r="B587" s="77" t="s">
        <v>520</v>
      </c>
      <c r="C587" s="24" t="s">
        <v>510</v>
      </c>
      <c r="D587" s="24" t="s">
        <v>367</v>
      </c>
      <c r="E587" s="24" t="s">
        <v>14</v>
      </c>
      <c r="F587" s="121" t="s">
        <v>521</v>
      </c>
      <c r="G587" s="24"/>
      <c r="H587" s="120">
        <f>H588</f>
        <v>1385.6</v>
      </c>
      <c r="I587" s="120">
        <f>I588</f>
        <v>1385.6</v>
      </c>
      <c r="J587" s="120">
        <f>J588</f>
        <v>1385.6</v>
      </c>
    </row>
    <row r="588" spans="2:10" s="57" customFormat="1" ht="15" customHeight="1" x14ac:dyDescent="0.2">
      <c r="B588" s="71" t="s">
        <v>105</v>
      </c>
      <c r="C588" s="24" t="s">
        <v>510</v>
      </c>
      <c r="D588" s="24" t="s">
        <v>367</v>
      </c>
      <c r="E588" s="24" t="s">
        <v>14</v>
      </c>
      <c r="F588" s="121" t="s">
        <v>521</v>
      </c>
      <c r="G588" s="24" t="s">
        <v>106</v>
      </c>
      <c r="H588" s="120">
        <f>1108.5+277.1</f>
        <v>1385.6</v>
      </c>
      <c r="I588" s="120">
        <f>1108.5+277.1</f>
        <v>1385.6</v>
      </c>
      <c r="J588" s="120">
        <f>1108.5+277.1</f>
        <v>1385.6</v>
      </c>
    </row>
    <row r="589" spans="2:10" s="57" customFormat="1" ht="46.5" customHeight="1" x14ac:dyDescent="0.2">
      <c r="B589" s="126" t="s">
        <v>550</v>
      </c>
      <c r="C589" s="24" t="s">
        <v>510</v>
      </c>
      <c r="D589" s="24" t="s">
        <v>367</v>
      </c>
      <c r="E589" s="24" t="s">
        <v>14</v>
      </c>
      <c r="F589" s="34" t="s">
        <v>551</v>
      </c>
      <c r="G589" s="24"/>
      <c r="H589" s="22">
        <f>H590</f>
        <v>2866.9</v>
      </c>
      <c r="I589" s="22">
        <f>I590</f>
        <v>0</v>
      </c>
      <c r="J589" s="22">
        <f>J590</f>
        <v>0</v>
      </c>
    </row>
    <row r="590" spans="2:10" s="57" customFormat="1" ht="15" customHeight="1" x14ac:dyDescent="0.2">
      <c r="B590" s="127" t="s">
        <v>105</v>
      </c>
      <c r="C590" s="24" t="s">
        <v>510</v>
      </c>
      <c r="D590" s="24" t="s">
        <v>367</v>
      </c>
      <c r="E590" s="24" t="s">
        <v>14</v>
      </c>
      <c r="F590" s="34" t="s">
        <v>551</v>
      </c>
      <c r="G590" s="24" t="s">
        <v>106</v>
      </c>
      <c r="H590" s="22">
        <f>2866.3+0.6</f>
        <v>2866.9</v>
      </c>
      <c r="I590" s="22">
        <v>0</v>
      </c>
      <c r="J590" s="22">
        <v>0</v>
      </c>
    </row>
    <row r="591" spans="2:10" s="57" customFormat="1" ht="43.5" customHeight="1" x14ac:dyDescent="0.2">
      <c r="B591" s="77" t="s">
        <v>552</v>
      </c>
      <c r="C591" s="24" t="s">
        <v>510</v>
      </c>
      <c r="D591" s="24" t="s">
        <v>367</v>
      </c>
      <c r="E591" s="24" t="s">
        <v>14</v>
      </c>
      <c r="F591" s="121" t="s">
        <v>553</v>
      </c>
      <c r="G591" s="24"/>
      <c r="H591" s="120">
        <f>H592</f>
        <v>1496.8000000000002</v>
      </c>
      <c r="I591" s="120">
        <f>I592</f>
        <v>2036</v>
      </c>
      <c r="J591" s="120">
        <f>J592</f>
        <v>2036</v>
      </c>
    </row>
    <row r="592" spans="2:10" s="57" customFormat="1" ht="15" customHeight="1" x14ac:dyDescent="0.2">
      <c r="B592" s="71" t="s">
        <v>105</v>
      </c>
      <c r="C592" s="24" t="s">
        <v>510</v>
      </c>
      <c r="D592" s="24" t="s">
        <v>367</v>
      </c>
      <c r="E592" s="24" t="s">
        <v>14</v>
      </c>
      <c r="F592" s="121" t="s">
        <v>553</v>
      </c>
      <c r="G592" s="24" t="s">
        <v>106</v>
      </c>
      <c r="H592" s="120">
        <f>1466.9+29.9</f>
        <v>1496.8000000000002</v>
      </c>
      <c r="I592" s="120">
        <f>1995.3+40.7</f>
        <v>2036</v>
      </c>
      <c r="J592" s="120">
        <f>1995.3+40.7</f>
        <v>2036</v>
      </c>
    </row>
    <row r="593" spans="2:11" s="57" customFormat="1" ht="18" customHeight="1" x14ac:dyDescent="0.2">
      <c r="B593" s="23" t="s">
        <v>17</v>
      </c>
      <c r="C593" s="24" t="s">
        <v>510</v>
      </c>
      <c r="D593" s="24" t="s">
        <v>367</v>
      </c>
      <c r="E593" s="24" t="s">
        <v>14</v>
      </c>
      <c r="F593" s="26" t="s">
        <v>211</v>
      </c>
      <c r="G593" s="24"/>
      <c r="H593" s="22">
        <f>H594+H601+H604</f>
        <v>191261.2</v>
      </c>
      <c r="I593" s="22">
        <f>I594+I601+I604</f>
        <v>188964</v>
      </c>
      <c r="J593" s="22">
        <f>J594+J601+J604</f>
        <v>188964</v>
      </c>
    </row>
    <row r="594" spans="2:11" s="57" customFormat="1" ht="26.25" customHeight="1" x14ac:dyDescent="0.2">
      <c r="B594" s="23" t="s">
        <v>522</v>
      </c>
      <c r="C594" s="24" t="s">
        <v>510</v>
      </c>
      <c r="D594" s="24" t="s">
        <v>367</v>
      </c>
      <c r="E594" s="24" t="s">
        <v>14</v>
      </c>
      <c r="F594" s="26" t="s">
        <v>523</v>
      </c>
      <c r="G594" s="24"/>
      <c r="H594" s="22">
        <f>H595+H597+H599</f>
        <v>187814.2</v>
      </c>
      <c r="I594" s="22">
        <f>I595+I597+I599</f>
        <v>185517</v>
      </c>
      <c r="J594" s="22">
        <f>J595+J597+J599</f>
        <v>185517</v>
      </c>
    </row>
    <row r="595" spans="2:11" s="57" customFormat="1" ht="27.75" customHeight="1" x14ac:dyDescent="0.2">
      <c r="B595" s="119" t="s">
        <v>524</v>
      </c>
      <c r="C595" s="24" t="s">
        <v>510</v>
      </c>
      <c r="D595" s="24" t="s">
        <v>367</v>
      </c>
      <c r="E595" s="24" t="s">
        <v>14</v>
      </c>
      <c r="F595" s="26" t="s">
        <v>525</v>
      </c>
      <c r="G595" s="24"/>
      <c r="H595" s="22">
        <f>H596</f>
        <v>129537.1</v>
      </c>
      <c r="I595" s="22">
        <f>I596</f>
        <v>126405.2</v>
      </c>
      <c r="J595" s="22">
        <f>J596</f>
        <v>126405.2</v>
      </c>
    </row>
    <row r="596" spans="2:11" s="57" customFormat="1" ht="14.25" customHeight="1" x14ac:dyDescent="0.2">
      <c r="B596" s="122" t="s">
        <v>105</v>
      </c>
      <c r="C596" s="24" t="s">
        <v>510</v>
      </c>
      <c r="D596" s="24" t="s">
        <v>367</v>
      </c>
      <c r="E596" s="24" t="s">
        <v>14</v>
      </c>
      <c r="F596" s="26" t="s">
        <v>525</v>
      </c>
      <c r="G596" s="24" t="s">
        <v>106</v>
      </c>
      <c r="H596" s="22">
        <v>129537.1</v>
      </c>
      <c r="I596" s="22">
        <v>126405.2</v>
      </c>
      <c r="J596" s="22">
        <v>126405.2</v>
      </c>
    </row>
    <row r="597" spans="2:11" s="57" customFormat="1" ht="14.25" customHeight="1" x14ac:dyDescent="0.2">
      <c r="B597" s="119" t="s">
        <v>526</v>
      </c>
      <c r="C597" s="24" t="s">
        <v>510</v>
      </c>
      <c r="D597" s="24" t="s">
        <v>367</v>
      </c>
      <c r="E597" s="24" t="s">
        <v>14</v>
      </c>
      <c r="F597" s="26" t="s">
        <v>554</v>
      </c>
      <c r="G597" s="24"/>
      <c r="H597" s="22">
        <f>H598</f>
        <v>56447.000000000007</v>
      </c>
      <c r="I597" s="22">
        <f>I598</f>
        <v>57281.700000000004</v>
      </c>
      <c r="J597" s="22">
        <f>J598</f>
        <v>57281.700000000004</v>
      </c>
    </row>
    <row r="598" spans="2:11" s="57" customFormat="1" ht="15.75" customHeight="1" x14ac:dyDescent="0.2">
      <c r="B598" s="122" t="s">
        <v>105</v>
      </c>
      <c r="C598" s="24" t="s">
        <v>510</v>
      </c>
      <c r="D598" s="24" t="s">
        <v>367</v>
      </c>
      <c r="E598" s="24" t="s">
        <v>14</v>
      </c>
      <c r="F598" s="26" t="s">
        <v>554</v>
      </c>
      <c r="G598" s="24" t="s">
        <v>106</v>
      </c>
      <c r="H598" s="22">
        <f>63111.8-1830.1-770-4064.7</f>
        <v>56447.000000000007</v>
      </c>
      <c r="I598" s="22">
        <f>63111.8-1830.1-4000</f>
        <v>57281.700000000004</v>
      </c>
      <c r="J598" s="22">
        <f>63111.8-1830.1-4000</f>
        <v>57281.700000000004</v>
      </c>
      <c r="K598" s="115"/>
    </row>
    <row r="599" spans="2:11" s="57" customFormat="1" ht="24.75" customHeight="1" x14ac:dyDescent="0.2">
      <c r="B599" s="53" t="s">
        <v>41</v>
      </c>
      <c r="C599" s="24" t="s">
        <v>510</v>
      </c>
      <c r="D599" s="24" t="s">
        <v>367</v>
      </c>
      <c r="E599" s="24" t="s">
        <v>14</v>
      </c>
      <c r="F599" s="26" t="s">
        <v>555</v>
      </c>
      <c r="G599" s="24"/>
      <c r="H599" s="22">
        <f>H600</f>
        <v>1830.1</v>
      </c>
      <c r="I599" s="22">
        <f>I600</f>
        <v>1830.1</v>
      </c>
      <c r="J599" s="22">
        <f>J600</f>
        <v>1830.1</v>
      </c>
    </row>
    <row r="600" spans="2:11" s="57" customFormat="1" ht="15.75" customHeight="1" x14ac:dyDescent="0.2">
      <c r="B600" s="53" t="s">
        <v>150</v>
      </c>
      <c r="C600" s="24" t="s">
        <v>510</v>
      </c>
      <c r="D600" s="24" t="s">
        <v>367</v>
      </c>
      <c r="E600" s="24" t="s">
        <v>14</v>
      </c>
      <c r="F600" s="26" t="s">
        <v>555</v>
      </c>
      <c r="G600" s="24" t="s">
        <v>106</v>
      </c>
      <c r="H600" s="22">
        <v>1830.1</v>
      </c>
      <c r="I600" s="22">
        <v>1830.1</v>
      </c>
      <c r="J600" s="22">
        <v>1830.1</v>
      </c>
    </row>
    <row r="601" spans="2:11" s="57" customFormat="1" ht="23.25" customHeight="1" x14ac:dyDescent="0.2">
      <c r="B601" s="23" t="s">
        <v>556</v>
      </c>
      <c r="C601" s="24" t="s">
        <v>510</v>
      </c>
      <c r="D601" s="24" t="s">
        <v>367</v>
      </c>
      <c r="E601" s="24" t="s">
        <v>14</v>
      </c>
      <c r="F601" s="26" t="s">
        <v>557</v>
      </c>
      <c r="G601" s="24"/>
      <c r="H601" s="22">
        <f t="shared" ref="H601:J602" si="73">H602</f>
        <v>3397</v>
      </c>
      <c r="I601" s="22">
        <f t="shared" si="73"/>
        <v>3397</v>
      </c>
      <c r="J601" s="22">
        <f t="shared" si="73"/>
        <v>3397</v>
      </c>
    </row>
    <row r="602" spans="2:11" s="57" customFormat="1" ht="39" customHeight="1" x14ac:dyDescent="0.2">
      <c r="B602" s="122" t="s">
        <v>558</v>
      </c>
      <c r="C602" s="24" t="s">
        <v>510</v>
      </c>
      <c r="D602" s="24" t="s">
        <v>367</v>
      </c>
      <c r="E602" s="24" t="s">
        <v>14</v>
      </c>
      <c r="F602" s="26" t="s">
        <v>559</v>
      </c>
      <c r="G602" s="24"/>
      <c r="H602" s="22">
        <f t="shared" si="73"/>
        <v>3397</v>
      </c>
      <c r="I602" s="22">
        <f t="shared" si="73"/>
        <v>3397</v>
      </c>
      <c r="J602" s="22">
        <f t="shared" si="73"/>
        <v>3397</v>
      </c>
    </row>
    <row r="603" spans="2:11" s="57" customFormat="1" ht="14.25" customHeight="1" x14ac:dyDescent="0.2">
      <c r="B603" s="128" t="s">
        <v>105</v>
      </c>
      <c r="C603" s="24" t="s">
        <v>510</v>
      </c>
      <c r="D603" s="24" t="s">
        <v>367</v>
      </c>
      <c r="E603" s="24" t="s">
        <v>14</v>
      </c>
      <c r="F603" s="26" t="s">
        <v>559</v>
      </c>
      <c r="G603" s="24" t="s">
        <v>106</v>
      </c>
      <c r="H603" s="22">
        <v>3397</v>
      </c>
      <c r="I603" s="22">
        <v>3397</v>
      </c>
      <c r="J603" s="22">
        <v>3397</v>
      </c>
    </row>
    <row r="604" spans="2:11" s="57" customFormat="1" ht="27.75" customHeight="1" x14ac:dyDescent="0.2">
      <c r="B604" s="23" t="s">
        <v>560</v>
      </c>
      <c r="C604" s="24" t="s">
        <v>510</v>
      </c>
      <c r="D604" s="24" t="s">
        <v>367</v>
      </c>
      <c r="E604" s="24" t="s">
        <v>14</v>
      </c>
      <c r="F604" s="74" t="s">
        <v>561</v>
      </c>
      <c r="G604" s="24"/>
      <c r="H604" s="22">
        <f t="shared" ref="H604:J605" si="74">H605</f>
        <v>50</v>
      </c>
      <c r="I604" s="22">
        <f t="shared" si="74"/>
        <v>50</v>
      </c>
      <c r="J604" s="22">
        <f t="shared" si="74"/>
        <v>50</v>
      </c>
    </row>
    <row r="605" spans="2:11" s="57" customFormat="1" ht="27.75" customHeight="1" x14ac:dyDescent="0.2">
      <c r="B605" s="23" t="s">
        <v>562</v>
      </c>
      <c r="C605" s="24" t="s">
        <v>510</v>
      </c>
      <c r="D605" s="24" t="s">
        <v>367</v>
      </c>
      <c r="E605" s="24" t="s">
        <v>14</v>
      </c>
      <c r="F605" s="74" t="s">
        <v>563</v>
      </c>
      <c r="G605" s="24"/>
      <c r="H605" s="22">
        <f t="shared" si="74"/>
        <v>50</v>
      </c>
      <c r="I605" s="22">
        <f t="shared" si="74"/>
        <v>50</v>
      </c>
      <c r="J605" s="22">
        <f t="shared" si="74"/>
        <v>50</v>
      </c>
    </row>
    <row r="606" spans="2:11" s="57" customFormat="1" ht="14.25" customHeight="1" x14ac:dyDescent="0.2">
      <c r="B606" s="122" t="s">
        <v>105</v>
      </c>
      <c r="C606" s="24" t="s">
        <v>510</v>
      </c>
      <c r="D606" s="24" t="s">
        <v>367</v>
      </c>
      <c r="E606" s="24" t="s">
        <v>14</v>
      </c>
      <c r="F606" s="74" t="s">
        <v>563</v>
      </c>
      <c r="G606" s="24" t="s">
        <v>106</v>
      </c>
      <c r="H606" s="22">
        <v>50</v>
      </c>
      <c r="I606" s="22">
        <v>50</v>
      </c>
      <c r="J606" s="22">
        <v>50</v>
      </c>
    </row>
    <row r="607" spans="2:11" s="80" customFormat="1" ht="13.5" customHeight="1" x14ac:dyDescent="0.2">
      <c r="B607" s="99" t="s">
        <v>368</v>
      </c>
      <c r="C607" s="18" t="s">
        <v>510</v>
      </c>
      <c r="D607" s="18" t="s">
        <v>367</v>
      </c>
      <c r="E607" s="18" t="s">
        <v>167</v>
      </c>
      <c r="F607" s="76"/>
      <c r="G607" s="18"/>
      <c r="H607" s="19">
        <f>H608</f>
        <v>22051.9</v>
      </c>
      <c r="I607" s="19">
        <f>I608</f>
        <v>19503.900000000001</v>
      </c>
      <c r="J607" s="19">
        <f>J608</f>
        <v>19503.900000000001</v>
      </c>
    </row>
    <row r="608" spans="2:11" s="129" customFormat="1" ht="24.75" customHeight="1" x14ac:dyDescent="0.2">
      <c r="B608" s="53" t="s">
        <v>209</v>
      </c>
      <c r="C608" s="24" t="s">
        <v>510</v>
      </c>
      <c r="D608" s="24" t="s">
        <v>367</v>
      </c>
      <c r="E608" s="24" t="s">
        <v>167</v>
      </c>
      <c r="F608" s="26" t="s">
        <v>210</v>
      </c>
      <c r="G608" s="24"/>
      <c r="H608" s="22">
        <f>H609+H613</f>
        <v>22051.9</v>
      </c>
      <c r="I608" s="22">
        <f>I609+I613</f>
        <v>19503.900000000001</v>
      </c>
      <c r="J608" s="22">
        <f>J609+J613</f>
        <v>19503.900000000001</v>
      </c>
    </row>
    <row r="609" spans="2:11" s="129" customFormat="1" ht="18.75" customHeight="1" x14ac:dyDescent="0.2">
      <c r="B609" s="119" t="s">
        <v>49</v>
      </c>
      <c r="C609" s="24" t="s">
        <v>510</v>
      </c>
      <c r="D609" s="24" t="s">
        <v>367</v>
      </c>
      <c r="E609" s="24" t="s">
        <v>167</v>
      </c>
      <c r="F609" s="26" t="s">
        <v>515</v>
      </c>
      <c r="G609" s="24"/>
      <c r="H609" s="22">
        <f t="shared" ref="H609:J611" si="75">H610</f>
        <v>1139.2</v>
      </c>
      <c r="I609" s="22">
        <f t="shared" si="75"/>
        <v>1139.2</v>
      </c>
      <c r="J609" s="22">
        <f t="shared" si="75"/>
        <v>1139.2</v>
      </c>
    </row>
    <row r="610" spans="2:11" s="129" customFormat="1" ht="28.5" customHeight="1" x14ac:dyDescent="0.2">
      <c r="B610" s="77" t="s">
        <v>564</v>
      </c>
      <c r="C610" s="24" t="s">
        <v>510</v>
      </c>
      <c r="D610" s="24" t="s">
        <v>367</v>
      </c>
      <c r="E610" s="24" t="s">
        <v>167</v>
      </c>
      <c r="F610" s="121" t="s">
        <v>565</v>
      </c>
      <c r="G610" s="24"/>
      <c r="H610" s="22">
        <f t="shared" si="75"/>
        <v>1139.2</v>
      </c>
      <c r="I610" s="22">
        <f t="shared" si="75"/>
        <v>1139.2</v>
      </c>
      <c r="J610" s="22">
        <f t="shared" si="75"/>
        <v>1139.2</v>
      </c>
    </row>
    <row r="611" spans="2:11" s="129" customFormat="1" ht="27" customHeight="1" x14ac:dyDescent="0.2">
      <c r="B611" s="77" t="s">
        <v>566</v>
      </c>
      <c r="C611" s="24" t="s">
        <v>510</v>
      </c>
      <c r="D611" s="24" t="s">
        <v>367</v>
      </c>
      <c r="E611" s="24" t="s">
        <v>167</v>
      </c>
      <c r="F611" s="121" t="s">
        <v>567</v>
      </c>
      <c r="G611" s="24"/>
      <c r="H611" s="22">
        <f t="shared" si="75"/>
        <v>1139.2</v>
      </c>
      <c r="I611" s="22">
        <f t="shared" si="75"/>
        <v>1139.2</v>
      </c>
      <c r="J611" s="22">
        <f t="shared" si="75"/>
        <v>1139.2</v>
      </c>
    </row>
    <row r="612" spans="2:11" s="129" customFormat="1" ht="14.25" customHeight="1" x14ac:dyDescent="0.2">
      <c r="B612" s="71" t="s">
        <v>105</v>
      </c>
      <c r="C612" s="24" t="s">
        <v>510</v>
      </c>
      <c r="D612" s="24" t="s">
        <v>367</v>
      </c>
      <c r="E612" s="24" t="s">
        <v>167</v>
      </c>
      <c r="F612" s="121" t="s">
        <v>567</v>
      </c>
      <c r="G612" s="24" t="s">
        <v>106</v>
      </c>
      <c r="H612" s="120">
        <f>569.6+569.6</f>
        <v>1139.2</v>
      </c>
      <c r="I612" s="120">
        <f>569.6+569.6</f>
        <v>1139.2</v>
      </c>
      <c r="J612" s="120">
        <f>569.6+569.6</f>
        <v>1139.2</v>
      </c>
    </row>
    <row r="613" spans="2:11" s="129" customFormat="1" ht="14.25" customHeight="1" x14ac:dyDescent="0.2">
      <c r="B613" s="71" t="s">
        <v>57</v>
      </c>
      <c r="C613" s="24" t="s">
        <v>510</v>
      </c>
      <c r="D613" s="24" t="s">
        <v>367</v>
      </c>
      <c r="E613" s="24" t="s">
        <v>167</v>
      </c>
      <c r="F613" s="121" t="s">
        <v>211</v>
      </c>
      <c r="G613" s="24"/>
      <c r="H613" s="120">
        <f>H619+H614</f>
        <v>20912.7</v>
      </c>
      <c r="I613" s="120">
        <f>I619+I614</f>
        <v>18364.7</v>
      </c>
      <c r="J613" s="120">
        <f>J619+J614</f>
        <v>18364.7</v>
      </c>
    </row>
    <row r="614" spans="2:11" s="129" customFormat="1" ht="27.75" customHeight="1" x14ac:dyDescent="0.2">
      <c r="B614" s="23" t="s">
        <v>522</v>
      </c>
      <c r="C614" s="24" t="s">
        <v>510</v>
      </c>
      <c r="D614" s="24" t="s">
        <v>367</v>
      </c>
      <c r="E614" s="24" t="s">
        <v>167</v>
      </c>
      <c r="F614" s="121" t="s">
        <v>523</v>
      </c>
      <c r="G614" s="24"/>
      <c r="H614" s="120">
        <f>H615+H617</f>
        <v>20862.7</v>
      </c>
      <c r="I614" s="120">
        <f>I615+I617</f>
        <v>18314.7</v>
      </c>
      <c r="J614" s="120">
        <f>J615+J617</f>
        <v>18314.7</v>
      </c>
    </row>
    <row r="615" spans="2:11" s="129" customFormat="1" ht="14.25" customHeight="1" x14ac:dyDescent="0.2">
      <c r="B615" s="23" t="s">
        <v>568</v>
      </c>
      <c r="C615" s="24" t="s">
        <v>510</v>
      </c>
      <c r="D615" s="24" t="s">
        <v>367</v>
      </c>
      <c r="E615" s="24" t="s">
        <v>167</v>
      </c>
      <c r="F615" s="34" t="s">
        <v>569</v>
      </c>
      <c r="G615" s="51"/>
      <c r="H615" s="22">
        <f>H616</f>
        <v>17562.7</v>
      </c>
      <c r="I615" s="22">
        <f>I616</f>
        <v>18314.7</v>
      </c>
      <c r="J615" s="22">
        <f>J616</f>
        <v>18314.7</v>
      </c>
    </row>
    <row r="616" spans="2:11" s="129" customFormat="1" ht="14.25" customHeight="1" x14ac:dyDescent="0.2">
      <c r="B616" s="122" t="s">
        <v>105</v>
      </c>
      <c r="C616" s="24" t="s">
        <v>510</v>
      </c>
      <c r="D616" s="24" t="s">
        <v>367</v>
      </c>
      <c r="E616" s="24" t="s">
        <v>167</v>
      </c>
      <c r="F616" s="34" t="s">
        <v>569</v>
      </c>
      <c r="G616" s="51" t="s">
        <v>106</v>
      </c>
      <c r="H616" s="22">
        <f>18314.7-280-472</f>
        <v>17562.7</v>
      </c>
      <c r="I616" s="22">
        <f>18314.7</f>
        <v>18314.7</v>
      </c>
      <c r="J616" s="22">
        <f>18314.7</f>
        <v>18314.7</v>
      </c>
      <c r="K616" s="115"/>
    </row>
    <row r="617" spans="2:11" s="129" customFormat="1" ht="28.5" customHeight="1" x14ac:dyDescent="0.2">
      <c r="B617" s="23" t="s">
        <v>570</v>
      </c>
      <c r="C617" s="24" t="s">
        <v>510</v>
      </c>
      <c r="D617" s="24" t="s">
        <v>367</v>
      </c>
      <c r="E617" s="24" t="s">
        <v>167</v>
      </c>
      <c r="F617" s="34" t="s">
        <v>571</v>
      </c>
      <c r="G617" s="51"/>
      <c r="H617" s="22">
        <f>H618</f>
        <v>3300</v>
      </c>
      <c r="I617" s="22">
        <f>I618</f>
        <v>0</v>
      </c>
      <c r="J617" s="22">
        <f>J618</f>
        <v>0</v>
      </c>
    </row>
    <row r="618" spans="2:11" s="129" customFormat="1" ht="19.5" customHeight="1" x14ac:dyDescent="0.2">
      <c r="B618" s="122" t="s">
        <v>105</v>
      </c>
      <c r="C618" s="24" t="s">
        <v>510</v>
      </c>
      <c r="D618" s="24" t="s">
        <v>367</v>
      </c>
      <c r="E618" s="24" t="s">
        <v>167</v>
      </c>
      <c r="F618" s="34" t="s">
        <v>571</v>
      </c>
      <c r="G618" s="51" t="s">
        <v>106</v>
      </c>
      <c r="H618" s="22">
        <v>3300</v>
      </c>
      <c r="I618" s="22">
        <v>0</v>
      </c>
      <c r="J618" s="61">
        <v>0</v>
      </c>
    </row>
    <row r="619" spans="2:11" s="129" customFormat="1" ht="27.75" customHeight="1" x14ac:dyDescent="0.2">
      <c r="B619" s="23" t="s">
        <v>560</v>
      </c>
      <c r="C619" s="24" t="s">
        <v>510</v>
      </c>
      <c r="D619" s="24" t="s">
        <v>367</v>
      </c>
      <c r="E619" s="24" t="s">
        <v>167</v>
      </c>
      <c r="F619" s="121" t="s">
        <v>561</v>
      </c>
      <c r="G619" s="24"/>
      <c r="H619" s="120">
        <f t="shared" ref="H619:J620" si="76">H620</f>
        <v>50</v>
      </c>
      <c r="I619" s="120">
        <f t="shared" si="76"/>
        <v>50</v>
      </c>
      <c r="J619" s="120">
        <f t="shared" si="76"/>
        <v>50</v>
      </c>
    </row>
    <row r="620" spans="2:11" s="129" customFormat="1" ht="28.5" customHeight="1" x14ac:dyDescent="0.2">
      <c r="B620" s="23" t="s">
        <v>562</v>
      </c>
      <c r="C620" s="24" t="s">
        <v>510</v>
      </c>
      <c r="D620" s="24" t="s">
        <v>367</v>
      </c>
      <c r="E620" s="24" t="s">
        <v>167</v>
      </c>
      <c r="F620" s="121" t="s">
        <v>563</v>
      </c>
      <c r="G620" s="24"/>
      <c r="H620" s="120">
        <f t="shared" si="76"/>
        <v>50</v>
      </c>
      <c r="I620" s="120">
        <f t="shared" si="76"/>
        <v>50</v>
      </c>
      <c r="J620" s="120">
        <f t="shared" si="76"/>
        <v>50</v>
      </c>
    </row>
    <row r="621" spans="2:11" s="129" customFormat="1" ht="14.25" customHeight="1" x14ac:dyDescent="0.2">
      <c r="B621" s="71" t="s">
        <v>105</v>
      </c>
      <c r="C621" s="24" t="s">
        <v>510</v>
      </c>
      <c r="D621" s="24" t="s">
        <v>367</v>
      </c>
      <c r="E621" s="24" t="s">
        <v>167</v>
      </c>
      <c r="F621" s="121" t="s">
        <v>563</v>
      </c>
      <c r="G621" s="24" t="s">
        <v>106</v>
      </c>
      <c r="H621" s="22">
        <v>50</v>
      </c>
      <c r="I621" s="22">
        <v>50</v>
      </c>
      <c r="J621" s="22">
        <v>50</v>
      </c>
    </row>
    <row r="622" spans="2:11" s="64" customFormat="1" ht="13.5" customHeight="1" x14ac:dyDescent="0.2">
      <c r="B622" s="93" t="s">
        <v>572</v>
      </c>
      <c r="C622" s="18" t="s">
        <v>510</v>
      </c>
      <c r="D622" s="18" t="s">
        <v>367</v>
      </c>
      <c r="E622" s="18" t="s">
        <v>172</v>
      </c>
      <c r="F622" s="18"/>
      <c r="G622" s="18"/>
      <c r="H622" s="19">
        <f>H623+H633+H628</f>
        <v>5613.5</v>
      </c>
      <c r="I622" s="19">
        <f>I623+I633+I628</f>
        <v>5585.5</v>
      </c>
      <c r="J622" s="19">
        <f>J623+J633+J628</f>
        <v>5585.5</v>
      </c>
    </row>
    <row r="623" spans="2:11" s="57" customFormat="1" ht="38.25" hidden="1" x14ac:dyDescent="0.2">
      <c r="B623" s="23" t="s">
        <v>573</v>
      </c>
      <c r="C623" s="24" t="s">
        <v>510</v>
      </c>
      <c r="D623" s="24" t="s">
        <v>367</v>
      </c>
      <c r="E623" s="24" t="s">
        <v>172</v>
      </c>
      <c r="F623" s="26" t="s">
        <v>327</v>
      </c>
      <c r="G623" s="24"/>
      <c r="H623" s="22">
        <f t="shared" ref="H623:J624" si="77">H624</f>
        <v>0</v>
      </c>
      <c r="I623" s="22">
        <f t="shared" si="77"/>
        <v>0</v>
      </c>
      <c r="J623" s="22">
        <f t="shared" si="77"/>
        <v>0</v>
      </c>
    </row>
    <row r="624" spans="2:11" s="57" customFormat="1" ht="25.5" hidden="1" x14ac:dyDescent="0.2">
      <c r="B624" s="53" t="s">
        <v>574</v>
      </c>
      <c r="C624" s="24" t="s">
        <v>510</v>
      </c>
      <c r="D624" s="24" t="s">
        <v>367</v>
      </c>
      <c r="E624" s="24" t="s">
        <v>172</v>
      </c>
      <c r="F624" s="26" t="s">
        <v>575</v>
      </c>
      <c r="G624" s="24"/>
      <c r="H624" s="22">
        <f t="shared" si="77"/>
        <v>0</v>
      </c>
      <c r="I624" s="22">
        <f t="shared" si="77"/>
        <v>0</v>
      </c>
      <c r="J624" s="22">
        <f t="shared" si="77"/>
        <v>0</v>
      </c>
    </row>
    <row r="625" spans="2:10" s="57" customFormat="1" ht="29.25" hidden="1" customHeight="1" x14ac:dyDescent="0.2">
      <c r="B625" s="44" t="s">
        <v>576</v>
      </c>
      <c r="C625" s="24" t="s">
        <v>510</v>
      </c>
      <c r="D625" s="24" t="s">
        <v>367</v>
      </c>
      <c r="E625" s="24" t="s">
        <v>172</v>
      </c>
      <c r="F625" s="26" t="s">
        <v>577</v>
      </c>
      <c r="G625" s="24"/>
      <c r="H625" s="22">
        <f>H626+H627</f>
        <v>0</v>
      </c>
      <c r="I625" s="22">
        <f>I626+I627</f>
        <v>0</v>
      </c>
      <c r="J625" s="22">
        <f>J626+J627</f>
        <v>0</v>
      </c>
    </row>
    <row r="626" spans="2:10" s="57" customFormat="1" ht="25.5" hidden="1" x14ac:dyDescent="0.2">
      <c r="B626" s="44" t="s">
        <v>35</v>
      </c>
      <c r="C626" s="24" t="s">
        <v>510</v>
      </c>
      <c r="D626" s="24" t="s">
        <v>367</v>
      </c>
      <c r="E626" s="24" t="s">
        <v>172</v>
      </c>
      <c r="F626" s="26" t="s">
        <v>577</v>
      </c>
      <c r="G626" s="24" t="s">
        <v>36</v>
      </c>
      <c r="H626" s="22"/>
      <c r="I626" s="22"/>
      <c r="J626" s="22"/>
    </row>
    <row r="627" spans="2:10" s="57" customFormat="1" ht="17.25" hidden="1" customHeight="1" x14ac:dyDescent="0.2">
      <c r="B627" s="53" t="s">
        <v>105</v>
      </c>
      <c r="C627" s="24" t="s">
        <v>510</v>
      </c>
      <c r="D627" s="24" t="s">
        <v>367</v>
      </c>
      <c r="E627" s="24" t="s">
        <v>172</v>
      </c>
      <c r="F627" s="26" t="s">
        <v>577</v>
      </c>
      <c r="G627" s="24" t="s">
        <v>106</v>
      </c>
      <c r="H627" s="22">
        <v>0</v>
      </c>
      <c r="I627" s="22">
        <v>0</v>
      </c>
      <c r="J627" s="22">
        <v>0</v>
      </c>
    </row>
    <row r="628" spans="2:10" s="57" customFormat="1" ht="25.5" hidden="1" x14ac:dyDescent="0.2">
      <c r="B628" s="35" t="s">
        <v>15</v>
      </c>
      <c r="C628" s="24" t="s">
        <v>510</v>
      </c>
      <c r="D628" s="24" t="s">
        <v>367</v>
      </c>
      <c r="E628" s="24" t="s">
        <v>172</v>
      </c>
      <c r="F628" s="24" t="s">
        <v>144</v>
      </c>
      <c r="G628" s="24"/>
      <c r="H628" s="22">
        <f t="shared" ref="H628:J631" si="78">H629</f>
        <v>0</v>
      </c>
      <c r="I628" s="22">
        <f t="shared" si="78"/>
        <v>0</v>
      </c>
      <c r="J628" s="22">
        <f t="shared" si="78"/>
        <v>0</v>
      </c>
    </row>
    <row r="629" spans="2:10" s="57" customFormat="1" ht="38.25" hidden="1" x14ac:dyDescent="0.2">
      <c r="B629" s="35" t="s">
        <v>578</v>
      </c>
      <c r="C629" s="24" t="s">
        <v>510</v>
      </c>
      <c r="D629" s="24" t="s">
        <v>367</v>
      </c>
      <c r="E629" s="24" t="s">
        <v>172</v>
      </c>
      <c r="F629" s="24" t="s">
        <v>153</v>
      </c>
      <c r="G629" s="24"/>
      <c r="H629" s="22">
        <f t="shared" si="78"/>
        <v>0</v>
      </c>
      <c r="I629" s="22">
        <f t="shared" si="78"/>
        <v>0</v>
      </c>
      <c r="J629" s="22">
        <f t="shared" si="78"/>
        <v>0</v>
      </c>
    </row>
    <row r="630" spans="2:10" s="57" customFormat="1" ht="25.5" hidden="1" x14ac:dyDescent="0.2">
      <c r="B630" s="23" t="s">
        <v>579</v>
      </c>
      <c r="C630" s="24" t="s">
        <v>510</v>
      </c>
      <c r="D630" s="24" t="s">
        <v>367</v>
      </c>
      <c r="E630" s="24" t="s">
        <v>172</v>
      </c>
      <c r="F630" s="24" t="s">
        <v>370</v>
      </c>
      <c r="G630" s="24"/>
      <c r="H630" s="22">
        <f t="shared" si="78"/>
        <v>0</v>
      </c>
      <c r="I630" s="22">
        <f t="shared" si="78"/>
        <v>0</v>
      </c>
      <c r="J630" s="22">
        <f t="shared" si="78"/>
        <v>0</v>
      </c>
    </row>
    <row r="631" spans="2:10" s="57" customFormat="1" ht="114.75" hidden="1" x14ac:dyDescent="0.2">
      <c r="B631" s="130" t="s">
        <v>580</v>
      </c>
      <c r="C631" s="24" t="s">
        <v>510</v>
      </c>
      <c r="D631" s="24" t="s">
        <v>367</v>
      </c>
      <c r="E631" s="24" t="s">
        <v>172</v>
      </c>
      <c r="F631" s="26" t="s">
        <v>581</v>
      </c>
      <c r="G631" s="24"/>
      <c r="H631" s="22">
        <f t="shared" si="78"/>
        <v>0</v>
      </c>
      <c r="I631" s="22">
        <f t="shared" si="78"/>
        <v>0</v>
      </c>
      <c r="J631" s="22">
        <f t="shared" si="78"/>
        <v>0</v>
      </c>
    </row>
    <row r="632" spans="2:10" s="57" customFormat="1" ht="25.5" hidden="1" x14ac:dyDescent="0.2">
      <c r="B632" s="130" t="s">
        <v>23</v>
      </c>
      <c r="C632" s="24" t="s">
        <v>510</v>
      </c>
      <c r="D632" s="24" t="s">
        <v>367</v>
      </c>
      <c r="E632" s="24" t="s">
        <v>172</v>
      </c>
      <c r="F632" s="26" t="s">
        <v>581</v>
      </c>
      <c r="G632" s="24" t="s">
        <v>24</v>
      </c>
      <c r="H632" s="22"/>
      <c r="I632" s="22"/>
      <c r="J632" s="22"/>
    </row>
    <row r="633" spans="2:10" s="57" customFormat="1" ht="25.5" x14ac:dyDescent="0.2">
      <c r="B633" s="53" t="s">
        <v>209</v>
      </c>
      <c r="C633" s="24" t="s">
        <v>510</v>
      </c>
      <c r="D633" s="24" t="s">
        <v>367</v>
      </c>
      <c r="E633" s="24" t="s">
        <v>172</v>
      </c>
      <c r="F633" s="26" t="s">
        <v>210</v>
      </c>
      <c r="G633" s="24"/>
      <c r="H633" s="22">
        <f>H634</f>
        <v>5613.5</v>
      </c>
      <c r="I633" s="22">
        <f>I634</f>
        <v>5585.5</v>
      </c>
      <c r="J633" s="22">
        <f>J634</f>
        <v>5585.5</v>
      </c>
    </row>
    <row r="634" spans="2:10" s="57" customFormat="1" x14ac:dyDescent="0.2">
      <c r="B634" s="71" t="s">
        <v>57</v>
      </c>
      <c r="C634" s="24" t="s">
        <v>510</v>
      </c>
      <c r="D634" s="24" t="s">
        <v>367</v>
      </c>
      <c r="E634" s="24" t="s">
        <v>172</v>
      </c>
      <c r="F634" s="121" t="s">
        <v>211</v>
      </c>
      <c r="G634" s="24"/>
      <c r="H634" s="120">
        <f>H635+H641</f>
        <v>5613.5</v>
      </c>
      <c r="I634" s="120">
        <f>I635+I641</f>
        <v>5585.5</v>
      </c>
      <c r="J634" s="120">
        <f>J635+J641</f>
        <v>5585.5</v>
      </c>
    </row>
    <row r="635" spans="2:10" s="57" customFormat="1" ht="29.25" customHeight="1" x14ac:dyDescent="0.2">
      <c r="B635" s="23" t="s">
        <v>560</v>
      </c>
      <c r="C635" s="24" t="s">
        <v>510</v>
      </c>
      <c r="D635" s="24" t="s">
        <v>367</v>
      </c>
      <c r="E635" s="24" t="s">
        <v>172</v>
      </c>
      <c r="F635" s="121" t="s">
        <v>561</v>
      </c>
      <c r="G635" s="24"/>
      <c r="H635" s="120">
        <f>H636+H639</f>
        <v>782.5</v>
      </c>
      <c r="I635" s="120">
        <f>I636+I639</f>
        <v>782.5</v>
      </c>
      <c r="J635" s="120">
        <f>J636+J639</f>
        <v>782.5</v>
      </c>
    </row>
    <row r="636" spans="2:10" s="57" customFormat="1" ht="25.5" x14ac:dyDescent="0.2">
      <c r="B636" s="23" t="s">
        <v>562</v>
      </c>
      <c r="C636" s="24" t="s">
        <v>510</v>
      </c>
      <c r="D636" s="24" t="s">
        <v>367</v>
      </c>
      <c r="E636" s="24" t="s">
        <v>172</v>
      </c>
      <c r="F636" s="121" t="s">
        <v>563</v>
      </c>
      <c r="G636" s="24"/>
      <c r="H636" s="120">
        <f>H637+H638</f>
        <v>282.5</v>
      </c>
      <c r="I636" s="120">
        <f>I637+I638</f>
        <v>282.5</v>
      </c>
      <c r="J636" s="120">
        <f>J637+J638</f>
        <v>282.5</v>
      </c>
    </row>
    <row r="637" spans="2:10" s="57" customFormat="1" ht="25.5" x14ac:dyDescent="0.2">
      <c r="B637" s="69" t="s">
        <v>23</v>
      </c>
      <c r="C637" s="24" t="s">
        <v>510</v>
      </c>
      <c r="D637" s="24" t="s">
        <v>367</v>
      </c>
      <c r="E637" s="24" t="s">
        <v>172</v>
      </c>
      <c r="F637" s="121" t="s">
        <v>563</v>
      </c>
      <c r="G637" s="24" t="s">
        <v>24</v>
      </c>
      <c r="H637" s="120">
        <v>62</v>
      </c>
      <c r="I637" s="120">
        <v>62</v>
      </c>
      <c r="J637" s="120">
        <v>62</v>
      </c>
    </row>
    <row r="638" spans="2:10" s="57" customFormat="1" ht="29.25" customHeight="1" x14ac:dyDescent="0.2">
      <c r="B638" s="69" t="s">
        <v>35</v>
      </c>
      <c r="C638" s="24" t="s">
        <v>510</v>
      </c>
      <c r="D638" s="24" t="s">
        <v>367</v>
      </c>
      <c r="E638" s="24" t="s">
        <v>172</v>
      </c>
      <c r="F638" s="121" t="s">
        <v>563</v>
      </c>
      <c r="G638" s="24" t="s">
        <v>36</v>
      </c>
      <c r="H638" s="22">
        <v>220.5</v>
      </c>
      <c r="I638" s="22">
        <v>220.5</v>
      </c>
      <c r="J638" s="22">
        <v>220.5</v>
      </c>
    </row>
    <row r="639" spans="2:10" s="129" customFormat="1" ht="14.25" customHeight="1" x14ac:dyDescent="0.2">
      <c r="B639" s="53" t="s">
        <v>582</v>
      </c>
      <c r="C639" s="24" t="s">
        <v>510</v>
      </c>
      <c r="D639" s="24" t="s">
        <v>367</v>
      </c>
      <c r="E639" s="24" t="s">
        <v>172</v>
      </c>
      <c r="F639" s="26" t="s">
        <v>583</v>
      </c>
      <c r="G639" s="131"/>
      <c r="H639" s="73">
        <f>H640</f>
        <v>500</v>
      </c>
      <c r="I639" s="73">
        <f>I640</f>
        <v>500</v>
      </c>
      <c r="J639" s="73">
        <f>J640</f>
        <v>500</v>
      </c>
    </row>
    <row r="640" spans="2:10" s="129" customFormat="1" ht="14.25" customHeight="1" x14ac:dyDescent="0.2">
      <c r="B640" s="122" t="s">
        <v>105</v>
      </c>
      <c r="C640" s="24" t="s">
        <v>510</v>
      </c>
      <c r="D640" s="24" t="s">
        <v>367</v>
      </c>
      <c r="E640" s="24" t="s">
        <v>172</v>
      </c>
      <c r="F640" s="26" t="s">
        <v>583</v>
      </c>
      <c r="G640" s="131" t="s">
        <v>106</v>
      </c>
      <c r="H640" s="73">
        <v>500</v>
      </c>
      <c r="I640" s="73">
        <v>500</v>
      </c>
      <c r="J640" s="73">
        <v>500</v>
      </c>
    </row>
    <row r="641" spans="2:10" s="57" customFormat="1" ht="25.5" x14ac:dyDescent="0.2">
      <c r="B641" s="23" t="s">
        <v>584</v>
      </c>
      <c r="C641" s="24" t="s">
        <v>510</v>
      </c>
      <c r="D641" s="24" t="s">
        <v>367</v>
      </c>
      <c r="E641" s="24" t="s">
        <v>172</v>
      </c>
      <c r="F641" s="34" t="s">
        <v>585</v>
      </c>
      <c r="G641" s="51"/>
      <c r="H641" s="22">
        <f>H642+H645</f>
        <v>4831</v>
      </c>
      <c r="I641" s="22">
        <f>I642+I645</f>
        <v>4803</v>
      </c>
      <c r="J641" s="22">
        <f>J642+J645</f>
        <v>4803</v>
      </c>
    </row>
    <row r="642" spans="2:10" s="57" customFormat="1" x14ac:dyDescent="0.2">
      <c r="B642" s="23" t="s">
        <v>586</v>
      </c>
      <c r="C642" s="24" t="s">
        <v>510</v>
      </c>
      <c r="D642" s="24" t="s">
        <v>367</v>
      </c>
      <c r="E642" s="24" t="s">
        <v>172</v>
      </c>
      <c r="F642" s="34" t="s">
        <v>587</v>
      </c>
      <c r="G642" s="51"/>
      <c r="H642" s="22">
        <f>H643+H644</f>
        <v>4631</v>
      </c>
      <c r="I642" s="22">
        <f>I643+I644</f>
        <v>4553</v>
      </c>
      <c r="J642" s="22">
        <f>J643+J644</f>
        <v>4553</v>
      </c>
    </row>
    <row r="643" spans="2:10" s="57" customFormat="1" ht="25.5" x14ac:dyDescent="0.2">
      <c r="B643" s="69" t="s">
        <v>23</v>
      </c>
      <c r="C643" s="24" t="s">
        <v>510</v>
      </c>
      <c r="D643" s="24" t="s">
        <v>367</v>
      </c>
      <c r="E643" s="24" t="s">
        <v>172</v>
      </c>
      <c r="F643" s="34" t="s">
        <v>587</v>
      </c>
      <c r="G643" s="51" t="s">
        <v>24</v>
      </c>
      <c r="H643" s="22">
        <f>2358.4+1812.6+22+78</f>
        <v>4271</v>
      </c>
      <c r="I643" s="22">
        <f>2358.4+1812.6+22</f>
        <v>4193</v>
      </c>
      <c r="J643" s="22">
        <f>2358.4+1812.6+22</f>
        <v>4193</v>
      </c>
    </row>
    <row r="644" spans="2:10" s="57" customFormat="1" ht="25.5" x14ac:dyDescent="0.2">
      <c r="B644" s="23" t="s">
        <v>35</v>
      </c>
      <c r="C644" s="24" t="s">
        <v>510</v>
      </c>
      <c r="D644" s="24" t="s">
        <v>367</v>
      </c>
      <c r="E644" s="24" t="s">
        <v>172</v>
      </c>
      <c r="F644" s="34" t="s">
        <v>587</v>
      </c>
      <c r="G644" s="51" t="s">
        <v>36</v>
      </c>
      <c r="H644" s="22">
        <v>360</v>
      </c>
      <c r="I644" s="22">
        <v>360</v>
      </c>
      <c r="J644" s="61">
        <v>360</v>
      </c>
    </row>
    <row r="645" spans="2:10" s="57" customFormat="1" ht="38.25" x14ac:dyDescent="0.2">
      <c r="B645" s="23" t="s">
        <v>588</v>
      </c>
      <c r="C645" s="24" t="s">
        <v>510</v>
      </c>
      <c r="D645" s="24" t="s">
        <v>367</v>
      </c>
      <c r="E645" s="24" t="s">
        <v>172</v>
      </c>
      <c r="F645" s="34" t="s">
        <v>589</v>
      </c>
      <c r="G645" s="51"/>
      <c r="H645" s="22">
        <f>H646</f>
        <v>200</v>
      </c>
      <c r="I645" s="22">
        <f>I646</f>
        <v>250</v>
      </c>
      <c r="J645" s="22">
        <f>J646</f>
        <v>250</v>
      </c>
    </row>
    <row r="646" spans="2:10" s="57" customFormat="1" ht="25.5" x14ac:dyDescent="0.2">
      <c r="B646" s="23" t="s">
        <v>35</v>
      </c>
      <c r="C646" s="24" t="s">
        <v>510</v>
      </c>
      <c r="D646" s="24" t="s">
        <v>367</v>
      </c>
      <c r="E646" s="24" t="s">
        <v>172</v>
      </c>
      <c r="F646" s="34" t="s">
        <v>589</v>
      </c>
      <c r="G646" s="51" t="s">
        <v>36</v>
      </c>
      <c r="H646" s="22">
        <f>250-50</f>
        <v>200</v>
      </c>
      <c r="I646" s="22">
        <v>250</v>
      </c>
      <c r="J646" s="61">
        <v>250</v>
      </c>
    </row>
    <row r="647" spans="2:10" s="20" customFormat="1" x14ac:dyDescent="0.2">
      <c r="B647" s="17" t="s">
        <v>400</v>
      </c>
      <c r="C647" s="18" t="s">
        <v>510</v>
      </c>
      <c r="D647" s="18" t="s">
        <v>401</v>
      </c>
      <c r="E647" s="18"/>
      <c r="F647" s="18"/>
      <c r="G647" s="18"/>
      <c r="H647" s="19">
        <f>H648+H654+H661</f>
        <v>2035.3</v>
      </c>
      <c r="I647" s="19">
        <f>I648+I654+I661</f>
        <v>1461.6</v>
      </c>
      <c r="J647" s="19">
        <f>J648+J654+J661</f>
        <v>1461.6</v>
      </c>
    </row>
    <row r="648" spans="2:10" s="20" customFormat="1" x14ac:dyDescent="0.2">
      <c r="B648" s="17" t="s">
        <v>407</v>
      </c>
      <c r="C648" s="18" t="s">
        <v>510</v>
      </c>
      <c r="D648" s="18" t="s">
        <v>401</v>
      </c>
      <c r="E648" s="18" t="s">
        <v>167</v>
      </c>
      <c r="F648" s="18"/>
      <c r="G648" s="18"/>
      <c r="H648" s="19">
        <f t="shared" ref="H648:J652" si="79">H649</f>
        <v>1461.6</v>
      </c>
      <c r="I648" s="19">
        <f t="shared" si="79"/>
        <v>1461.6</v>
      </c>
      <c r="J648" s="19">
        <f t="shared" si="79"/>
        <v>1461.6</v>
      </c>
    </row>
    <row r="649" spans="2:10" s="57" customFormat="1" ht="27.75" customHeight="1" x14ac:dyDescent="0.2">
      <c r="B649" s="53" t="s">
        <v>209</v>
      </c>
      <c r="C649" s="24" t="s">
        <v>510</v>
      </c>
      <c r="D649" s="24" t="s">
        <v>401</v>
      </c>
      <c r="E649" s="24" t="s">
        <v>167</v>
      </c>
      <c r="F649" s="26" t="s">
        <v>210</v>
      </c>
      <c r="G649" s="24"/>
      <c r="H649" s="22">
        <f t="shared" si="79"/>
        <v>1461.6</v>
      </c>
      <c r="I649" s="22">
        <f t="shared" si="79"/>
        <v>1461.6</v>
      </c>
      <c r="J649" s="22">
        <f t="shared" si="79"/>
        <v>1461.6</v>
      </c>
    </row>
    <row r="650" spans="2:10" s="57" customFormat="1" ht="15" customHeight="1" x14ac:dyDescent="0.2">
      <c r="B650" s="23" t="s">
        <v>17</v>
      </c>
      <c r="C650" s="24" t="s">
        <v>510</v>
      </c>
      <c r="D650" s="24" t="s">
        <v>401</v>
      </c>
      <c r="E650" s="24" t="s">
        <v>167</v>
      </c>
      <c r="F650" s="26" t="s">
        <v>211</v>
      </c>
      <c r="G650" s="24"/>
      <c r="H650" s="22">
        <f t="shared" si="79"/>
        <v>1461.6</v>
      </c>
      <c r="I650" s="22">
        <f t="shared" si="79"/>
        <v>1461.6</v>
      </c>
      <c r="J650" s="22">
        <f t="shared" si="79"/>
        <v>1461.6</v>
      </c>
    </row>
    <row r="651" spans="2:10" s="57" customFormat="1" ht="27" customHeight="1" x14ac:dyDescent="0.2">
      <c r="B651" s="36" t="s">
        <v>556</v>
      </c>
      <c r="C651" s="24" t="s">
        <v>510</v>
      </c>
      <c r="D651" s="24" t="s">
        <v>401</v>
      </c>
      <c r="E651" s="24" t="s">
        <v>167</v>
      </c>
      <c r="F651" s="74" t="s">
        <v>557</v>
      </c>
      <c r="G651" s="24"/>
      <c r="H651" s="22">
        <f t="shared" si="79"/>
        <v>1461.6</v>
      </c>
      <c r="I651" s="22">
        <f t="shared" si="79"/>
        <v>1461.6</v>
      </c>
      <c r="J651" s="22">
        <f t="shared" si="79"/>
        <v>1461.6</v>
      </c>
    </row>
    <row r="652" spans="2:10" s="57" customFormat="1" ht="36.75" customHeight="1" x14ac:dyDescent="0.2">
      <c r="B652" s="128" t="s">
        <v>558</v>
      </c>
      <c r="C652" s="24" t="s">
        <v>510</v>
      </c>
      <c r="D652" s="24" t="s">
        <v>401</v>
      </c>
      <c r="E652" s="24" t="s">
        <v>167</v>
      </c>
      <c r="F652" s="26" t="s">
        <v>559</v>
      </c>
      <c r="G652" s="24"/>
      <c r="H652" s="22">
        <f t="shared" si="79"/>
        <v>1461.6</v>
      </c>
      <c r="I652" s="22">
        <f t="shared" si="79"/>
        <v>1461.6</v>
      </c>
      <c r="J652" s="22">
        <f t="shared" si="79"/>
        <v>1461.6</v>
      </c>
    </row>
    <row r="653" spans="2:10" s="57" customFormat="1" ht="15" customHeight="1" x14ac:dyDescent="0.2">
      <c r="B653" s="53" t="s">
        <v>415</v>
      </c>
      <c r="C653" s="24" t="s">
        <v>510</v>
      </c>
      <c r="D653" s="24" t="s">
        <v>401</v>
      </c>
      <c r="E653" s="24" t="s">
        <v>167</v>
      </c>
      <c r="F653" s="26" t="s">
        <v>559</v>
      </c>
      <c r="G653" s="24" t="s">
        <v>406</v>
      </c>
      <c r="H653" s="22">
        <v>1461.6</v>
      </c>
      <c r="I653" s="22">
        <v>1461.6</v>
      </c>
      <c r="J653" s="22">
        <v>1461.6</v>
      </c>
    </row>
    <row r="654" spans="2:10" s="20" customFormat="1" hidden="1" x14ac:dyDescent="0.2">
      <c r="B654" s="117" t="s">
        <v>590</v>
      </c>
      <c r="C654" s="18" t="s">
        <v>510</v>
      </c>
      <c r="D654" s="18" t="s">
        <v>401</v>
      </c>
      <c r="E654" s="18" t="s">
        <v>27</v>
      </c>
      <c r="F654" s="18"/>
      <c r="G654" s="18"/>
      <c r="H654" s="19">
        <f t="shared" ref="H654:J657" si="80">H655</f>
        <v>0</v>
      </c>
      <c r="I654" s="19">
        <f t="shared" si="80"/>
        <v>0</v>
      </c>
      <c r="J654" s="19">
        <f t="shared" si="80"/>
        <v>0</v>
      </c>
    </row>
    <row r="655" spans="2:10" s="57" customFormat="1" ht="25.5" hidden="1" x14ac:dyDescent="0.2">
      <c r="B655" s="53" t="s">
        <v>209</v>
      </c>
      <c r="C655" s="24" t="s">
        <v>510</v>
      </c>
      <c r="D655" s="24" t="s">
        <v>401</v>
      </c>
      <c r="E655" s="24" t="s">
        <v>27</v>
      </c>
      <c r="F655" s="26" t="s">
        <v>64</v>
      </c>
      <c r="G655" s="24"/>
      <c r="H655" s="22">
        <f t="shared" si="80"/>
        <v>0</v>
      </c>
      <c r="I655" s="22">
        <f t="shared" si="80"/>
        <v>0</v>
      </c>
      <c r="J655" s="22">
        <f t="shared" si="80"/>
        <v>0</v>
      </c>
    </row>
    <row r="656" spans="2:10" s="57" customFormat="1" ht="25.5" hidden="1" x14ac:dyDescent="0.2">
      <c r="B656" s="23" t="s">
        <v>591</v>
      </c>
      <c r="C656" s="24" t="s">
        <v>510</v>
      </c>
      <c r="D656" s="24" t="s">
        <v>401</v>
      </c>
      <c r="E656" s="24" t="s">
        <v>27</v>
      </c>
      <c r="F656" s="26" t="s">
        <v>592</v>
      </c>
      <c r="G656" s="24"/>
      <c r="H656" s="22">
        <f t="shared" si="80"/>
        <v>0</v>
      </c>
      <c r="I656" s="22">
        <f t="shared" si="80"/>
        <v>0</v>
      </c>
      <c r="J656" s="22">
        <f t="shared" si="80"/>
        <v>0</v>
      </c>
    </row>
    <row r="657" spans="2:10" s="57" customFormat="1" ht="38.25" hidden="1" x14ac:dyDescent="0.2">
      <c r="B657" s="54" t="s">
        <v>593</v>
      </c>
      <c r="C657" s="24" t="s">
        <v>510</v>
      </c>
      <c r="D657" s="24" t="s">
        <v>401</v>
      </c>
      <c r="E657" s="24" t="s">
        <v>27</v>
      </c>
      <c r="F657" s="26" t="s">
        <v>594</v>
      </c>
      <c r="G657" s="24"/>
      <c r="H657" s="22">
        <f t="shared" si="80"/>
        <v>0</v>
      </c>
      <c r="I657" s="22">
        <f t="shared" si="80"/>
        <v>0</v>
      </c>
      <c r="J657" s="22">
        <f t="shared" si="80"/>
        <v>0</v>
      </c>
    </row>
    <row r="658" spans="2:10" s="57" customFormat="1" ht="54" hidden="1" customHeight="1" x14ac:dyDescent="0.2">
      <c r="B658" s="42" t="s">
        <v>595</v>
      </c>
      <c r="C658" s="24" t="s">
        <v>510</v>
      </c>
      <c r="D658" s="24" t="s">
        <v>401</v>
      </c>
      <c r="E658" s="24" t="s">
        <v>27</v>
      </c>
      <c r="F658" s="26" t="s">
        <v>596</v>
      </c>
      <c r="G658" s="24"/>
      <c r="H658" s="22">
        <f>H660+H659</f>
        <v>0</v>
      </c>
      <c r="I658" s="22">
        <f>I660+I659</f>
        <v>0</v>
      </c>
      <c r="J658" s="22">
        <f>J660+J659</f>
        <v>0</v>
      </c>
    </row>
    <row r="659" spans="2:10" s="57" customFormat="1" ht="28.5" hidden="1" customHeight="1" x14ac:dyDescent="0.2">
      <c r="B659" s="44" t="s">
        <v>35</v>
      </c>
      <c r="C659" s="24" t="s">
        <v>510</v>
      </c>
      <c r="D659" s="24" t="s">
        <v>401</v>
      </c>
      <c r="E659" s="24" t="s">
        <v>27</v>
      </c>
      <c r="F659" s="26" t="s">
        <v>596</v>
      </c>
      <c r="G659" s="24" t="s">
        <v>36</v>
      </c>
      <c r="H659" s="22">
        <f>9-9</f>
        <v>0</v>
      </c>
      <c r="I659" s="22">
        <f>9-9</f>
        <v>0</v>
      </c>
      <c r="J659" s="22">
        <f>9-9</f>
        <v>0</v>
      </c>
    </row>
    <row r="660" spans="2:10" s="57" customFormat="1" ht="25.5" hidden="1" x14ac:dyDescent="0.2">
      <c r="B660" s="53" t="s">
        <v>410</v>
      </c>
      <c r="C660" s="24" t="s">
        <v>510</v>
      </c>
      <c r="D660" s="24" t="s">
        <v>401</v>
      </c>
      <c r="E660" s="24" t="s">
        <v>27</v>
      </c>
      <c r="F660" s="26" t="s">
        <v>596</v>
      </c>
      <c r="G660" s="24" t="s">
        <v>106</v>
      </c>
      <c r="H660" s="22"/>
      <c r="I660" s="22"/>
      <c r="J660" s="22"/>
    </row>
    <row r="661" spans="2:10" s="57" customFormat="1" x14ac:dyDescent="0.2">
      <c r="B661" s="132" t="s">
        <v>429</v>
      </c>
      <c r="C661" s="18" t="s">
        <v>510</v>
      </c>
      <c r="D661" s="110" t="s">
        <v>401</v>
      </c>
      <c r="E661" s="110" t="s">
        <v>348</v>
      </c>
      <c r="F661" s="26"/>
      <c r="G661" s="24"/>
      <c r="H661" s="19">
        <f t="shared" ref="H661:J665" si="81">H662</f>
        <v>573.70000000000005</v>
      </c>
      <c r="I661" s="19">
        <f t="shared" si="81"/>
        <v>0</v>
      </c>
      <c r="J661" s="19">
        <f t="shared" si="81"/>
        <v>0</v>
      </c>
    </row>
    <row r="662" spans="2:10" s="57" customFormat="1" ht="38.25" x14ac:dyDescent="0.2">
      <c r="B662" s="123" t="s">
        <v>28</v>
      </c>
      <c r="C662" s="24" t="s">
        <v>510</v>
      </c>
      <c r="D662" s="31" t="s">
        <v>401</v>
      </c>
      <c r="E662" s="31" t="s">
        <v>348</v>
      </c>
      <c r="F662" s="31" t="s">
        <v>29</v>
      </c>
      <c r="G662" s="31"/>
      <c r="H662" s="22">
        <f t="shared" si="81"/>
        <v>573.70000000000005</v>
      </c>
      <c r="I662" s="22">
        <f t="shared" si="81"/>
        <v>0</v>
      </c>
      <c r="J662" s="22">
        <f t="shared" si="81"/>
        <v>0</v>
      </c>
    </row>
    <row r="663" spans="2:10" s="57" customFormat="1" x14ac:dyDescent="0.2">
      <c r="B663" s="133" t="s">
        <v>17</v>
      </c>
      <c r="C663" s="24" t="s">
        <v>510</v>
      </c>
      <c r="D663" s="24" t="s">
        <v>401</v>
      </c>
      <c r="E663" s="24" t="s">
        <v>348</v>
      </c>
      <c r="F663" s="34" t="s">
        <v>30</v>
      </c>
      <c r="G663" s="24"/>
      <c r="H663" s="22">
        <f t="shared" si="81"/>
        <v>573.70000000000005</v>
      </c>
      <c r="I663" s="22">
        <f t="shared" si="81"/>
        <v>0</v>
      </c>
      <c r="J663" s="22">
        <f t="shared" si="81"/>
        <v>0</v>
      </c>
    </row>
    <row r="664" spans="2:10" s="57" customFormat="1" ht="25.5" x14ac:dyDescent="0.2">
      <c r="B664" s="133" t="s">
        <v>110</v>
      </c>
      <c r="C664" s="24" t="s">
        <v>510</v>
      </c>
      <c r="D664" s="24" t="s">
        <v>401</v>
      </c>
      <c r="E664" s="24" t="s">
        <v>348</v>
      </c>
      <c r="F664" s="34" t="s">
        <v>111</v>
      </c>
      <c r="G664" s="24"/>
      <c r="H664" s="22">
        <f t="shared" si="81"/>
        <v>573.70000000000005</v>
      </c>
      <c r="I664" s="22">
        <f t="shared" si="81"/>
        <v>0</v>
      </c>
      <c r="J664" s="22">
        <f t="shared" si="81"/>
        <v>0</v>
      </c>
    </row>
    <row r="665" spans="2:10" s="57" customFormat="1" ht="25.5" x14ac:dyDescent="0.2">
      <c r="B665" s="45" t="s">
        <v>430</v>
      </c>
      <c r="C665" s="24" t="s">
        <v>510</v>
      </c>
      <c r="D665" s="24" t="s">
        <v>401</v>
      </c>
      <c r="E665" s="24" t="s">
        <v>348</v>
      </c>
      <c r="F665" s="34" t="s">
        <v>414</v>
      </c>
      <c r="G665" s="24"/>
      <c r="H665" s="22">
        <f t="shared" si="81"/>
        <v>573.70000000000005</v>
      </c>
      <c r="I665" s="22">
        <f t="shared" si="81"/>
        <v>0</v>
      </c>
      <c r="J665" s="22">
        <f t="shared" si="81"/>
        <v>0</v>
      </c>
    </row>
    <row r="666" spans="2:10" s="57" customFormat="1" x14ac:dyDescent="0.2">
      <c r="B666" s="53" t="s">
        <v>150</v>
      </c>
      <c r="C666" s="24" t="s">
        <v>510</v>
      </c>
      <c r="D666" s="24" t="s">
        <v>401</v>
      </c>
      <c r="E666" s="24" t="s">
        <v>348</v>
      </c>
      <c r="F666" s="34" t="s">
        <v>414</v>
      </c>
      <c r="G666" s="24" t="s">
        <v>106</v>
      </c>
      <c r="H666" s="22">
        <v>573.70000000000005</v>
      </c>
      <c r="I666" s="22">
        <v>0</v>
      </c>
      <c r="J666" s="22">
        <v>0</v>
      </c>
    </row>
    <row r="667" spans="2:10" s="57" customFormat="1" x14ac:dyDescent="0.2">
      <c r="B667" s="99" t="s">
        <v>431</v>
      </c>
      <c r="C667" s="18" t="s">
        <v>510</v>
      </c>
      <c r="D667" s="18" t="s">
        <v>78</v>
      </c>
      <c r="E667" s="18"/>
      <c r="F667" s="26"/>
      <c r="G667" s="24"/>
      <c r="H667" s="19">
        <f t="shared" ref="H667:J672" si="82">H668</f>
        <v>60</v>
      </c>
      <c r="I667" s="19">
        <f t="shared" si="82"/>
        <v>0</v>
      </c>
      <c r="J667" s="19">
        <f t="shared" si="82"/>
        <v>0</v>
      </c>
    </row>
    <row r="668" spans="2:10" s="57" customFormat="1" x14ac:dyDescent="0.2">
      <c r="B668" s="99" t="s">
        <v>432</v>
      </c>
      <c r="C668" s="18" t="s">
        <v>510</v>
      </c>
      <c r="D668" s="18" t="s">
        <v>78</v>
      </c>
      <c r="E668" s="18" t="s">
        <v>12</v>
      </c>
      <c r="F668" s="26"/>
      <c r="G668" s="24"/>
      <c r="H668" s="19">
        <f t="shared" si="82"/>
        <v>60</v>
      </c>
      <c r="I668" s="19">
        <f t="shared" si="82"/>
        <v>0</v>
      </c>
      <c r="J668" s="19">
        <f t="shared" si="82"/>
        <v>0</v>
      </c>
    </row>
    <row r="669" spans="2:10" s="57" customFormat="1" ht="38.25" customHeight="1" x14ac:dyDescent="0.2">
      <c r="B669" s="53" t="s">
        <v>143</v>
      </c>
      <c r="C669" s="24" t="s">
        <v>510</v>
      </c>
      <c r="D669" s="24" t="s">
        <v>78</v>
      </c>
      <c r="E669" s="24" t="s">
        <v>12</v>
      </c>
      <c r="F669" s="26" t="s">
        <v>144</v>
      </c>
      <c r="G669" s="24"/>
      <c r="H669" s="22">
        <f>H670</f>
        <v>60</v>
      </c>
      <c r="I669" s="22">
        <f t="shared" si="82"/>
        <v>0</v>
      </c>
      <c r="J669" s="22">
        <f t="shared" si="82"/>
        <v>0</v>
      </c>
    </row>
    <row r="670" spans="2:10" s="57" customFormat="1" ht="15" customHeight="1" x14ac:dyDescent="0.2">
      <c r="B670" s="53" t="s">
        <v>65</v>
      </c>
      <c r="C670" s="24" t="s">
        <v>510</v>
      </c>
      <c r="D670" s="24" t="s">
        <v>78</v>
      </c>
      <c r="E670" s="24" t="s">
        <v>12</v>
      </c>
      <c r="F670" s="26" t="s">
        <v>153</v>
      </c>
      <c r="G670" s="24"/>
      <c r="H670" s="22">
        <f>H671</f>
        <v>60</v>
      </c>
      <c r="I670" s="22">
        <f>I671</f>
        <v>0</v>
      </c>
      <c r="J670" s="22">
        <f>J671</f>
        <v>0</v>
      </c>
    </row>
    <row r="671" spans="2:10" s="57" customFormat="1" ht="25.5" x14ac:dyDescent="0.2">
      <c r="B671" s="23" t="s">
        <v>597</v>
      </c>
      <c r="C671" s="24" t="s">
        <v>510</v>
      </c>
      <c r="D671" s="24" t="s">
        <v>78</v>
      </c>
      <c r="E671" s="24" t="s">
        <v>12</v>
      </c>
      <c r="F671" s="26" t="s">
        <v>434</v>
      </c>
      <c r="G671" s="24"/>
      <c r="H671" s="22">
        <f t="shared" si="82"/>
        <v>60</v>
      </c>
      <c r="I671" s="22">
        <f t="shared" si="82"/>
        <v>0</v>
      </c>
      <c r="J671" s="22">
        <f t="shared" si="82"/>
        <v>0</v>
      </c>
    </row>
    <row r="672" spans="2:10" s="57" customFormat="1" x14ac:dyDescent="0.2">
      <c r="B672" s="54" t="s">
        <v>438</v>
      </c>
      <c r="C672" s="24" t="s">
        <v>510</v>
      </c>
      <c r="D672" s="24" t="s">
        <v>78</v>
      </c>
      <c r="E672" s="24" t="s">
        <v>12</v>
      </c>
      <c r="F672" s="26" t="s">
        <v>439</v>
      </c>
      <c r="G672" s="24"/>
      <c r="H672" s="22">
        <f t="shared" si="82"/>
        <v>60</v>
      </c>
      <c r="I672" s="22">
        <f t="shared" si="82"/>
        <v>0</v>
      </c>
      <c r="J672" s="22">
        <f t="shared" si="82"/>
        <v>0</v>
      </c>
    </row>
    <row r="673" spans="2:10" s="57" customFormat="1" x14ac:dyDescent="0.2">
      <c r="B673" s="53" t="s">
        <v>150</v>
      </c>
      <c r="C673" s="24" t="s">
        <v>510</v>
      </c>
      <c r="D673" s="24" t="s">
        <v>78</v>
      </c>
      <c r="E673" s="24" t="s">
        <v>12</v>
      </c>
      <c r="F673" s="26" t="s">
        <v>439</v>
      </c>
      <c r="G673" s="24" t="s">
        <v>106</v>
      </c>
      <c r="H673" s="22">
        <v>60</v>
      </c>
      <c r="I673" s="22">
        <v>0</v>
      </c>
      <c r="J673" s="22">
        <v>0</v>
      </c>
    </row>
    <row r="674" spans="2:10" s="57" customFormat="1" ht="29.25" customHeight="1" x14ac:dyDescent="0.2">
      <c r="B674" s="134" t="s">
        <v>598</v>
      </c>
      <c r="C674" s="18" t="s">
        <v>359</v>
      </c>
      <c r="D674" s="24"/>
      <c r="E674" s="24"/>
      <c r="F674" s="26"/>
      <c r="G674" s="24"/>
      <c r="H674" s="19">
        <f>H675+H686+H693+H706+H722</f>
        <v>33273.4</v>
      </c>
      <c r="I674" s="19">
        <f>I675+I686+I693+I706+I722</f>
        <v>28985.699999999997</v>
      </c>
      <c r="J674" s="19">
        <f>J675+J686+J693+J706+J722</f>
        <v>29640.6</v>
      </c>
    </row>
    <row r="675" spans="2:10" s="57" customFormat="1" ht="14.25" x14ac:dyDescent="0.2">
      <c r="B675" s="135" t="s">
        <v>11</v>
      </c>
      <c r="C675" s="18" t="s">
        <v>359</v>
      </c>
      <c r="D675" s="18" t="s">
        <v>12</v>
      </c>
      <c r="E675" s="18"/>
      <c r="F675" s="26"/>
      <c r="G675" s="24"/>
      <c r="H675" s="19">
        <f>H676</f>
        <v>9733</v>
      </c>
      <c r="I675" s="19">
        <f>I676</f>
        <v>9597</v>
      </c>
      <c r="J675" s="19">
        <f>J676</f>
        <v>9597</v>
      </c>
    </row>
    <row r="676" spans="2:10" s="57" customFormat="1" ht="39" customHeight="1" x14ac:dyDescent="0.2">
      <c r="B676" s="29" t="s">
        <v>25</v>
      </c>
      <c r="C676" s="18" t="s">
        <v>359</v>
      </c>
      <c r="D676" s="18" t="s">
        <v>12</v>
      </c>
      <c r="E676" s="18" t="s">
        <v>27</v>
      </c>
      <c r="F676" s="26"/>
      <c r="G676" s="24"/>
      <c r="H676" s="19">
        <f t="shared" ref="H676:J678" si="83">H677</f>
        <v>9733</v>
      </c>
      <c r="I676" s="19">
        <f t="shared" si="83"/>
        <v>9597</v>
      </c>
      <c r="J676" s="19">
        <f t="shared" si="83"/>
        <v>9597</v>
      </c>
    </row>
    <row r="677" spans="2:10" s="57" customFormat="1" ht="25.5" x14ac:dyDescent="0.2">
      <c r="B677" s="23" t="s">
        <v>15</v>
      </c>
      <c r="C677" s="37" t="s">
        <v>10</v>
      </c>
      <c r="D677" s="37" t="s">
        <v>12</v>
      </c>
      <c r="E677" s="37" t="s">
        <v>27</v>
      </c>
      <c r="F677" s="37" t="s">
        <v>16</v>
      </c>
      <c r="G677" s="31"/>
      <c r="H677" s="22">
        <f t="shared" si="83"/>
        <v>9733</v>
      </c>
      <c r="I677" s="22">
        <f t="shared" si="83"/>
        <v>9597</v>
      </c>
      <c r="J677" s="22">
        <f t="shared" si="83"/>
        <v>9597</v>
      </c>
    </row>
    <row r="678" spans="2:10" s="57" customFormat="1" x14ac:dyDescent="0.2">
      <c r="B678" s="33" t="s">
        <v>17</v>
      </c>
      <c r="C678" s="37" t="s">
        <v>10</v>
      </c>
      <c r="D678" s="37" t="s">
        <v>12</v>
      </c>
      <c r="E678" s="37" t="s">
        <v>27</v>
      </c>
      <c r="F678" s="38" t="s">
        <v>18</v>
      </c>
      <c r="G678" s="31"/>
      <c r="H678" s="22">
        <f t="shared" si="83"/>
        <v>9733</v>
      </c>
      <c r="I678" s="22">
        <f t="shared" si="83"/>
        <v>9597</v>
      </c>
      <c r="J678" s="22">
        <f t="shared" si="83"/>
        <v>9597</v>
      </c>
    </row>
    <row r="679" spans="2:10" s="57" customFormat="1" ht="25.5" x14ac:dyDescent="0.2">
      <c r="B679" s="33" t="s">
        <v>19</v>
      </c>
      <c r="C679" s="37" t="s">
        <v>10</v>
      </c>
      <c r="D679" s="37" t="s">
        <v>12</v>
      </c>
      <c r="E679" s="37" t="s">
        <v>27</v>
      </c>
      <c r="F679" s="38" t="s">
        <v>20</v>
      </c>
      <c r="G679" s="31"/>
      <c r="H679" s="22">
        <f>H680+H684</f>
        <v>9733</v>
      </c>
      <c r="I679" s="22">
        <f>I680+I684</f>
        <v>9597</v>
      </c>
      <c r="J679" s="22">
        <f>J680+J684</f>
        <v>9597</v>
      </c>
    </row>
    <row r="680" spans="2:10" s="57" customFormat="1" x14ac:dyDescent="0.2">
      <c r="B680" s="23" t="s">
        <v>37</v>
      </c>
      <c r="C680" s="24" t="s">
        <v>10</v>
      </c>
      <c r="D680" s="24" t="s">
        <v>12</v>
      </c>
      <c r="E680" s="24" t="s">
        <v>27</v>
      </c>
      <c r="F680" s="26" t="s">
        <v>38</v>
      </c>
      <c r="G680" s="31"/>
      <c r="H680" s="22">
        <f>H682+H683+H681</f>
        <v>7741.6</v>
      </c>
      <c r="I680" s="22">
        <f>I682+I683+I681</f>
        <v>7660.6</v>
      </c>
      <c r="J680" s="22">
        <f>J682+J683+J681</f>
        <v>7660.6</v>
      </c>
    </row>
    <row r="681" spans="2:10" s="57" customFormat="1" ht="25.5" x14ac:dyDescent="0.2">
      <c r="B681" s="23" t="s">
        <v>23</v>
      </c>
      <c r="C681" s="24" t="s">
        <v>10</v>
      </c>
      <c r="D681" s="24" t="s">
        <v>12</v>
      </c>
      <c r="E681" s="24" t="s">
        <v>27</v>
      </c>
      <c r="F681" s="26" t="s">
        <v>38</v>
      </c>
      <c r="G681" s="31" t="s">
        <v>24</v>
      </c>
      <c r="H681" s="22">
        <f>3997.8+13.8</f>
        <v>4011.6000000000004</v>
      </c>
      <c r="I681" s="22">
        <f>3997.8+13.8</f>
        <v>4011.6000000000004</v>
      </c>
      <c r="J681" s="22">
        <f>3997.8+13.8</f>
        <v>4011.6000000000004</v>
      </c>
    </row>
    <row r="682" spans="2:10" s="57" customFormat="1" ht="25.5" x14ac:dyDescent="0.2">
      <c r="B682" s="23" t="s">
        <v>35</v>
      </c>
      <c r="C682" s="24" t="s">
        <v>10</v>
      </c>
      <c r="D682" s="24" t="s">
        <v>12</v>
      </c>
      <c r="E682" s="24" t="s">
        <v>27</v>
      </c>
      <c r="F682" s="26" t="s">
        <v>38</v>
      </c>
      <c r="G682" s="31" t="s">
        <v>36</v>
      </c>
      <c r="H682" s="22">
        <v>3730</v>
      </c>
      <c r="I682" s="22">
        <v>3649</v>
      </c>
      <c r="J682" s="22">
        <v>3649</v>
      </c>
    </row>
    <row r="683" spans="2:10" s="57" customFormat="1" hidden="1" x14ac:dyDescent="0.2">
      <c r="B683" s="23" t="s">
        <v>39</v>
      </c>
      <c r="C683" s="24" t="s">
        <v>10</v>
      </c>
      <c r="D683" s="24" t="s">
        <v>12</v>
      </c>
      <c r="E683" s="24" t="s">
        <v>27</v>
      </c>
      <c r="F683" s="26" t="s">
        <v>38</v>
      </c>
      <c r="G683" s="31" t="s">
        <v>40</v>
      </c>
      <c r="H683" s="22">
        <v>0</v>
      </c>
      <c r="I683" s="22">
        <v>0</v>
      </c>
      <c r="J683" s="22">
        <v>0</v>
      </c>
    </row>
    <row r="684" spans="2:10" s="57" customFormat="1" ht="25.5" x14ac:dyDescent="0.2">
      <c r="B684" s="41" t="s">
        <v>41</v>
      </c>
      <c r="C684" s="24" t="s">
        <v>10</v>
      </c>
      <c r="D684" s="24" t="s">
        <v>12</v>
      </c>
      <c r="E684" s="24" t="s">
        <v>27</v>
      </c>
      <c r="F684" s="26" t="s">
        <v>42</v>
      </c>
      <c r="G684" s="31"/>
      <c r="H684" s="22">
        <f>H685</f>
        <v>1991.4</v>
      </c>
      <c r="I684" s="22">
        <f>I685</f>
        <v>1936.4</v>
      </c>
      <c r="J684" s="22">
        <f>J685</f>
        <v>1936.4</v>
      </c>
    </row>
    <row r="685" spans="2:10" s="57" customFormat="1" ht="25.5" x14ac:dyDescent="0.2">
      <c r="B685" s="41" t="s">
        <v>23</v>
      </c>
      <c r="C685" s="24" t="s">
        <v>10</v>
      </c>
      <c r="D685" s="24" t="s">
        <v>12</v>
      </c>
      <c r="E685" s="24" t="s">
        <v>27</v>
      </c>
      <c r="F685" s="26" t="s">
        <v>42</v>
      </c>
      <c r="G685" s="31" t="s">
        <v>24</v>
      </c>
      <c r="H685" s="22">
        <f>1936.4+55</f>
        <v>1991.4</v>
      </c>
      <c r="I685" s="22">
        <v>1936.4</v>
      </c>
      <c r="J685" s="22">
        <v>1936.4</v>
      </c>
    </row>
    <row r="686" spans="2:10" s="57" customFormat="1" ht="14.25" x14ac:dyDescent="0.2">
      <c r="B686" s="135" t="s">
        <v>165</v>
      </c>
      <c r="C686" s="136">
        <v>163</v>
      </c>
      <c r="D686" s="137">
        <v>2</v>
      </c>
      <c r="E686" s="137"/>
      <c r="F686" s="26"/>
      <c r="G686" s="31"/>
      <c r="H686" s="19">
        <f t="shared" ref="H686:J691" si="84">H687</f>
        <v>452.2</v>
      </c>
      <c r="I686" s="19">
        <f t="shared" si="84"/>
        <v>495.5</v>
      </c>
      <c r="J686" s="19">
        <f t="shared" si="84"/>
        <v>513.5</v>
      </c>
    </row>
    <row r="687" spans="2:10" s="57" customFormat="1" ht="14.25" x14ac:dyDescent="0.2">
      <c r="B687" s="135" t="s">
        <v>166</v>
      </c>
      <c r="C687" s="136">
        <v>163</v>
      </c>
      <c r="D687" s="137">
        <v>2</v>
      </c>
      <c r="E687" s="137">
        <v>3</v>
      </c>
      <c r="F687" s="26"/>
      <c r="G687" s="31"/>
      <c r="H687" s="19">
        <f t="shared" si="84"/>
        <v>452.2</v>
      </c>
      <c r="I687" s="19">
        <f t="shared" si="84"/>
        <v>495.5</v>
      </c>
      <c r="J687" s="19">
        <f t="shared" si="84"/>
        <v>513.5</v>
      </c>
    </row>
    <row r="688" spans="2:10" s="57" customFormat="1" ht="25.5" x14ac:dyDescent="0.2">
      <c r="B688" s="23" t="s">
        <v>15</v>
      </c>
      <c r="C688" s="37" t="s">
        <v>359</v>
      </c>
      <c r="D688" s="37" t="s">
        <v>14</v>
      </c>
      <c r="E688" s="37" t="s">
        <v>167</v>
      </c>
      <c r="F688" s="37" t="s">
        <v>16</v>
      </c>
      <c r="G688" s="24"/>
      <c r="H688" s="22">
        <f t="shared" si="84"/>
        <v>452.2</v>
      </c>
      <c r="I688" s="22">
        <f t="shared" si="84"/>
        <v>495.5</v>
      </c>
      <c r="J688" s="22">
        <f t="shared" si="84"/>
        <v>513.5</v>
      </c>
    </row>
    <row r="689" spans="2:10" s="57" customFormat="1" x14ac:dyDescent="0.2">
      <c r="B689" s="33" t="s">
        <v>57</v>
      </c>
      <c r="C689" s="37" t="s">
        <v>359</v>
      </c>
      <c r="D689" s="37" t="s">
        <v>14</v>
      </c>
      <c r="E689" s="37" t="s">
        <v>167</v>
      </c>
      <c r="F689" s="38" t="s">
        <v>18</v>
      </c>
      <c r="G689" s="24"/>
      <c r="H689" s="22">
        <f t="shared" si="84"/>
        <v>452.2</v>
      </c>
      <c r="I689" s="22">
        <f t="shared" si="84"/>
        <v>495.5</v>
      </c>
      <c r="J689" s="22">
        <f t="shared" si="84"/>
        <v>513.5</v>
      </c>
    </row>
    <row r="690" spans="2:10" s="57" customFormat="1" ht="25.5" x14ac:dyDescent="0.2">
      <c r="B690" s="33" t="s">
        <v>19</v>
      </c>
      <c r="C690" s="37" t="s">
        <v>359</v>
      </c>
      <c r="D690" s="37" t="s">
        <v>14</v>
      </c>
      <c r="E690" s="37" t="s">
        <v>167</v>
      </c>
      <c r="F690" s="38" t="s">
        <v>20</v>
      </c>
      <c r="G690" s="24"/>
      <c r="H690" s="22">
        <f t="shared" si="84"/>
        <v>452.2</v>
      </c>
      <c r="I690" s="22">
        <f t="shared" si="84"/>
        <v>495.5</v>
      </c>
      <c r="J690" s="22">
        <f t="shared" si="84"/>
        <v>513.5</v>
      </c>
    </row>
    <row r="691" spans="2:10" s="57" customFormat="1" ht="25.5" x14ac:dyDescent="0.2">
      <c r="B691" s="23" t="s">
        <v>168</v>
      </c>
      <c r="C691" s="24" t="s">
        <v>359</v>
      </c>
      <c r="D691" s="24" t="s">
        <v>14</v>
      </c>
      <c r="E691" s="24" t="s">
        <v>167</v>
      </c>
      <c r="F691" s="26" t="s">
        <v>169</v>
      </c>
      <c r="G691" s="24"/>
      <c r="H691" s="22">
        <f t="shared" si="84"/>
        <v>452.2</v>
      </c>
      <c r="I691" s="22">
        <f t="shared" si="84"/>
        <v>495.5</v>
      </c>
      <c r="J691" s="22">
        <f t="shared" si="84"/>
        <v>513.5</v>
      </c>
    </row>
    <row r="692" spans="2:10" s="57" customFormat="1" ht="25.5" x14ac:dyDescent="0.2">
      <c r="B692" s="23" t="s">
        <v>23</v>
      </c>
      <c r="C692" s="24" t="s">
        <v>359</v>
      </c>
      <c r="D692" s="24" t="s">
        <v>14</v>
      </c>
      <c r="E692" s="24" t="s">
        <v>167</v>
      </c>
      <c r="F692" s="26" t="s">
        <v>169</v>
      </c>
      <c r="G692" s="24" t="s">
        <v>24</v>
      </c>
      <c r="H692" s="22">
        <v>452.2</v>
      </c>
      <c r="I692" s="22">
        <v>495.5</v>
      </c>
      <c r="J692" s="22">
        <v>513.5</v>
      </c>
    </row>
    <row r="693" spans="2:10" s="57" customFormat="1" ht="25.5" x14ac:dyDescent="0.25">
      <c r="B693" s="138" t="s">
        <v>599</v>
      </c>
      <c r="C693" s="136">
        <v>163</v>
      </c>
      <c r="D693" s="137">
        <v>3</v>
      </c>
      <c r="E693" s="139"/>
      <c r="F693" s="26"/>
      <c r="G693" s="24"/>
      <c r="H693" s="19">
        <f t="shared" ref="H693:J694" si="85">H694</f>
        <v>5767</v>
      </c>
      <c r="I693" s="19">
        <f t="shared" si="85"/>
        <v>3385</v>
      </c>
      <c r="J693" s="19">
        <f t="shared" si="85"/>
        <v>4388.8</v>
      </c>
    </row>
    <row r="694" spans="2:10" s="57" customFormat="1" ht="34.5" customHeight="1" x14ac:dyDescent="0.2">
      <c r="B694" s="140" t="s">
        <v>600</v>
      </c>
      <c r="C694" s="18" t="s">
        <v>359</v>
      </c>
      <c r="D694" s="137">
        <v>3</v>
      </c>
      <c r="E694" s="137">
        <v>10</v>
      </c>
      <c r="F694" s="76"/>
      <c r="G694" s="18"/>
      <c r="H694" s="19">
        <f t="shared" si="85"/>
        <v>5767</v>
      </c>
      <c r="I694" s="19">
        <f t="shared" si="85"/>
        <v>3385</v>
      </c>
      <c r="J694" s="19">
        <f t="shared" si="85"/>
        <v>4388.8</v>
      </c>
    </row>
    <row r="695" spans="2:10" s="57" customFormat="1" ht="38.25" x14ac:dyDescent="0.25">
      <c r="B695" s="41" t="s">
        <v>55</v>
      </c>
      <c r="C695" s="24" t="s">
        <v>359</v>
      </c>
      <c r="D695" s="139">
        <v>3</v>
      </c>
      <c r="E695" s="139">
        <v>10</v>
      </c>
      <c r="F695" s="26" t="s">
        <v>56</v>
      </c>
      <c r="G695" s="24"/>
      <c r="H695" s="22">
        <f>H696+H702</f>
        <v>5767</v>
      </c>
      <c r="I695" s="22">
        <f>I696+I702</f>
        <v>3385</v>
      </c>
      <c r="J695" s="22">
        <f>J696+J702</f>
        <v>4388.8</v>
      </c>
    </row>
    <row r="696" spans="2:10" s="57" customFormat="1" ht="15" x14ac:dyDescent="0.25">
      <c r="B696" s="46" t="s">
        <v>187</v>
      </c>
      <c r="C696" s="24" t="s">
        <v>359</v>
      </c>
      <c r="D696" s="139">
        <v>3</v>
      </c>
      <c r="E696" s="139">
        <v>10</v>
      </c>
      <c r="F696" s="26" t="s">
        <v>188</v>
      </c>
      <c r="G696" s="24"/>
      <c r="H696" s="22">
        <f>H697</f>
        <v>4367</v>
      </c>
      <c r="I696" s="22">
        <f>I697</f>
        <v>1985</v>
      </c>
      <c r="J696" s="22">
        <f>J697</f>
        <v>2988.8</v>
      </c>
    </row>
    <row r="697" spans="2:10" s="57" customFormat="1" ht="25.5" x14ac:dyDescent="0.25">
      <c r="B697" s="44" t="s">
        <v>601</v>
      </c>
      <c r="C697" s="24" t="s">
        <v>359</v>
      </c>
      <c r="D697" s="139">
        <v>3</v>
      </c>
      <c r="E697" s="139">
        <v>10</v>
      </c>
      <c r="F697" s="26" t="s">
        <v>602</v>
      </c>
      <c r="G697" s="52"/>
      <c r="H697" s="22">
        <f>H698+H700</f>
        <v>4367</v>
      </c>
      <c r="I697" s="22">
        <f>I698+I700</f>
        <v>1985</v>
      </c>
      <c r="J697" s="22">
        <f>J698+J700</f>
        <v>2988.8</v>
      </c>
    </row>
    <row r="698" spans="2:10" s="57" customFormat="1" ht="25.5" x14ac:dyDescent="0.25">
      <c r="B698" s="44" t="s">
        <v>603</v>
      </c>
      <c r="C698" s="24" t="s">
        <v>359</v>
      </c>
      <c r="D698" s="139">
        <v>3</v>
      </c>
      <c r="E698" s="139">
        <v>10</v>
      </c>
      <c r="F698" s="26" t="s">
        <v>604</v>
      </c>
      <c r="G698" s="52"/>
      <c r="H698" s="22">
        <f>H699</f>
        <v>4367</v>
      </c>
      <c r="I698" s="22">
        <f>I699</f>
        <v>1985</v>
      </c>
      <c r="J698" s="22">
        <f>J699</f>
        <v>2988.8</v>
      </c>
    </row>
    <row r="699" spans="2:10" s="57" customFormat="1" ht="25.5" x14ac:dyDescent="0.25">
      <c r="B699" s="44" t="s">
        <v>35</v>
      </c>
      <c r="C699" s="24" t="s">
        <v>359</v>
      </c>
      <c r="D699" s="139">
        <v>3</v>
      </c>
      <c r="E699" s="139">
        <v>10</v>
      </c>
      <c r="F699" s="26" t="s">
        <v>604</v>
      </c>
      <c r="G699" s="52" t="s">
        <v>36</v>
      </c>
      <c r="H699" s="22">
        <f>2183.5+2183.5</f>
        <v>4367</v>
      </c>
      <c r="I699" s="22">
        <f>992.5+992.5</f>
        <v>1985</v>
      </c>
      <c r="J699" s="22">
        <v>2988.8</v>
      </c>
    </row>
    <row r="700" spans="2:10" s="57" customFormat="1" ht="15" hidden="1" x14ac:dyDescent="0.25">
      <c r="B700" s="23" t="s">
        <v>605</v>
      </c>
      <c r="C700" s="24" t="s">
        <v>359</v>
      </c>
      <c r="D700" s="139">
        <v>3</v>
      </c>
      <c r="E700" s="139">
        <v>10</v>
      </c>
      <c r="F700" s="26" t="s">
        <v>606</v>
      </c>
      <c r="G700" s="52"/>
      <c r="H700" s="22">
        <f>H701</f>
        <v>0</v>
      </c>
      <c r="I700" s="22">
        <f>I701</f>
        <v>0</v>
      </c>
      <c r="J700" s="22">
        <f>J701</f>
        <v>0</v>
      </c>
    </row>
    <row r="701" spans="2:10" s="57" customFormat="1" ht="25.5" hidden="1" x14ac:dyDescent="0.25">
      <c r="B701" s="44" t="s">
        <v>35</v>
      </c>
      <c r="C701" s="24" t="s">
        <v>359</v>
      </c>
      <c r="D701" s="139">
        <v>3</v>
      </c>
      <c r="E701" s="139">
        <v>10</v>
      </c>
      <c r="F701" s="26" t="s">
        <v>606</v>
      </c>
      <c r="G701" s="52" t="s">
        <v>36</v>
      </c>
      <c r="H701" s="22">
        <v>0</v>
      </c>
      <c r="I701" s="22">
        <v>0</v>
      </c>
      <c r="J701" s="22">
        <v>0</v>
      </c>
    </row>
    <row r="702" spans="2:10" s="57" customFormat="1" ht="15" x14ac:dyDescent="0.25">
      <c r="B702" s="44" t="s">
        <v>17</v>
      </c>
      <c r="C702" s="24" t="s">
        <v>359</v>
      </c>
      <c r="D702" s="139">
        <v>3</v>
      </c>
      <c r="E702" s="139">
        <v>10</v>
      </c>
      <c r="F702" s="26" t="s">
        <v>58</v>
      </c>
      <c r="G702" s="52"/>
      <c r="H702" s="22">
        <f t="shared" ref="H702:J704" si="86">H703</f>
        <v>1400</v>
      </c>
      <c r="I702" s="22">
        <f t="shared" si="86"/>
        <v>1400</v>
      </c>
      <c r="J702" s="22">
        <f t="shared" si="86"/>
        <v>1400</v>
      </c>
    </row>
    <row r="703" spans="2:10" s="57" customFormat="1" ht="25.5" x14ac:dyDescent="0.25">
      <c r="B703" s="67" t="s">
        <v>607</v>
      </c>
      <c r="C703" s="24" t="s">
        <v>359</v>
      </c>
      <c r="D703" s="139">
        <v>3</v>
      </c>
      <c r="E703" s="139">
        <v>10</v>
      </c>
      <c r="F703" s="26" t="s">
        <v>608</v>
      </c>
      <c r="G703" s="52"/>
      <c r="H703" s="22">
        <f t="shared" si="86"/>
        <v>1400</v>
      </c>
      <c r="I703" s="22">
        <f t="shared" si="86"/>
        <v>1400</v>
      </c>
      <c r="J703" s="22">
        <f t="shared" si="86"/>
        <v>1400</v>
      </c>
    </row>
    <row r="704" spans="2:10" s="57" customFormat="1" ht="15" x14ac:dyDescent="0.25">
      <c r="B704" s="67" t="s">
        <v>605</v>
      </c>
      <c r="C704" s="24" t="s">
        <v>359</v>
      </c>
      <c r="D704" s="139">
        <v>3</v>
      </c>
      <c r="E704" s="139">
        <v>10</v>
      </c>
      <c r="F704" s="26" t="s">
        <v>609</v>
      </c>
      <c r="G704" s="52"/>
      <c r="H704" s="22">
        <f t="shared" si="86"/>
        <v>1400</v>
      </c>
      <c r="I704" s="22">
        <f t="shared" si="86"/>
        <v>1400</v>
      </c>
      <c r="J704" s="22">
        <f t="shared" si="86"/>
        <v>1400</v>
      </c>
    </row>
    <row r="705" spans="2:10" s="57" customFormat="1" ht="25.5" x14ac:dyDescent="0.25">
      <c r="B705" s="67" t="s">
        <v>35</v>
      </c>
      <c r="C705" s="24" t="s">
        <v>359</v>
      </c>
      <c r="D705" s="139">
        <v>3</v>
      </c>
      <c r="E705" s="139">
        <v>10</v>
      </c>
      <c r="F705" s="26" t="s">
        <v>609</v>
      </c>
      <c r="G705" s="52" t="s">
        <v>36</v>
      </c>
      <c r="H705" s="22">
        <v>1400</v>
      </c>
      <c r="I705" s="22">
        <v>1400</v>
      </c>
      <c r="J705" s="22">
        <v>1400</v>
      </c>
    </row>
    <row r="706" spans="2:10" s="57" customFormat="1" x14ac:dyDescent="0.2">
      <c r="B706" s="141" t="s">
        <v>610</v>
      </c>
      <c r="C706" s="18" t="s">
        <v>359</v>
      </c>
      <c r="D706" s="18" t="s">
        <v>72</v>
      </c>
      <c r="E706" s="18"/>
      <c r="F706" s="26"/>
      <c r="G706" s="24"/>
      <c r="H706" s="19">
        <f t="shared" ref="H706:J707" si="87">H707</f>
        <v>10981.3</v>
      </c>
      <c r="I706" s="19">
        <f t="shared" si="87"/>
        <v>10981.3</v>
      </c>
      <c r="J706" s="19">
        <f t="shared" si="87"/>
        <v>10981.3</v>
      </c>
    </row>
    <row r="707" spans="2:10" s="57" customFormat="1" x14ac:dyDescent="0.2">
      <c r="B707" s="29" t="s">
        <v>325</v>
      </c>
      <c r="C707" s="18" t="s">
        <v>359</v>
      </c>
      <c r="D707" s="18" t="s">
        <v>72</v>
      </c>
      <c r="E707" s="18" t="s">
        <v>167</v>
      </c>
      <c r="F707" s="26"/>
      <c r="G707" s="24"/>
      <c r="H707" s="19">
        <f>H708</f>
        <v>10981.3</v>
      </c>
      <c r="I707" s="19">
        <f t="shared" si="87"/>
        <v>10981.3</v>
      </c>
      <c r="J707" s="19">
        <f t="shared" si="87"/>
        <v>10981.3</v>
      </c>
    </row>
    <row r="708" spans="2:10" s="57" customFormat="1" ht="25.5" x14ac:dyDescent="0.2">
      <c r="B708" s="23" t="s">
        <v>326</v>
      </c>
      <c r="C708" s="24" t="s">
        <v>359</v>
      </c>
      <c r="D708" s="24" t="s">
        <v>72</v>
      </c>
      <c r="E708" s="24" t="s">
        <v>167</v>
      </c>
      <c r="F708" s="26" t="s">
        <v>327</v>
      </c>
      <c r="G708" s="24"/>
      <c r="H708" s="22">
        <f>H709</f>
        <v>10981.3</v>
      </c>
      <c r="I708" s="22">
        <f>I709</f>
        <v>10981.3</v>
      </c>
      <c r="J708" s="22">
        <f>J709</f>
        <v>10981.3</v>
      </c>
    </row>
    <row r="709" spans="2:10" s="57" customFormat="1" x14ac:dyDescent="0.2">
      <c r="B709" s="42" t="s">
        <v>17</v>
      </c>
      <c r="C709" s="24" t="s">
        <v>359</v>
      </c>
      <c r="D709" s="24" t="s">
        <v>72</v>
      </c>
      <c r="E709" s="24" t="s">
        <v>167</v>
      </c>
      <c r="F709" s="26" t="s">
        <v>611</v>
      </c>
      <c r="G709" s="24"/>
      <c r="H709" s="22">
        <f>H710+H716+H719</f>
        <v>10981.3</v>
      </c>
      <c r="I709" s="22">
        <f>I710+I716+I719</f>
        <v>10981.3</v>
      </c>
      <c r="J709" s="22">
        <f>J710+J716+J719</f>
        <v>10981.3</v>
      </c>
    </row>
    <row r="710" spans="2:10" s="57" customFormat="1" ht="15.75" customHeight="1" x14ac:dyDescent="0.2">
      <c r="B710" s="53" t="s">
        <v>612</v>
      </c>
      <c r="C710" s="24" t="s">
        <v>359</v>
      </c>
      <c r="D710" s="24" t="s">
        <v>72</v>
      </c>
      <c r="E710" s="24" t="s">
        <v>167</v>
      </c>
      <c r="F710" s="26" t="s">
        <v>613</v>
      </c>
      <c r="G710" s="24"/>
      <c r="H710" s="22">
        <f>H711+H714</f>
        <v>7889.3</v>
      </c>
      <c r="I710" s="22">
        <f>I711+I714</f>
        <v>7889.3</v>
      </c>
      <c r="J710" s="22">
        <f>J711+J714</f>
        <v>7889.3</v>
      </c>
    </row>
    <row r="711" spans="2:10" s="57" customFormat="1" x14ac:dyDescent="0.2">
      <c r="B711" s="53" t="s">
        <v>614</v>
      </c>
      <c r="C711" s="24" t="s">
        <v>359</v>
      </c>
      <c r="D711" s="24" t="s">
        <v>72</v>
      </c>
      <c r="E711" s="24" t="s">
        <v>167</v>
      </c>
      <c r="F711" s="26" t="s">
        <v>615</v>
      </c>
      <c r="G711" s="24"/>
      <c r="H711" s="22">
        <f>H712+H713</f>
        <v>7639.3</v>
      </c>
      <c r="I711" s="22">
        <f>I712+I713</f>
        <v>7639.3</v>
      </c>
      <c r="J711" s="22">
        <f>J712+J713</f>
        <v>7639.3</v>
      </c>
    </row>
    <row r="712" spans="2:10" s="57" customFormat="1" ht="25.5" x14ac:dyDescent="0.2">
      <c r="B712" s="23" t="s">
        <v>90</v>
      </c>
      <c r="C712" s="24" t="s">
        <v>359</v>
      </c>
      <c r="D712" s="24" t="s">
        <v>72</v>
      </c>
      <c r="E712" s="24" t="s">
        <v>167</v>
      </c>
      <c r="F712" s="26" t="s">
        <v>615</v>
      </c>
      <c r="G712" s="24" t="s">
        <v>36</v>
      </c>
      <c r="H712" s="22">
        <f>5729.5+1909.8</f>
        <v>7639.3</v>
      </c>
      <c r="I712" s="22">
        <f>5729.5+1909.8</f>
        <v>7639.3</v>
      </c>
      <c r="J712" s="22">
        <f>5729.5+1909.8</f>
        <v>7639.3</v>
      </c>
    </row>
    <row r="713" spans="2:10" s="57" customFormat="1" x14ac:dyDescent="0.2">
      <c r="B713" s="142" t="s">
        <v>616</v>
      </c>
      <c r="C713" s="24" t="s">
        <v>359</v>
      </c>
      <c r="D713" s="24" t="s">
        <v>72</v>
      </c>
      <c r="E713" s="24" t="s">
        <v>167</v>
      </c>
      <c r="F713" s="26" t="s">
        <v>615</v>
      </c>
      <c r="G713" s="24" t="s">
        <v>40</v>
      </c>
      <c r="H713" s="22">
        <v>0</v>
      </c>
      <c r="I713" s="22">
        <v>0</v>
      </c>
      <c r="J713" s="22">
        <v>0</v>
      </c>
    </row>
    <row r="714" spans="2:10" s="57" customFormat="1" x14ac:dyDescent="0.2">
      <c r="B714" s="36" t="s">
        <v>617</v>
      </c>
      <c r="C714" s="24" t="s">
        <v>359</v>
      </c>
      <c r="D714" s="24" t="s">
        <v>72</v>
      </c>
      <c r="E714" s="24" t="s">
        <v>167</v>
      </c>
      <c r="F714" s="26" t="s">
        <v>618</v>
      </c>
      <c r="G714" s="24"/>
      <c r="H714" s="22">
        <f>H715</f>
        <v>250</v>
      </c>
      <c r="I714" s="22">
        <f>I715</f>
        <v>250</v>
      </c>
      <c r="J714" s="22">
        <f>J715</f>
        <v>250</v>
      </c>
    </row>
    <row r="715" spans="2:10" s="57" customFormat="1" ht="25.5" x14ac:dyDescent="0.2">
      <c r="B715" s="36" t="s">
        <v>35</v>
      </c>
      <c r="C715" s="24" t="s">
        <v>359</v>
      </c>
      <c r="D715" s="24" t="s">
        <v>72</v>
      </c>
      <c r="E715" s="24" t="s">
        <v>167</v>
      </c>
      <c r="F715" s="26" t="s">
        <v>618</v>
      </c>
      <c r="G715" s="24" t="s">
        <v>36</v>
      </c>
      <c r="H715" s="22">
        <v>250</v>
      </c>
      <c r="I715" s="22">
        <v>250</v>
      </c>
      <c r="J715" s="22">
        <v>250</v>
      </c>
    </row>
    <row r="716" spans="2:10" s="57" customFormat="1" ht="25.5" x14ac:dyDescent="0.2">
      <c r="B716" s="90" t="s">
        <v>619</v>
      </c>
      <c r="C716" s="24" t="s">
        <v>359</v>
      </c>
      <c r="D716" s="24" t="s">
        <v>72</v>
      </c>
      <c r="E716" s="24" t="s">
        <v>167</v>
      </c>
      <c r="F716" s="26" t="s">
        <v>620</v>
      </c>
      <c r="G716" s="24"/>
      <c r="H716" s="22">
        <f t="shared" ref="H716:J717" si="88">H717</f>
        <v>2332</v>
      </c>
      <c r="I716" s="22">
        <f t="shared" si="88"/>
        <v>2332</v>
      </c>
      <c r="J716" s="22">
        <f t="shared" si="88"/>
        <v>2332</v>
      </c>
    </row>
    <row r="717" spans="2:10" s="57" customFormat="1" x14ac:dyDescent="0.2">
      <c r="B717" s="36" t="s">
        <v>621</v>
      </c>
      <c r="C717" s="24" t="s">
        <v>359</v>
      </c>
      <c r="D717" s="24" t="s">
        <v>72</v>
      </c>
      <c r="E717" s="24" t="s">
        <v>167</v>
      </c>
      <c r="F717" s="26" t="s">
        <v>622</v>
      </c>
      <c r="G717" s="24"/>
      <c r="H717" s="22">
        <f t="shared" si="88"/>
        <v>2332</v>
      </c>
      <c r="I717" s="22">
        <f t="shared" si="88"/>
        <v>2332</v>
      </c>
      <c r="J717" s="22">
        <f t="shared" si="88"/>
        <v>2332</v>
      </c>
    </row>
    <row r="718" spans="2:10" s="57" customFormat="1" ht="25.5" x14ac:dyDescent="0.2">
      <c r="B718" s="36" t="s">
        <v>35</v>
      </c>
      <c r="C718" s="24" t="s">
        <v>359</v>
      </c>
      <c r="D718" s="24" t="s">
        <v>72</v>
      </c>
      <c r="E718" s="24" t="s">
        <v>167</v>
      </c>
      <c r="F718" s="26" t="s">
        <v>622</v>
      </c>
      <c r="G718" s="24" t="s">
        <v>36</v>
      </c>
      <c r="H718" s="22">
        <f>2332</f>
        <v>2332</v>
      </c>
      <c r="I718" s="22">
        <v>2332</v>
      </c>
      <c r="J718" s="22">
        <v>2332</v>
      </c>
    </row>
    <row r="719" spans="2:10" s="57" customFormat="1" ht="25.5" x14ac:dyDescent="0.2">
      <c r="B719" s="23" t="s">
        <v>623</v>
      </c>
      <c r="C719" s="24" t="s">
        <v>359</v>
      </c>
      <c r="D719" s="24" t="s">
        <v>72</v>
      </c>
      <c r="E719" s="24" t="s">
        <v>167</v>
      </c>
      <c r="F719" s="26" t="s">
        <v>624</v>
      </c>
      <c r="G719" s="24"/>
      <c r="H719" s="22">
        <f t="shared" ref="H719:J720" si="89">H720</f>
        <v>760</v>
      </c>
      <c r="I719" s="22">
        <f t="shared" si="89"/>
        <v>760</v>
      </c>
      <c r="J719" s="22">
        <f t="shared" si="89"/>
        <v>760</v>
      </c>
    </row>
    <row r="720" spans="2:10" s="57" customFormat="1" x14ac:dyDescent="0.2">
      <c r="B720" s="36" t="s">
        <v>625</v>
      </c>
      <c r="C720" s="24" t="s">
        <v>359</v>
      </c>
      <c r="D720" s="24" t="s">
        <v>72</v>
      </c>
      <c r="E720" s="24" t="s">
        <v>167</v>
      </c>
      <c r="F720" s="26" t="s">
        <v>626</v>
      </c>
      <c r="G720" s="24"/>
      <c r="H720" s="22">
        <f t="shared" si="89"/>
        <v>760</v>
      </c>
      <c r="I720" s="22">
        <f t="shared" si="89"/>
        <v>760</v>
      </c>
      <c r="J720" s="22">
        <f t="shared" si="89"/>
        <v>760</v>
      </c>
    </row>
    <row r="721" spans="2:11" s="57" customFormat="1" ht="25.5" x14ac:dyDescent="0.2">
      <c r="B721" s="36" t="s">
        <v>35</v>
      </c>
      <c r="C721" s="24" t="s">
        <v>359</v>
      </c>
      <c r="D721" s="24" t="s">
        <v>72</v>
      </c>
      <c r="E721" s="24" t="s">
        <v>167</v>
      </c>
      <c r="F721" s="26" t="s">
        <v>626</v>
      </c>
      <c r="G721" s="24" t="s">
        <v>36</v>
      </c>
      <c r="H721" s="22">
        <v>760</v>
      </c>
      <c r="I721" s="22">
        <v>760</v>
      </c>
      <c r="J721" s="22">
        <v>760</v>
      </c>
    </row>
    <row r="722" spans="2:11" s="57" customFormat="1" x14ac:dyDescent="0.2">
      <c r="B722" s="141" t="s">
        <v>627</v>
      </c>
      <c r="C722" s="18" t="s">
        <v>359</v>
      </c>
      <c r="D722" s="143" t="s">
        <v>348</v>
      </c>
      <c r="E722" s="143"/>
      <c r="F722" s="26"/>
      <c r="G722" s="24"/>
      <c r="H722" s="19">
        <f t="shared" ref="H722:J723" si="90">H723</f>
        <v>6339.9</v>
      </c>
      <c r="I722" s="19">
        <f t="shared" si="90"/>
        <v>4526.8999999999996</v>
      </c>
      <c r="J722" s="19">
        <f t="shared" si="90"/>
        <v>4160</v>
      </c>
    </row>
    <row r="723" spans="2:11" s="57" customFormat="1" x14ac:dyDescent="0.2">
      <c r="B723" s="65" t="s">
        <v>349</v>
      </c>
      <c r="C723" s="18" t="s">
        <v>359</v>
      </c>
      <c r="D723" s="143" t="s">
        <v>348</v>
      </c>
      <c r="E723" s="143" t="s">
        <v>72</v>
      </c>
      <c r="F723" s="26"/>
      <c r="G723" s="24"/>
      <c r="H723" s="19">
        <f t="shared" si="90"/>
        <v>6339.9</v>
      </c>
      <c r="I723" s="19">
        <f t="shared" si="90"/>
        <v>4526.8999999999996</v>
      </c>
      <c r="J723" s="19">
        <f t="shared" si="90"/>
        <v>4160</v>
      </c>
    </row>
    <row r="724" spans="2:11" s="57" customFormat="1" ht="27.75" customHeight="1" x14ac:dyDescent="0.2">
      <c r="B724" s="41" t="s">
        <v>350</v>
      </c>
      <c r="C724" s="24" t="s">
        <v>359</v>
      </c>
      <c r="D724" s="94" t="s">
        <v>348</v>
      </c>
      <c r="E724" s="94" t="s">
        <v>72</v>
      </c>
      <c r="F724" s="26" t="s">
        <v>64</v>
      </c>
      <c r="G724" s="24"/>
      <c r="H724" s="22">
        <f>H733+H725</f>
        <v>6339.9</v>
      </c>
      <c r="I724" s="22">
        <f>I733+I725</f>
        <v>4526.8999999999996</v>
      </c>
      <c r="J724" s="22">
        <f>J733+J725</f>
        <v>4160</v>
      </c>
    </row>
    <row r="725" spans="2:11" s="57" customFormat="1" ht="18" customHeight="1" x14ac:dyDescent="0.2">
      <c r="B725" s="46" t="s">
        <v>187</v>
      </c>
      <c r="C725" s="24" t="s">
        <v>359</v>
      </c>
      <c r="D725" s="94" t="s">
        <v>348</v>
      </c>
      <c r="E725" s="94" t="s">
        <v>72</v>
      </c>
      <c r="F725" s="26" t="s">
        <v>351</v>
      </c>
      <c r="G725" s="24"/>
      <c r="H725" s="22">
        <f>H726</f>
        <v>4179.8999999999996</v>
      </c>
      <c r="I725" s="22">
        <f>I726</f>
        <v>2366.9</v>
      </c>
      <c r="J725" s="22">
        <f>J726</f>
        <v>2000</v>
      </c>
    </row>
    <row r="726" spans="2:11" s="57" customFormat="1" ht="27.75" customHeight="1" x14ac:dyDescent="0.2">
      <c r="B726" s="23" t="s">
        <v>356</v>
      </c>
      <c r="C726" s="24" t="s">
        <v>359</v>
      </c>
      <c r="D726" s="94" t="s">
        <v>348</v>
      </c>
      <c r="E726" s="94" t="s">
        <v>72</v>
      </c>
      <c r="F726" s="26" t="s">
        <v>357</v>
      </c>
      <c r="G726" s="24"/>
      <c r="H726" s="22">
        <f>H729+H727+H731</f>
        <v>4179.8999999999996</v>
      </c>
      <c r="I726" s="22">
        <f>I729+I727+I731</f>
        <v>2366.9</v>
      </c>
      <c r="J726" s="22">
        <f>J729+J727+J731</f>
        <v>2000</v>
      </c>
    </row>
    <row r="727" spans="2:11" s="57" customFormat="1" ht="15" customHeight="1" x14ac:dyDescent="0.2">
      <c r="B727" s="23" t="s">
        <v>628</v>
      </c>
      <c r="C727" s="24" t="s">
        <v>359</v>
      </c>
      <c r="D727" s="94" t="s">
        <v>348</v>
      </c>
      <c r="E727" s="94" t="s">
        <v>72</v>
      </c>
      <c r="F727" s="26" t="s">
        <v>629</v>
      </c>
      <c r="G727" s="24"/>
      <c r="H727" s="22">
        <f>H728</f>
        <v>2164.9</v>
      </c>
      <c r="I727" s="22">
        <f>I728</f>
        <v>1030.9000000000001</v>
      </c>
      <c r="J727" s="22">
        <f>J728</f>
        <v>0</v>
      </c>
    </row>
    <row r="728" spans="2:11" s="57" customFormat="1" ht="27.75" customHeight="1" x14ac:dyDescent="0.2">
      <c r="B728" s="23" t="s">
        <v>35</v>
      </c>
      <c r="C728" s="24" t="s">
        <v>359</v>
      </c>
      <c r="D728" s="94" t="s">
        <v>348</v>
      </c>
      <c r="E728" s="94" t="s">
        <v>72</v>
      </c>
      <c r="F728" s="26" t="s">
        <v>629</v>
      </c>
      <c r="G728" s="24" t="s">
        <v>36</v>
      </c>
      <c r="H728" s="22">
        <f>2100+64.9</f>
        <v>2164.9</v>
      </c>
      <c r="I728" s="22">
        <f>1000+30.9</f>
        <v>1030.9000000000001</v>
      </c>
      <c r="J728" s="22">
        <v>0</v>
      </c>
    </row>
    <row r="729" spans="2:11" s="57" customFormat="1" ht="27.75" customHeight="1" x14ac:dyDescent="0.2">
      <c r="B729" s="23" t="s">
        <v>358</v>
      </c>
      <c r="C729" s="24" t="s">
        <v>359</v>
      </c>
      <c r="D729" s="94" t="s">
        <v>348</v>
      </c>
      <c r="E729" s="94" t="s">
        <v>72</v>
      </c>
      <c r="F729" s="26" t="s">
        <v>360</v>
      </c>
      <c r="G729" s="24"/>
      <c r="H729" s="22">
        <f>H730</f>
        <v>1532</v>
      </c>
      <c r="I729" s="22">
        <f>I730</f>
        <v>336</v>
      </c>
      <c r="J729" s="22">
        <f>J730</f>
        <v>1000</v>
      </c>
    </row>
    <row r="730" spans="2:11" s="57" customFormat="1" ht="27.75" customHeight="1" x14ac:dyDescent="0.2">
      <c r="B730" s="23" t="s">
        <v>35</v>
      </c>
      <c r="C730" s="24" t="s">
        <v>359</v>
      </c>
      <c r="D730" s="94" t="s">
        <v>348</v>
      </c>
      <c r="E730" s="94" t="s">
        <v>72</v>
      </c>
      <c r="F730" s="26" t="s">
        <v>360</v>
      </c>
      <c r="G730" s="24" t="s">
        <v>36</v>
      </c>
      <c r="H730" s="22">
        <f>4082+800+650-4000</f>
        <v>1532</v>
      </c>
      <c r="I730" s="22">
        <f>1000-664</f>
        <v>336</v>
      </c>
      <c r="J730" s="22">
        <v>1000</v>
      </c>
      <c r="K730" s="39"/>
    </row>
    <row r="731" spans="2:11" s="57" customFormat="1" ht="27.75" customHeight="1" x14ac:dyDescent="0.2">
      <c r="B731" s="23" t="s">
        <v>630</v>
      </c>
      <c r="C731" s="24" t="s">
        <v>359</v>
      </c>
      <c r="D731" s="94" t="s">
        <v>348</v>
      </c>
      <c r="E731" s="94" t="s">
        <v>72</v>
      </c>
      <c r="F731" s="26" t="s">
        <v>631</v>
      </c>
      <c r="G731" s="24"/>
      <c r="H731" s="22">
        <f>H732</f>
        <v>483</v>
      </c>
      <c r="I731" s="22">
        <f>I732</f>
        <v>1000</v>
      </c>
      <c r="J731" s="22">
        <f>J732</f>
        <v>1000</v>
      </c>
      <c r="K731" s="39"/>
    </row>
    <row r="732" spans="2:11" s="57" customFormat="1" ht="27.75" customHeight="1" x14ac:dyDescent="0.2">
      <c r="B732" s="23" t="s">
        <v>35</v>
      </c>
      <c r="C732" s="24" t="s">
        <v>359</v>
      </c>
      <c r="D732" s="94" t="s">
        <v>348</v>
      </c>
      <c r="E732" s="94" t="s">
        <v>72</v>
      </c>
      <c r="F732" s="26" t="s">
        <v>631</v>
      </c>
      <c r="G732" s="24" t="s">
        <v>36</v>
      </c>
      <c r="H732" s="22">
        <f>3483-3000</f>
        <v>483</v>
      </c>
      <c r="I732" s="22">
        <v>1000</v>
      </c>
      <c r="J732" s="22">
        <v>1000</v>
      </c>
      <c r="K732" s="39"/>
    </row>
    <row r="733" spans="2:11" s="57" customFormat="1" x14ac:dyDescent="0.2">
      <c r="B733" s="91" t="s">
        <v>65</v>
      </c>
      <c r="C733" s="24" t="s">
        <v>359</v>
      </c>
      <c r="D733" s="94" t="s">
        <v>348</v>
      </c>
      <c r="E733" s="94" t="s">
        <v>72</v>
      </c>
      <c r="F733" s="26" t="s">
        <v>66</v>
      </c>
      <c r="G733" s="24"/>
      <c r="H733" s="22">
        <f t="shared" ref="H733:J735" si="91">H734</f>
        <v>2160</v>
      </c>
      <c r="I733" s="22">
        <f t="shared" si="91"/>
        <v>2160</v>
      </c>
      <c r="J733" s="22">
        <f t="shared" si="91"/>
        <v>2160</v>
      </c>
    </row>
    <row r="734" spans="2:11" s="57" customFormat="1" ht="30" customHeight="1" x14ac:dyDescent="0.2">
      <c r="B734" s="23" t="s">
        <v>632</v>
      </c>
      <c r="C734" s="24" t="s">
        <v>359</v>
      </c>
      <c r="D734" s="94" t="s">
        <v>348</v>
      </c>
      <c r="E734" s="94" t="s">
        <v>72</v>
      </c>
      <c r="F734" s="26" t="s">
        <v>633</v>
      </c>
      <c r="G734" s="24"/>
      <c r="H734" s="22">
        <f t="shared" si="91"/>
        <v>2160</v>
      </c>
      <c r="I734" s="22">
        <f t="shared" si="91"/>
        <v>2160</v>
      </c>
      <c r="J734" s="22">
        <f t="shared" si="91"/>
        <v>2160</v>
      </c>
    </row>
    <row r="735" spans="2:11" s="57" customFormat="1" ht="25.5" x14ac:dyDescent="0.2">
      <c r="B735" s="23" t="s">
        <v>634</v>
      </c>
      <c r="C735" s="24" t="s">
        <v>359</v>
      </c>
      <c r="D735" s="94" t="s">
        <v>348</v>
      </c>
      <c r="E735" s="94" t="s">
        <v>72</v>
      </c>
      <c r="F735" s="26" t="s">
        <v>635</v>
      </c>
      <c r="G735" s="24"/>
      <c r="H735" s="22">
        <f t="shared" si="91"/>
        <v>2160</v>
      </c>
      <c r="I735" s="22">
        <f t="shared" si="91"/>
        <v>2160</v>
      </c>
      <c r="J735" s="22">
        <f t="shared" si="91"/>
        <v>2160</v>
      </c>
    </row>
    <row r="736" spans="2:11" s="57" customFormat="1" ht="25.5" x14ac:dyDescent="0.2">
      <c r="B736" s="23" t="s">
        <v>35</v>
      </c>
      <c r="C736" s="24" t="s">
        <v>359</v>
      </c>
      <c r="D736" s="94" t="s">
        <v>348</v>
      </c>
      <c r="E736" s="94" t="s">
        <v>72</v>
      </c>
      <c r="F736" s="26" t="s">
        <v>635</v>
      </c>
      <c r="G736" s="24" t="s">
        <v>36</v>
      </c>
      <c r="H736" s="22">
        <v>2160</v>
      </c>
      <c r="I736" s="22">
        <v>2160</v>
      </c>
      <c r="J736" s="22">
        <v>2160</v>
      </c>
    </row>
    <row r="737" spans="2:10" s="64" customFormat="1" ht="18" customHeight="1" x14ac:dyDescent="0.2">
      <c r="B737" s="144" t="s">
        <v>636</v>
      </c>
      <c r="C737" s="145"/>
      <c r="D737" s="145"/>
      <c r="E737" s="145"/>
      <c r="F737" s="145"/>
      <c r="G737" s="145"/>
      <c r="H737" s="146">
        <f>H7+H432+H439+H447+H490+H535+H674</f>
        <v>799180.9</v>
      </c>
      <c r="I737" s="146">
        <f>I7+I432+I439+I447+I490+I535+I674</f>
        <v>619627.30000000005</v>
      </c>
      <c r="J737" s="146">
        <f>J7+J432+J439+J447+J490+J535+J674</f>
        <v>608312.1</v>
      </c>
    </row>
    <row r="738" spans="2:10" s="64" customFormat="1" ht="18.75" customHeight="1" x14ac:dyDescent="0.2">
      <c r="B738" s="144" t="s">
        <v>637</v>
      </c>
      <c r="C738" s="145"/>
      <c r="D738" s="145"/>
      <c r="E738" s="145"/>
      <c r="F738" s="145"/>
      <c r="G738" s="145"/>
      <c r="H738" s="146"/>
      <c r="I738" s="146">
        <v>9621.7999999999993</v>
      </c>
      <c r="J738" s="146">
        <v>19977.900000000001</v>
      </c>
    </row>
    <row r="739" spans="2:10" s="64" customFormat="1" x14ac:dyDescent="0.2">
      <c r="B739" s="144" t="s">
        <v>638</v>
      </c>
      <c r="C739" s="145"/>
      <c r="D739" s="145"/>
      <c r="E739" s="147"/>
      <c r="F739" s="147"/>
      <c r="G739" s="145"/>
      <c r="H739" s="146">
        <f>H737+H738</f>
        <v>799180.9</v>
      </c>
      <c r="I739" s="146">
        <f>I737+I738</f>
        <v>629249.10000000009</v>
      </c>
      <c r="J739" s="146">
        <f>J737+J738</f>
        <v>628290</v>
      </c>
    </row>
    <row r="740" spans="2:10" x14ac:dyDescent="0.2">
      <c r="C740" s="149"/>
      <c r="D740" s="149"/>
      <c r="E740" s="150"/>
      <c r="F740" s="150"/>
      <c r="G740" s="149"/>
      <c r="H740" s="151"/>
      <c r="I740" s="151"/>
      <c r="J740" s="151"/>
    </row>
    <row r="741" spans="2:10" x14ac:dyDescent="0.2">
      <c r="C741" s="149"/>
      <c r="D741" s="149"/>
      <c r="E741" s="150"/>
      <c r="F741" s="10"/>
      <c r="H741" s="152"/>
      <c r="I741" s="153"/>
      <c r="J741" s="152"/>
    </row>
    <row r="742" spans="2:10" x14ac:dyDescent="0.2">
      <c r="C742" s="149"/>
      <c r="D742" s="149"/>
      <c r="E742" s="150"/>
      <c r="F742" s="150"/>
      <c r="G742" s="149"/>
      <c r="H742" s="153"/>
      <c r="I742" s="153"/>
      <c r="J742" s="153"/>
    </row>
    <row r="743" spans="2:10" x14ac:dyDescent="0.2">
      <c r="C743" s="149"/>
      <c r="D743" s="149"/>
      <c r="E743" s="150"/>
      <c r="F743" s="10"/>
      <c r="G743" s="149"/>
      <c r="H743" s="151"/>
      <c r="I743" s="151"/>
      <c r="J743" s="151"/>
    </row>
    <row r="744" spans="2:10" x14ac:dyDescent="0.2">
      <c r="C744" s="149"/>
      <c r="D744" s="149"/>
      <c r="E744" s="150"/>
      <c r="F744" s="150"/>
      <c r="G744" s="149"/>
      <c r="H744" s="151"/>
      <c r="I744" s="151"/>
      <c r="J744" s="151"/>
    </row>
    <row r="745" spans="2:10" x14ac:dyDescent="0.2">
      <c r="C745" s="149"/>
      <c r="D745" s="149"/>
      <c r="E745" s="150"/>
      <c r="F745" s="150"/>
      <c r="G745" s="149"/>
      <c r="H745" s="151"/>
      <c r="I745" s="151"/>
      <c r="J745" s="151"/>
    </row>
    <row r="746" spans="2:10" x14ac:dyDescent="0.2">
      <c r="C746" s="149"/>
      <c r="D746" s="149"/>
      <c r="E746" s="150"/>
      <c r="F746" s="150"/>
      <c r="G746" s="149"/>
      <c r="H746" s="151"/>
      <c r="I746" s="151"/>
      <c r="J746" s="151"/>
    </row>
    <row r="747" spans="2:10" x14ac:dyDescent="0.2">
      <c r="C747" s="149"/>
      <c r="D747" s="149"/>
      <c r="E747" s="150"/>
      <c r="F747" s="150"/>
      <c r="G747" s="149"/>
      <c r="H747" s="151"/>
      <c r="I747" s="151"/>
      <c r="J747" s="151"/>
    </row>
    <row r="748" spans="2:10" x14ac:dyDescent="0.2">
      <c r="B748" s="154"/>
      <c r="C748" s="149"/>
      <c r="D748" s="149"/>
      <c r="E748" s="150"/>
      <c r="F748" s="150"/>
      <c r="G748" s="149"/>
      <c r="H748" s="155"/>
      <c r="I748" s="155"/>
      <c r="J748" s="155"/>
    </row>
    <row r="749" spans="2:10" x14ac:dyDescent="0.2">
      <c r="B749" s="154"/>
      <c r="C749" s="149"/>
      <c r="D749" s="149"/>
      <c r="E749" s="150"/>
      <c r="F749" s="150"/>
      <c r="G749" s="149"/>
      <c r="H749" s="156"/>
      <c r="I749" s="156"/>
      <c r="J749" s="156"/>
    </row>
    <row r="750" spans="2:10" x14ac:dyDescent="0.2">
      <c r="B750" s="154"/>
      <c r="C750" s="149"/>
      <c r="D750" s="150"/>
      <c r="E750" s="150"/>
      <c r="F750" s="150"/>
      <c r="G750" s="149"/>
      <c r="H750" s="155"/>
      <c r="I750" s="155"/>
      <c r="J750" s="155"/>
    </row>
    <row r="751" spans="2:10" x14ac:dyDescent="0.2">
      <c r="B751" s="154"/>
      <c r="C751" s="150"/>
      <c r="D751" s="150"/>
      <c r="E751" s="150"/>
      <c r="F751" s="150"/>
      <c r="G751" s="157"/>
      <c r="I751" s="1" t="s">
        <v>639</v>
      </c>
    </row>
    <row r="752" spans="2:10" x14ac:dyDescent="0.2">
      <c r="B752" s="154"/>
      <c r="C752" s="150"/>
      <c r="D752" s="150"/>
      <c r="E752" s="150"/>
      <c r="F752" s="150"/>
      <c r="G752" s="157"/>
    </row>
    <row r="760" spans="1:10" s="158" customFormat="1" ht="36" customHeight="1" x14ac:dyDescent="0.2">
      <c r="A760" s="2"/>
      <c r="B760" s="154"/>
      <c r="C760" s="1"/>
      <c r="D760" s="1"/>
      <c r="E760" s="1"/>
      <c r="F760" s="1"/>
      <c r="G760" s="9"/>
      <c r="H760" s="1"/>
      <c r="I760" s="1"/>
      <c r="J760" s="1"/>
    </row>
  </sheetData>
  <sheetProtection algorithmName="SHA-512" hashValue="SN62FHCOHEsimbv8QlmRcPo8ZyjZEI9v+WqQtZj14PRyvLqXIawESYFteIT6Ef41Pq0Cnw5626+BdPzDg2VInA==" saltValue="v9EvjgbYGu1myX9Dt4bzAQ==" spinCount="100000" sheet="1" formatCells="0" formatColumns="0" formatRows="0" insertColumns="0" insertRows="0" insertHyperlinks="0" deleteColumns="0" deleteRows="0" sort="0" autoFilter="0" pivotTables="0"/>
  <mergeCells count="2">
    <mergeCell ref="B1:J1"/>
    <mergeCell ref="B3:J3"/>
  </mergeCells>
  <printOptions horizontalCentered="1"/>
  <pageMargins left="0.15748031496062992" right="0.15748031496062992" top="0.31496062992125984" bottom="0.47244094488188981" header="0.39370078740157483" footer="0.59055118110236227"/>
  <pageSetup paperSize="9" scale="67" fitToHeight="1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4 Проект</vt:lpstr>
      <vt:lpstr>'Прил 4 Проект'!Заголовки_для_печати</vt:lpstr>
      <vt:lpstr>'Прил 4 Проект'!Область_печати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2024-11-18T19:57:01Z</dcterms:created>
  <dcterms:modified xsi:type="dcterms:W3CDTF">2024-11-18T19:58:23Z</dcterms:modified>
</cp:coreProperties>
</file>