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35" windowHeight="10890"/>
  </bookViews>
  <sheets>
    <sheet name="Прил 5 Проект" sheetId="1" r:id="rId1"/>
  </sheets>
  <definedNames>
    <definedName name="А">#REF!</definedName>
    <definedName name="_xlnm.Print_Area" localSheetId="0">'Прил 5 Проект'!$A$1:$I$565</definedName>
  </definedNames>
  <calcPr calcId="124519"/>
</workbook>
</file>

<file path=xl/calcChain.xml><?xml version="1.0" encoding="utf-8"?>
<calcChain xmlns="http://schemas.openxmlformats.org/spreadsheetml/2006/main">
  <c r="G564" i="1"/>
  <c r="F564"/>
  <c r="F563" s="1"/>
  <c r="F562" s="1"/>
  <c r="H563"/>
  <c r="G563"/>
  <c r="G562" s="1"/>
  <c r="G555" s="1"/>
  <c r="H562"/>
  <c r="I561"/>
  <c r="I560"/>
  <c r="H560"/>
  <c r="G560"/>
  <c r="F560"/>
  <c r="I559"/>
  <c r="H559"/>
  <c r="G559"/>
  <c r="F559"/>
  <c r="F555" s="1"/>
  <c r="I558"/>
  <c r="F558"/>
  <c r="H557"/>
  <c r="I557" s="1"/>
  <c r="G557"/>
  <c r="F557"/>
  <c r="H556"/>
  <c r="I556" s="1"/>
  <c r="G556"/>
  <c r="F556"/>
  <c r="H555"/>
  <c r="I555" s="1"/>
  <c r="I554"/>
  <c r="F554"/>
  <c r="I553"/>
  <c r="H553"/>
  <c r="G553"/>
  <c r="F553"/>
  <c r="I552"/>
  <c r="F552"/>
  <c r="H551"/>
  <c r="I551" s="1"/>
  <c r="G551"/>
  <c r="G548" s="1"/>
  <c r="G545" s="1"/>
  <c r="G536" s="1"/>
  <c r="F551"/>
  <c r="H549"/>
  <c r="G549"/>
  <c r="F549"/>
  <c r="H548"/>
  <c r="I548" s="1"/>
  <c r="F548"/>
  <c r="F545" s="1"/>
  <c r="I547"/>
  <c r="F547"/>
  <c r="H546"/>
  <c r="I546" s="1"/>
  <c r="G546"/>
  <c r="F546"/>
  <c r="H545"/>
  <c r="I545" s="1"/>
  <c r="I544"/>
  <c r="F544"/>
  <c r="H543"/>
  <c r="I543" s="1"/>
  <c r="G543"/>
  <c r="F543"/>
  <c r="H542"/>
  <c r="I542" s="1"/>
  <c r="G542"/>
  <c r="F542"/>
  <c r="H541"/>
  <c r="I541" s="1"/>
  <c r="G541"/>
  <c r="F541"/>
  <c r="H540"/>
  <c r="I540" s="1"/>
  <c r="G540"/>
  <c r="F540"/>
  <c r="F537" s="1"/>
  <c r="F536" s="1"/>
  <c r="I539"/>
  <c r="H538"/>
  <c r="I538" s="1"/>
  <c r="G538"/>
  <c r="F538"/>
  <c r="H537"/>
  <c r="I537" s="1"/>
  <c r="G537"/>
  <c r="H536"/>
  <c r="I536" s="1"/>
  <c r="I535"/>
  <c r="F535"/>
  <c r="I534"/>
  <c r="H534"/>
  <c r="G534"/>
  <c r="F534"/>
  <c r="I533"/>
  <c r="H533"/>
  <c r="G533"/>
  <c r="F533"/>
  <c r="F529" s="1"/>
  <c r="I532"/>
  <c r="F532"/>
  <c r="I531"/>
  <c r="H531"/>
  <c r="G531"/>
  <c r="F531"/>
  <c r="I530"/>
  <c r="H530"/>
  <c r="G530"/>
  <c r="F530"/>
  <c r="H529"/>
  <c r="I529" s="1"/>
  <c r="G529"/>
  <c r="I528"/>
  <c r="H527"/>
  <c r="I527" s="1"/>
  <c r="G527"/>
  <c r="F527"/>
  <c r="H526"/>
  <c r="I526" s="1"/>
  <c r="G526"/>
  <c r="F526"/>
  <c r="I525"/>
  <c r="F525"/>
  <c r="F523" s="1"/>
  <c r="F522" s="1"/>
  <c r="F521" s="1"/>
  <c r="I524"/>
  <c r="F524"/>
  <c r="H523"/>
  <c r="I523" s="1"/>
  <c r="G523"/>
  <c r="H522"/>
  <c r="I522" s="1"/>
  <c r="G522"/>
  <c r="H521"/>
  <c r="I521" s="1"/>
  <c r="G521"/>
  <c r="I520"/>
  <c r="I519"/>
  <c r="H518"/>
  <c r="I518" s="1"/>
  <c r="G518"/>
  <c r="F518"/>
  <c r="H517"/>
  <c r="I517" s="1"/>
  <c r="G517"/>
  <c r="F517"/>
  <c r="I516"/>
  <c r="F516"/>
  <c r="H515"/>
  <c r="I515" s="1"/>
  <c r="G515"/>
  <c r="F515"/>
  <c r="F514"/>
  <c r="F513" s="1"/>
  <c r="H513"/>
  <c r="G513"/>
  <c r="F512"/>
  <c r="F511" s="1"/>
  <c r="H511"/>
  <c r="G511"/>
  <c r="I510"/>
  <c r="I509"/>
  <c r="H509"/>
  <c r="G509"/>
  <c r="F509"/>
  <c r="I508"/>
  <c r="H508"/>
  <c r="G508"/>
  <c r="F508"/>
  <c r="G507"/>
  <c r="H505"/>
  <c r="H504" s="1"/>
  <c r="H496" s="1"/>
  <c r="G505"/>
  <c r="F505"/>
  <c r="F504" s="1"/>
  <c r="G504"/>
  <c r="F503"/>
  <c r="F502" s="1"/>
  <c r="H502"/>
  <c r="G502"/>
  <c r="I501"/>
  <c r="H501"/>
  <c r="G501"/>
  <c r="F501"/>
  <c r="I500"/>
  <c r="H500"/>
  <c r="G500"/>
  <c r="G496" s="1"/>
  <c r="F500"/>
  <c r="I499"/>
  <c r="H498"/>
  <c r="I498" s="1"/>
  <c r="G498"/>
  <c r="F498"/>
  <c r="H497"/>
  <c r="I497" s="1"/>
  <c r="G497"/>
  <c r="F497"/>
  <c r="I495"/>
  <c r="I494"/>
  <c r="H494"/>
  <c r="G494"/>
  <c r="G489" s="1"/>
  <c r="G488" s="1"/>
  <c r="F494"/>
  <c r="I493"/>
  <c r="I492"/>
  <c r="F492"/>
  <c r="H491"/>
  <c r="I491" s="1"/>
  <c r="G491"/>
  <c r="F491"/>
  <c r="H490"/>
  <c r="I490" s="1"/>
  <c r="G490"/>
  <c r="F490"/>
  <c r="H489"/>
  <c r="I489" s="1"/>
  <c r="F489"/>
  <c r="I487"/>
  <c r="I486"/>
  <c r="H486"/>
  <c r="G486"/>
  <c r="F486"/>
  <c r="I485"/>
  <c r="I484"/>
  <c r="F484"/>
  <c r="I483"/>
  <c r="I482"/>
  <c r="H482"/>
  <c r="G482"/>
  <c r="F482"/>
  <c r="I481"/>
  <c r="H481"/>
  <c r="G481"/>
  <c r="F481"/>
  <c r="I480"/>
  <c r="H479"/>
  <c r="I479" s="1"/>
  <c r="G479"/>
  <c r="F479"/>
  <c r="I478"/>
  <c r="H477"/>
  <c r="I477" s="1"/>
  <c r="G477"/>
  <c r="F477"/>
  <c r="I476"/>
  <c r="H475"/>
  <c r="I475" s="1"/>
  <c r="G475"/>
  <c r="F475"/>
  <c r="F470" s="1"/>
  <c r="F469" s="1"/>
  <c r="I474"/>
  <c r="I473"/>
  <c r="F473"/>
  <c r="I472"/>
  <c r="H472"/>
  <c r="G472"/>
  <c r="F472"/>
  <c r="H471"/>
  <c r="I471" s="1"/>
  <c r="G471"/>
  <c r="F471"/>
  <c r="H470"/>
  <c r="I470" s="1"/>
  <c r="G470"/>
  <c r="H469"/>
  <c r="I469" s="1"/>
  <c r="G469"/>
  <c r="H468"/>
  <c r="I468" s="1"/>
  <c r="G468"/>
  <c r="F468"/>
  <c r="H467"/>
  <c r="I467" s="1"/>
  <c r="G467"/>
  <c r="G464" s="1"/>
  <c r="G454" s="1"/>
  <c r="F467"/>
  <c r="I466"/>
  <c r="H465"/>
  <c r="I465" s="1"/>
  <c r="G465"/>
  <c r="F465"/>
  <c r="H464"/>
  <c r="I464" s="1"/>
  <c r="F464"/>
  <c r="I463"/>
  <c r="I462"/>
  <c r="H462"/>
  <c r="G462"/>
  <c r="F462"/>
  <c r="I461"/>
  <c r="H461"/>
  <c r="G461"/>
  <c r="F461"/>
  <c r="I460"/>
  <c r="H459"/>
  <c r="I459" s="1"/>
  <c r="G459"/>
  <c r="F459"/>
  <c r="H458"/>
  <c r="I458" s="1"/>
  <c r="G458"/>
  <c r="F458"/>
  <c r="F454" s="1"/>
  <c r="I457"/>
  <c r="H456"/>
  <c r="I456" s="1"/>
  <c r="G456"/>
  <c r="F456"/>
  <c r="I455"/>
  <c r="H455"/>
  <c r="G455"/>
  <c r="F455"/>
  <c r="H454"/>
  <c r="I454" s="1"/>
  <c r="I453"/>
  <c r="H452"/>
  <c r="I452" s="1"/>
  <c r="G452"/>
  <c r="F452"/>
  <c r="H451"/>
  <c r="I451" s="1"/>
  <c r="G451"/>
  <c r="F451"/>
  <c r="H450"/>
  <c r="I450" s="1"/>
  <c r="G450"/>
  <c r="F450"/>
  <c r="I449"/>
  <c r="F449"/>
  <c r="H448"/>
  <c r="I448" s="1"/>
  <c r="G448"/>
  <c r="F448"/>
  <c r="H447"/>
  <c r="I447" s="1"/>
  <c r="G447"/>
  <c r="F447"/>
  <c r="I446"/>
  <c r="H445"/>
  <c r="I445" s="1"/>
  <c r="G445"/>
  <c r="F445"/>
  <c r="H443"/>
  <c r="G443"/>
  <c r="F443"/>
  <c r="F438" s="1"/>
  <c r="F437" s="1"/>
  <c r="I442"/>
  <c r="H441"/>
  <c r="H438" s="1"/>
  <c r="G441"/>
  <c r="G438" s="1"/>
  <c r="G437" s="1"/>
  <c r="G418" s="1"/>
  <c r="F441"/>
  <c r="I440"/>
  <c r="F440"/>
  <c r="I439"/>
  <c r="H439"/>
  <c r="G439"/>
  <c r="F439"/>
  <c r="I436"/>
  <c r="H435"/>
  <c r="I435" s="1"/>
  <c r="G435"/>
  <c r="F435"/>
  <c r="H434"/>
  <c r="I434" s="1"/>
  <c r="G434"/>
  <c r="F434"/>
  <c r="H432"/>
  <c r="G432"/>
  <c r="F432"/>
  <c r="F431"/>
  <c r="F430" s="1"/>
  <c r="F425" s="1"/>
  <c r="F419" s="1"/>
  <c r="H430"/>
  <c r="G430"/>
  <c r="I428"/>
  <c r="G428"/>
  <c r="I427"/>
  <c r="F427"/>
  <c r="I426"/>
  <c r="H426"/>
  <c r="G426"/>
  <c r="F426"/>
  <c r="I425"/>
  <c r="H425"/>
  <c r="G425"/>
  <c r="I424"/>
  <c r="F424"/>
  <c r="I423"/>
  <c r="F423"/>
  <c r="I422"/>
  <c r="H421"/>
  <c r="I421" s="1"/>
  <c r="G421"/>
  <c r="F421"/>
  <c r="H420"/>
  <c r="I420" s="1"/>
  <c r="G420"/>
  <c r="F420"/>
  <c r="H419"/>
  <c r="I419" s="1"/>
  <c r="G419"/>
  <c r="H417"/>
  <c r="I417" s="1"/>
  <c r="G417"/>
  <c r="F417"/>
  <c r="H416"/>
  <c r="I416" s="1"/>
  <c r="G416"/>
  <c r="F416"/>
  <c r="F413" s="1"/>
  <c r="F412" s="1"/>
  <c r="I415"/>
  <c r="I414"/>
  <c r="H414"/>
  <c r="G414"/>
  <c r="F414"/>
  <c r="I413"/>
  <c r="H413"/>
  <c r="G413"/>
  <c r="I412"/>
  <c r="H412"/>
  <c r="G412"/>
  <c r="I411"/>
  <c r="H410"/>
  <c r="H407" s="1"/>
  <c r="G410"/>
  <c r="F410"/>
  <c r="I409"/>
  <c r="I408"/>
  <c r="H408"/>
  <c r="G408"/>
  <c r="F408"/>
  <c r="G407"/>
  <c r="F407"/>
  <c r="I406"/>
  <c r="H406"/>
  <c r="G406"/>
  <c r="F406"/>
  <c r="I405"/>
  <c r="H405"/>
  <c r="G405"/>
  <c r="F405"/>
  <c r="I404"/>
  <c r="H404"/>
  <c r="G404"/>
  <c r="F404"/>
  <c r="I403"/>
  <c r="H403"/>
  <c r="G403"/>
  <c r="F403"/>
  <c r="F400" s="1"/>
  <c r="F399" s="1"/>
  <c r="F398" s="1"/>
  <c r="I402"/>
  <c r="F402"/>
  <c r="I401"/>
  <c r="H401"/>
  <c r="G401"/>
  <c r="F401"/>
  <c r="I400"/>
  <c r="H400"/>
  <c r="G400"/>
  <c r="G399"/>
  <c r="G398"/>
  <c r="I397"/>
  <c r="H396"/>
  <c r="I396" s="1"/>
  <c r="G396"/>
  <c r="F396"/>
  <c r="H395"/>
  <c r="I395" s="1"/>
  <c r="G395"/>
  <c r="F395"/>
  <c r="H394"/>
  <c r="H392" s="1"/>
  <c r="G394"/>
  <c r="F394"/>
  <c r="F392" s="1"/>
  <c r="F391" s="1"/>
  <c r="I393"/>
  <c r="G392"/>
  <c r="G391"/>
  <c r="F390"/>
  <c r="F389" s="1"/>
  <c r="F381" s="1"/>
  <c r="F376" s="1"/>
  <c r="H389"/>
  <c r="G389"/>
  <c r="I388"/>
  <c r="H387"/>
  <c r="I387" s="1"/>
  <c r="G387"/>
  <c r="F387"/>
  <c r="I386"/>
  <c r="I385"/>
  <c r="H384"/>
  <c r="I384" s="1"/>
  <c r="G384"/>
  <c r="F384"/>
  <c r="I383"/>
  <c r="F383"/>
  <c r="H382"/>
  <c r="I382" s="1"/>
  <c r="G382"/>
  <c r="F382"/>
  <c r="H381"/>
  <c r="G381"/>
  <c r="I379"/>
  <c r="I378"/>
  <c r="H378"/>
  <c r="G378"/>
  <c r="F378"/>
  <c r="I377"/>
  <c r="H377"/>
  <c r="G377"/>
  <c r="F377"/>
  <c r="G376"/>
  <c r="I375"/>
  <c r="H374"/>
  <c r="I374" s="1"/>
  <c r="G374"/>
  <c r="F374"/>
  <c r="H373"/>
  <c r="I373" s="1"/>
  <c r="G373"/>
  <c r="F373"/>
  <c r="H372"/>
  <c r="I372" s="1"/>
  <c r="G372"/>
  <c r="F372"/>
  <c r="I371"/>
  <c r="F371"/>
  <c r="H370"/>
  <c r="I370" s="1"/>
  <c r="G370"/>
  <c r="G365" s="1"/>
  <c r="F370"/>
  <c r="F365" s="1"/>
  <c r="F350" s="1"/>
  <c r="F326" s="1"/>
  <c r="G369"/>
  <c r="F369"/>
  <c r="F368" s="1"/>
  <c r="H368"/>
  <c r="G368"/>
  <c r="I367"/>
  <c r="H366"/>
  <c r="I366" s="1"/>
  <c r="G366"/>
  <c r="F366"/>
  <c r="H365"/>
  <c r="I365" s="1"/>
  <c r="I364"/>
  <c r="I363"/>
  <c r="H363"/>
  <c r="G363"/>
  <c r="F363"/>
  <c r="I362"/>
  <c r="H362"/>
  <c r="G362"/>
  <c r="F362"/>
  <c r="I361"/>
  <c r="I360"/>
  <c r="G360"/>
  <c r="G359" s="1"/>
  <c r="G358" s="1"/>
  <c r="G350" s="1"/>
  <c r="G326" s="1"/>
  <c r="H359"/>
  <c r="I359" s="1"/>
  <c r="F359"/>
  <c r="H358"/>
  <c r="I358" s="1"/>
  <c r="F358"/>
  <c r="I357"/>
  <c r="I356"/>
  <c r="H356"/>
  <c r="G356"/>
  <c r="F356"/>
  <c r="I355"/>
  <c r="H355"/>
  <c r="G355"/>
  <c r="F355"/>
  <c r="I354"/>
  <c r="H353"/>
  <c r="I353" s="1"/>
  <c r="G353"/>
  <c r="F353"/>
  <c r="H352"/>
  <c r="I352" s="1"/>
  <c r="G352"/>
  <c r="F352"/>
  <c r="H351"/>
  <c r="I351" s="1"/>
  <c r="G351"/>
  <c r="F351"/>
  <c r="H350"/>
  <c r="I350" s="1"/>
  <c r="I349"/>
  <c r="I348"/>
  <c r="H347"/>
  <c r="I347" s="1"/>
  <c r="G347"/>
  <c r="F347"/>
  <c r="H346"/>
  <c r="I346" s="1"/>
  <c r="G346"/>
  <c r="F346"/>
  <c r="I345"/>
  <c r="I344"/>
  <c r="H343"/>
  <c r="I343" s="1"/>
  <c r="G343"/>
  <c r="F343"/>
  <c r="H342"/>
  <c r="I342" s="1"/>
  <c r="G342"/>
  <c r="F342"/>
  <c r="H341"/>
  <c r="I341" s="1"/>
  <c r="G341"/>
  <c r="F341"/>
  <c r="H340"/>
  <c r="I340" s="1"/>
  <c r="G340"/>
  <c r="F340"/>
  <c r="H338"/>
  <c r="G338"/>
  <c r="F338"/>
  <c r="I337"/>
  <c r="H336"/>
  <c r="I336" s="1"/>
  <c r="I335" s="1"/>
  <c r="G336"/>
  <c r="F336"/>
  <c r="H335"/>
  <c r="H327" s="1"/>
  <c r="G335"/>
  <c r="F335"/>
  <c r="I334"/>
  <c r="I333"/>
  <c r="H333"/>
  <c r="G333"/>
  <c r="F333"/>
  <c r="I332"/>
  <c r="H332"/>
  <c r="G332"/>
  <c r="F332"/>
  <c r="I331"/>
  <c r="I330"/>
  <c r="I329"/>
  <c r="H329"/>
  <c r="G329"/>
  <c r="F329"/>
  <c r="I328"/>
  <c r="H328"/>
  <c r="G328"/>
  <c r="F328"/>
  <c r="G327"/>
  <c r="F327"/>
  <c r="I325"/>
  <c r="H325"/>
  <c r="G325"/>
  <c r="F325"/>
  <c r="I324"/>
  <c r="H324"/>
  <c r="G324"/>
  <c r="F324"/>
  <c r="I323"/>
  <c r="H323"/>
  <c r="G323"/>
  <c r="F323"/>
  <c r="I322"/>
  <c r="H321"/>
  <c r="I321" s="1"/>
  <c r="G321"/>
  <c r="G316" s="1"/>
  <c r="G315" s="1"/>
  <c r="F321"/>
  <c r="I319"/>
  <c r="F319"/>
  <c r="H318"/>
  <c r="I318" s="1"/>
  <c r="G318"/>
  <c r="F318"/>
  <c r="H317"/>
  <c r="I317" s="1"/>
  <c r="G317"/>
  <c r="F317"/>
  <c r="H316"/>
  <c r="I316" s="1"/>
  <c r="F316"/>
  <c r="H315"/>
  <c r="I315" s="1"/>
  <c r="F315"/>
  <c r="H314"/>
  <c r="G314"/>
  <c r="G313" s="1"/>
  <c r="G312" s="1"/>
  <c r="F314"/>
  <c r="H313"/>
  <c r="H312" s="1"/>
  <c r="F313"/>
  <c r="F312" s="1"/>
  <c r="I311"/>
  <c r="H310"/>
  <c r="I310" s="1"/>
  <c r="G310"/>
  <c r="F310"/>
  <c r="H309"/>
  <c r="I309" s="1"/>
  <c r="G309"/>
  <c r="F309"/>
  <c r="I308"/>
  <c r="I307"/>
  <c r="H307"/>
  <c r="G307"/>
  <c r="F307"/>
  <c r="I306"/>
  <c r="H306"/>
  <c r="G306"/>
  <c r="F306"/>
  <c r="I305"/>
  <c r="H304"/>
  <c r="I304" s="1"/>
  <c r="G304"/>
  <c r="F304"/>
  <c r="H303"/>
  <c r="I303" s="1"/>
  <c r="G303"/>
  <c r="F303"/>
  <c r="I302"/>
  <c r="I301"/>
  <c r="H300"/>
  <c r="I300" s="1"/>
  <c r="G300"/>
  <c r="F300"/>
  <c r="H299"/>
  <c r="I299" s="1"/>
  <c r="G299"/>
  <c r="F299"/>
  <c r="I298"/>
  <c r="F298"/>
  <c r="H297"/>
  <c r="I297" s="1"/>
  <c r="G297"/>
  <c r="F297"/>
  <c r="I296"/>
  <c r="F296"/>
  <c r="H295"/>
  <c r="I295" s="1"/>
  <c r="G295"/>
  <c r="G292" s="1"/>
  <c r="F295"/>
  <c r="F292" s="1"/>
  <c r="I294"/>
  <c r="F294"/>
  <c r="H293"/>
  <c r="I293" s="1"/>
  <c r="G293"/>
  <c r="F293"/>
  <c r="H292"/>
  <c r="I292" s="1"/>
  <c r="I291"/>
  <c r="I290"/>
  <c r="H289"/>
  <c r="I289" s="1"/>
  <c r="G289"/>
  <c r="F289"/>
  <c r="I288"/>
  <c r="H287"/>
  <c r="I287" s="1"/>
  <c r="G287"/>
  <c r="G284" s="1"/>
  <c r="F287"/>
  <c r="I286"/>
  <c r="H285"/>
  <c r="I285" s="1"/>
  <c r="G285"/>
  <c r="F285"/>
  <c r="H284"/>
  <c r="I284" s="1"/>
  <c r="F284"/>
  <c r="I283"/>
  <c r="I282"/>
  <c r="H282"/>
  <c r="G282"/>
  <c r="F282"/>
  <c r="I281"/>
  <c r="H280"/>
  <c r="I280" s="1"/>
  <c r="G280"/>
  <c r="F280"/>
  <c r="I279"/>
  <c r="I278"/>
  <c r="H278"/>
  <c r="G278"/>
  <c r="G275" s="1"/>
  <c r="F278"/>
  <c r="I277"/>
  <c r="H276"/>
  <c r="I276" s="1"/>
  <c r="G276"/>
  <c r="F276"/>
  <c r="H275"/>
  <c r="I275" s="1"/>
  <c r="F275"/>
  <c r="I274"/>
  <c r="I273"/>
  <c r="H273"/>
  <c r="G273"/>
  <c r="F273"/>
  <c r="I272"/>
  <c r="I271"/>
  <c r="I270"/>
  <c r="H270"/>
  <c r="G270"/>
  <c r="G268" s="1"/>
  <c r="G267" s="1"/>
  <c r="F270"/>
  <c r="I269"/>
  <c r="H268"/>
  <c r="I268" s="1"/>
  <c r="F268"/>
  <c r="H267"/>
  <c r="I267" s="1"/>
  <c r="F267"/>
  <c r="F266"/>
  <c r="H265"/>
  <c r="G265"/>
  <c r="F265"/>
  <c r="I264"/>
  <c r="I263"/>
  <c r="H263"/>
  <c r="G263"/>
  <c r="F263"/>
  <c r="I262"/>
  <c r="H261"/>
  <c r="I261" s="1"/>
  <c r="G261"/>
  <c r="F261"/>
  <c r="H260"/>
  <c r="I260" s="1"/>
  <c r="G260"/>
  <c r="F260"/>
  <c r="H259"/>
  <c r="I259" s="1"/>
  <c r="G259"/>
  <c r="F259"/>
  <c r="H258"/>
  <c r="I258" s="1"/>
  <c r="G258"/>
  <c r="F258"/>
  <c r="H257"/>
  <c r="I257" s="1"/>
  <c r="G257"/>
  <c r="F257"/>
  <c r="H256"/>
  <c r="I256" s="1"/>
  <c r="G256"/>
  <c r="F256"/>
  <c r="I255"/>
  <c r="I254"/>
  <c r="H254"/>
  <c r="G254"/>
  <c r="F254"/>
  <c r="F253"/>
  <c r="F252" s="1"/>
  <c r="H252"/>
  <c r="G252"/>
  <c r="G251"/>
  <c r="H250"/>
  <c r="G250"/>
  <c r="F250"/>
  <c r="G249"/>
  <c r="G248" s="1"/>
  <c r="F249"/>
  <c r="H248"/>
  <c r="F248"/>
  <c r="G247"/>
  <c r="F247"/>
  <c r="F246" s="1"/>
  <c r="F233" s="1"/>
  <c r="H246"/>
  <c r="G246"/>
  <c r="I245"/>
  <c r="H245"/>
  <c r="G245"/>
  <c r="F245"/>
  <c r="I244"/>
  <c r="H244"/>
  <c r="G244"/>
  <c r="F244"/>
  <c r="I243"/>
  <c r="H242"/>
  <c r="I242" s="1"/>
  <c r="G242"/>
  <c r="F242"/>
  <c r="I241"/>
  <c r="H240"/>
  <c r="I240" s="1"/>
  <c r="G240"/>
  <c r="F240"/>
  <c r="H239"/>
  <c r="I239" s="1"/>
  <c r="G239"/>
  <c r="G233" s="1"/>
  <c r="F239"/>
  <c r="I238"/>
  <c r="H237"/>
  <c r="I237" s="1"/>
  <c r="G237"/>
  <c r="F237"/>
  <c r="H236"/>
  <c r="I236" s="1"/>
  <c r="G236"/>
  <c r="F236"/>
  <c r="H235"/>
  <c r="I235" s="1"/>
  <c r="G235"/>
  <c r="F235"/>
  <c r="H234"/>
  <c r="I234" s="1"/>
  <c r="G234"/>
  <c r="F234"/>
  <c r="H233"/>
  <c r="I233" s="1"/>
  <c r="H232"/>
  <c r="I232" s="1"/>
  <c r="G232"/>
  <c r="F232"/>
  <c r="F231" s="1"/>
  <c r="F224" s="1"/>
  <c r="F223" s="1"/>
  <c r="F222" s="1"/>
  <c r="G231"/>
  <c r="F230"/>
  <c r="F229" s="1"/>
  <c r="H229"/>
  <c r="G229"/>
  <c r="H228"/>
  <c r="I228" s="1"/>
  <c r="G228"/>
  <c r="F228"/>
  <c r="H227"/>
  <c r="I227" s="1"/>
  <c r="G227"/>
  <c r="F227"/>
  <c r="H226"/>
  <c r="I226" s="1"/>
  <c r="G226"/>
  <c r="F226"/>
  <c r="H225"/>
  <c r="G225"/>
  <c r="F225"/>
  <c r="G224"/>
  <c r="I221"/>
  <c r="H220"/>
  <c r="I220" s="1"/>
  <c r="G220"/>
  <c r="F220"/>
  <c r="H219"/>
  <c r="I219" s="1"/>
  <c r="G219"/>
  <c r="F219"/>
  <c r="H217"/>
  <c r="G217"/>
  <c r="F217"/>
  <c r="H216"/>
  <c r="I216" s="1"/>
  <c r="G216"/>
  <c r="F216"/>
  <c r="H215"/>
  <c r="I215" s="1"/>
  <c r="G215"/>
  <c r="F215"/>
  <c r="F214"/>
  <c r="F213" s="1"/>
  <c r="F202" s="1"/>
  <c r="F201" s="1"/>
  <c r="H213"/>
  <c r="G213"/>
  <c r="I212"/>
  <c r="I211"/>
  <c r="I210"/>
  <c r="I209"/>
  <c r="H208"/>
  <c r="I208" s="1"/>
  <c r="G208"/>
  <c r="G202" s="1"/>
  <c r="G201" s="1"/>
  <c r="F208"/>
  <c r="I207"/>
  <c r="H206"/>
  <c r="I206" s="1"/>
  <c r="G206"/>
  <c r="F206"/>
  <c r="I205"/>
  <c r="F205"/>
  <c r="H204"/>
  <c r="I204" s="1"/>
  <c r="G204"/>
  <c r="F204"/>
  <c r="H203"/>
  <c r="I203" s="1"/>
  <c r="G203"/>
  <c r="F203"/>
  <c r="I200"/>
  <c r="F200"/>
  <c r="H199"/>
  <c r="H195" s="1"/>
  <c r="I195" s="1"/>
  <c r="G199"/>
  <c r="F199"/>
  <c r="I197"/>
  <c r="I196"/>
  <c r="H196"/>
  <c r="G196"/>
  <c r="F196"/>
  <c r="G195"/>
  <c r="F195"/>
  <c r="I194"/>
  <c r="H193"/>
  <c r="I193" s="1"/>
  <c r="G193"/>
  <c r="F193"/>
  <c r="H192"/>
  <c r="I192" s="1"/>
  <c r="G192"/>
  <c r="F192"/>
  <c r="F189" s="1"/>
  <c r="I191"/>
  <c r="H190"/>
  <c r="I190" s="1"/>
  <c r="G190"/>
  <c r="F190"/>
  <c r="H189"/>
  <c r="I189" s="1"/>
  <c r="G189"/>
  <c r="I188"/>
  <c r="H187"/>
  <c r="I187" s="1"/>
  <c r="G187"/>
  <c r="F187"/>
  <c r="H186"/>
  <c r="I186" s="1"/>
  <c r="G186"/>
  <c r="F186"/>
  <c r="H184"/>
  <c r="G184"/>
  <c r="F184"/>
  <c r="F183"/>
  <c r="F182" s="1"/>
  <c r="F173" s="1"/>
  <c r="H182"/>
  <c r="G182"/>
  <c r="I181"/>
  <c r="H180"/>
  <c r="I180" s="1"/>
  <c r="G180"/>
  <c r="F180"/>
  <c r="H179"/>
  <c r="I179" s="1"/>
  <c r="G179"/>
  <c r="F179"/>
  <c r="H178"/>
  <c r="H173" s="1"/>
  <c r="I173" s="1"/>
  <c r="G178"/>
  <c r="F178"/>
  <c r="I177"/>
  <c r="I176"/>
  <c r="H176"/>
  <c r="G176"/>
  <c r="F176"/>
  <c r="I174"/>
  <c r="H174"/>
  <c r="G174"/>
  <c r="F174"/>
  <c r="G173"/>
  <c r="I172"/>
  <c r="H171"/>
  <c r="I171" s="1"/>
  <c r="G171"/>
  <c r="F171"/>
  <c r="H170"/>
  <c r="I170" s="1"/>
  <c r="G170"/>
  <c r="F170"/>
  <c r="H169"/>
  <c r="I169" s="1"/>
  <c r="G169"/>
  <c r="F169"/>
  <c r="H168"/>
  <c r="I168" s="1"/>
  <c r="G168"/>
  <c r="F168"/>
  <c r="I167"/>
  <c r="H166"/>
  <c r="I166" s="1"/>
  <c r="G166"/>
  <c r="G155" s="1"/>
  <c r="G134" s="1"/>
  <c r="F166"/>
  <c r="I165"/>
  <c r="F165"/>
  <c r="I164"/>
  <c r="H164"/>
  <c r="G164"/>
  <c r="F164"/>
  <c r="I163"/>
  <c r="H162"/>
  <c r="I162" s="1"/>
  <c r="G162"/>
  <c r="F162"/>
  <c r="H161"/>
  <c r="I161" s="1"/>
  <c r="G161"/>
  <c r="G160"/>
  <c r="F160"/>
  <c r="I159"/>
  <c r="I158"/>
  <c r="F158"/>
  <c r="H157"/>
  <c r="I157" s="1"/>
  <c r="G157"/>
  <c r="F157"/>
  <c r="H156"/>
  <c r="I156" s="1"/>
  <c r="G156"/>
  <c r="F156"/>
  <c r="F155"/>
  <c r="I154"/>
  <c r="I153"/>
  <c r="H153"/>
  <c r="G153"/>
  <c r="F153"/>
  <c r="I152"/>
  <c r="H152"/>
  <c r="G152"/>
  <c r="F152"/>
  <c r="F151"/>
  <c r="F150" s="1"/>
  <c r="F145" s="1"/>
  <c r="H150"/>
  <c r="G150"/>
  <c r="I149"/>
  <c r="H148"/>
  <c r="I148" s="1"/>
  <c r="G148"/>
  <c r="F148"/>
  <c r="H147"/>
  <c r="I147" s="1"/>
  <c r="G147"/>
  <c r="F147"/>
  <c r="H146"/>
  <c r="I146" s="1"/>
  <c r="G146"/>
  <c r="F146"/>
  <c r="H145"/>
  <c r="I145" s="1"/>
  <c r="G145"/>
  <c r="I144"/>
  <c r="H143"/>
  <c r="I143" s="1"/>
  <c r="G143"/>
  <c r="F143"/>
  <c r="I142"/>
  <c r="H141"/>
  <c r="I141" s="1"/>
  <c r="G141"/>
  <c r="F141"/>
  <c r="H140"/>
  <c r="I140" s="1"/>
  <c r="G140"/>
  <c r="F140"/>
  <c r="I139"/>
  <c r="I138"/>
  <c r="H138"/>
  <c r="G138"/>
  <c r="F138"/>
  <c r="F135" s="1"/>
  <c r="I137"/>
  <c r="F137"/>
  <c r="H136"/>
  <c r="I136" s="1"/>
  <c r="G136"/>
  <c r="F136"/>
  <c r="G135"/>
  <c r="I133"/>
  <c r="I132"/>
  <c r="I131"/>
  <c r="I130"/>
  <c r="I129"/>
  <c r="I128"/>
  <c r="I127"/>
  <c r="H127"/>
  <c r="G127"/>
  <c r="F127"/>
  <c r="I126"/>
  <c r="H126"/>
  <c r="G126"/>
  <c r="F126"/>
  <c r="H124"/>
  <c r="G124"/>
  <c r="F124"/>
  <c r="I123"/>
  <c r="I122"/>
  <c r="H122"/>
  <c r="G122"/>
  <c r="F122"/>
  <c r="I121"/>
  <c r="H120"/>
  <c r="I120" s="1"/>
  <c r="G120"/>
  <c r="F120"/>
  <c r="H119"/>
  <c r="I119" s="1"/>
  <c r="G119"/>
  <c r="F119"/>
  <c r="H118"/>
  <c r="I118" s="1"/>
  <c r="G118"/>
  <c r="F118"/>
  <c r="I116"/>
  <c r="H115"/>
  <c r="I115" s="1"/>
  <c r="G115"/>
  <c r="F115"/>
  <c r="F114"/>
  <c r="I113"/>
  <c r="I112"/>
  <c r="H112"/>
  <c r="G112"/>
  <c r="F112"/>
  <c r="I111"/>
  <c r="H111"/>
  <c r="G111"/>
  <c r="F111"/>
  <c r="I110"/>
  <c r="H110"/>
  <c r="G110"/>
  <c r="F110"/>
  <c r="F107" s="1"/>
  <c r="F106" s="1"/>
  <c r="H109"/>
  <c r="H108" s="1"/>
  <c r="H107" s="1"/>
  <c r="G109"/>
  <c r="F109"/>
  <c r="F108" s="1"/>
  <c r="G108"/>
  <c r="G107"/>
  <c r="G106"/>
  <c r="I105"/>
  <c r="H104"/>
  <c r="I104" s="1"/>
  <c r="G104"/>
  <c r="F104"/>
  <c r="H103"/>
  <c r="I103" s="1"/>
  <c r="G103"/>
  <c r="F103"/>
  <c r="F98" s="1"/>
  <c r="F97" s="1"/>
  <c r="I102"/>
  <c r="I101"/>
  <c r="I100"/>
  <c r="H99"/>
  <c r="I99" s="1"/>
  <c r="G99"/>
  <c r="F99"/>
  <c r="G98"/>
  <c r="G97"/>
  <c r="I96"/>
  <c r="H95"/>
  <c r="I95" s="1"/>
  <c r="G95"/>
  <c r="F95"/>
  <c r="H94"/>
  <c r="I94" s="1"/>
  <c r="G94"/>
  <c r="F94"/>
  <c r="H93"/>
  <c r="I93" s="1"/>
  <c r="G93"/>
  <c r="F93"/>
  <c r="I92"/>
  <c r="I91"/>
  <c r="H91"/>
  <c r="G91"/>
  <c r="F91"/>
  <c r="I90"/>
  <c r="H90"/>
  <c r="G90"/>
  <c r="F90"/>
  <c r="I89"/>
  <c r="H88"/>
  <c r="I88" s="1"/>
  <c r="G88"/>
  <c r="F88"/>
  <c r="F85" s="1"/>
  <c r="F84" s="1"/>
  <c r="I87"/>
  <c r="H86"/>
  <c r="I86" s="1"/>
  <c r="G86"/>
  <c r="F86"/>
  <c r="H85"/>
  <c r="I85" s="1"/>
  <c r="G85"/>
  <c r="H84"/>
  <c r="I84" s="1"/>
  <c r="G84"/>
  <c r="G83"/>
  <c r="F82"/>
  <c r="F81" s="1"/>
  <c r="F80" s="1"/>
  <c r="H81"/>
  <c r="H80" s="1"/>
  <c r="G81"/>
  <c r="G80" s="1"/>
  <c r="H78"/>
  <c r="G78"/>
  <c r="F78"/>
  <c r="H77"/>
  <c r="H76" s="1"/>
  <c r="H75" s="1"/>
  <c r="G77"/>
  <c r="F77"/>
  <c r="F76" s="1"/>
  <c r="F75" s="1"/>
  <c r="G76"/>
  <c r="G75" s="1"/>
  <c r="H73"/>
  <c r="G73"/>
  <c r="F73"/>
  <c r="H71"/>
  <c r="H70" s="1"/>
  <c r="H69" s="1"/>
  <c r="G71"/>
  <c r="F71"/>
  <c r="F70" s="1"/>
  <c r="F69" s="1"/>
  <c r="F68" s="1"/>
  <c r="G70"/>
  <c r="G69" s="1"/>
  <c r="G68" s="1"/>
  <c r="H66"/>
  <c r="G66"/>
  <c r="F66"/>
  <c r="I65"/>
  <c r="F65"/>
  <c r="H64"/>
  <c r="I64" s="1"/>
  <c r="G64"/>
  <c r="G61" s="1"/>
  <c r="G60" s="1"/>
  <c r="G59" s="1"/>
  <c r="F64"/>
  <c r="F61" s="1"/>
  <c r="F60" s="1"/>
  <c r="F59" s="1"/>
  <c r="I63"/>
  <c r="F63"/>
  <c r="H62"/>
  <c r="I62" s="1"/>
  <c r="G62"/>
  <c r="F62"/>
  <c r="H61"/>
  <c r="I61" s="1"/>
  <c r="I60" s="1"/>
  <c r="H60"/>
  <c r="I58"/>
  <c r="F58"/>
  <c r="H57"/>
  <c r="I57" s="1"/>
  <c r="G57"/>
  <c r="F57"/>
  <c r="H56"/>
  <c r="I56" s="1"/>
  <c r="G56"/>
  <c r="F56"/>
  <c r="I55"/>
  <c r="I54"/>
  <c r="H53"/>
  <c r="I53" s="1"/>
  <c r="G53"/>
  <c r="F53"/>
  <c r="I52"/>
  <c r="I51"/>
  <c r="H50"/>
  <c r="I50" s="1"/>
  <c r="G50"/>
  <c r="F50"/>
  <c r="G49"/>
  <c r="F49"/>
  <c r="G48"/>
  <c r="F48"/>
  <c r="I47"/>
  <c r="I46"/>
  <c r="H46"/>
  <c r="G46"/>
  <c r="F46"/>
  <c r="I45"/>
  <c r="H45"/>
  <c r="G45"/>
  <c r="G40" s="1"/>
  <c r="F45"/>
  <c r="I44"/>
  <c r="H42"/>
  <c r="I42" s="1"/>
  <c r="G42"/>
  <c r="F42"/>
  <c r="H41"/>
  <c r="I41" s="1"/>
  <c r="G41"/>
  <c r="F41"/>
  <c r="H40"/>
  <c r="I40" s="1"/>
  <c r="F40"/>
  <c r="I39"/>
  <c r="I38"/>
  <c r="H38"/>
  <c r="G38"/>
  <c r="F38"/>
  <c r="I37"/>
  <c r="H37"/>
  <c r="G37"/>
  <c r="F37"/>
  <c r="F33" s="1"/>
  <c r="I36"/>
  <c r="F36"/>
  <c r="I35"/>
  <c r="H35"/>
  <c r="G35"/>
  <c r="F35"/>
  <c r="H34"/>
  <c r="I34" s="1"/>
  <c r="G34"/>
  <c r="F34"/>
  <c r="H33"/>
  <c r="I33" s="1"/>
  <c r="G33"/>
  <c r="I32"/>
  <c r="H31"/>
  <c r="I31" s="1"/>
  <c r="G31"/>
  <c r="F31"/>
  <c r="I30"/>
  <c r="I29"/>
  <c r="H28"/>
  <c r="I28" s="1"/>
  <c r="G28"/>
  <c r="F28"/>
  <c r="I23"/>
  <c r="H23"/>
  <c r="G23"/>
  <c r="F23"/>
  <c r="I22"/>
  <c r="I21"/>
  <c r="I20"/>
  <c r="I19"/>
  <c r="H18"/>
  <c r="I18" s="1"/>
  <c r="G18"/>
  <c r="F18"/>
  <c r="H17"/>
  <c r="I17" s="1"/>
  <c r="G17"/>
  <c r="G12" s="1"/>
  <c r="G11" s="1"/>
  <c r="F17"/>
  <c r="F12" s="1"/>
  <c r="I16"/>
  <c r="I15"/>
  <c r="H14"/>
  <c r="I14" s="1"/>
  <c r="G14"/>
  <c r="F14"/>
  <c r="H13"/>
  <c r="I13" s="1"/>
  <c r="G13"/>
  <c r="F13"/>
  <c r="H12"/>
  <c r="I12" s="1"/>
  <c r="H11"/>
  <c r="I11" s="1"/>
  <c r="H326" l="1"/>
  <c r="I326" s="1"/>
  <c r="I327"/>
  <c r="H391"/>
  <c r="I392"/>
  <c r="I407"/>
  <c r="H399"/>
  <c r="H437"/>
  <c r="I438"/>
  <c r="I496"/>
  <c r="F11"/>
  <c r="F83"/>
  <c r="F134"/>
  <c r="G223"/>
  <c r="G222" s="1"/>
  <c r="I381"/>
  <c r="H106"/>
  <c r="I106" s="1"/>
  <c r="I107"/>
  <c r="G565"/>
  <c r="F496"/>
  <c r="F507"/>
  <c r="H68"/>
  <c r="H59" s="1"/>
  <c r="F418"/>
  <c r="H49"/>
  <c r="H202"/>
  <c r="I225"/>
  <c r="I441"/>
  <c r="H98"/>
  <c r="H135"/>
  <c r="I178"/>
  <c r="I199"/>
  <c r="H231"/>
  <c r="I394"/>
  <c r="I410"/>
  <c r="H160"/>
  <c r="H507"/>
  <c r="I507" s="1"/>
  <c r="H224" l="1"/>
  <c r="I231"/>
  <c r="H97"/>
  <c r="I98"/>
  <c r="I202"/>
  <c r="H201"/>
  <c r="I201" s="1"/>
  <c r="H488"/>
  <c r="I488" s="1"/>
  <c r="I135"/>
  <c r="I59"/>
  <c r="H398"/>
  <c r="I398" s="1"/>
  <c r="I399"/>
  <c r="I437"/>
  <c r="H418"/>
  <c r="I418" s="1"/>
  <c r="I391"/>
  <c r="H376"/>
  <c r="I376" s="1"/>
  <c r="I160"/>
  <c r="H155"/>
  <c r="I155" s="1"/>
  <c r="I49"/>
  <c r="H48"/>
  <c r="I48" s="1"/>
  <c r="F488"/>
  <c r="F565" s="1"/>
  <c r="H223" l="1"/>
  <c r="I224"/>
  <c r="I97"/>
  <c r="H83"/>
  <c r="I83" s="1"/>
  <c r="H134"/>
  <c r="I134" s="1"/>
  <c r="H222" l="1"/>
  <c r="I222" s="1"/>
  <c r="I223"/>
  <c r="H565"/>
  <c r="I565" l="1"/>
</calcChain>
</file>

<file path=xl/comments1.xml><?xml version="1.0" encoding="utf-8"?>
<comments xmlns="http://schemas.openxmlformats.org/spreadsheetml/2006/main">
  <authors>
    <author>Администратор07</author>
  </authors>
  <commentList>
    <comment ref="F26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Приобретение дров близкие родственники граждан СВО</t>
        </r>
      </text>
    </comment>
    <comment ref="F151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Проведение кап.ремонта кровли здания МБУКиТ "Нюксенский этнокультурный центр Пожарище" поручение Губернатора данное в ходе заседания Градостроительного совета (27.07.2023)</t>
        </r>
      </text>
    </comment>
    <comment ref="F165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Ремонт+обор-е Игмас ф-л+ книжные фонды
</t>
        </r>
      </text>
    </comment>
    <comment ref="F18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Востровский клуб</t>
        </r>
      </text>
    </comment>
    <comment ref="F427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645,0 тр долг на 3 мес Газпромэнерго с февр по апрель
</t>
        </r>
      </text>
    </comment>
    <comment ref="F429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Администратор07:</t>
        </r>
        <r>
          <rPr>
            <sz val="9"/>
            <color indexed="81"/>
            <rFont val="Tahoma"/>
            <family val="2"/>
            <charset val="204"/>
          </rPr>
          <t xml:space="preserve">
Пени + госпошлина Газпром энерго на 3 мес с февр по апрель
</t>
        </r>
      </text>
    </comment>
  </commentList>
</comments>
</file>

<file path=xl/sharedStrings.xml><?xml version="1.0" encoding="utf-8"?>
<sst xmlns="http://schemas.openxmlformats.org/spreadsheetml/2006/main" count="2311" uniqueCount="627">
  <si>
    <t>Приложение 5 
к решению Представительного Собрания Нюксенского муниципального округа Вологодской области от ХХ.ХХ.2023 года № ХХ  "О бюджете Нюксенского муниципального округа Вологодской области на 2024 год и плановый период 2025 и 2026 годов"</t>
  </si>
  <si>
    <t xml:space="preserve">Распределение </t>
  </si>
  <si>
    <t>бюджетных ассигнований на реализацию муниципальных программ 
Нюксенского муниципального округа на 2024 год и плановый период 2025 и 2026 годов</t>
  </si>
  <si>
    <t>(тыс.рублей)</t>
  </si>
  <si>
    <t>Наименование муниципальной программы</t>
  </si>
  <si>
    <t>КЦСР</t>
  </si>
  <si>
    <t>РЗ</t>
  </si>
  <si>
    <t>ПР</t>
  </si>
  <si>
    <t>КВР</t>
  </si>
  <si>
    <t>2024 год</t>
  </si>
  <si>
    <t>2025 год</t>
  </si>
  <si>
    <t>2026 год</t>
  </si>
  <si>
    <t>Отклонение</t>
  </si>
  <si>
    <t>6</t>
  </si>
  <si>
    <t>7</t>
  </si>
  <si>
    <t>8</t>
  </si>
  <si>
    <t>Социальная поддержка граждан и социально ориентированных некоммерческих организаций Нюксенского муниципального округа на 2021-2030 годы</t>
  </si>
  <si>
    <t>01 0 00 00000</t>
  </si>
  <si>
    <t>Подпрограмма "Социальная поддержка граждан Нюксенского муниципального округа на 2021-2030 годы"</t>
  </si>
  <si>
    <t>01 1 00 00000</t>
  </si>
  <si>
    <t>Основное мероприятие "Обеспечение организации и осуществления органами местного самоуправления деятельности по опеке и попечительству"</t>
  </si>
  <si>
    <t>01 1 01 00000</t>
  </si>
  <si>
    <t>01</t>
  </si>
  <si>
    <t>04</t>
  </si>
  <si>
    <t>Выполнение отдельных государственных полномочий по закону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 обучающихся в федеральных образовательных учреждениях), лиц из числа детей указанных категорий"</t>
  </si>
  <si>
    <t>01 1 01 72310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</si>
  <si>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</si>
  <si>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</si>
  <si>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</si>
  <si>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</si>
  <si>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 xml:space="preserve">Основное мероприятие "Обеспечение мер социальной поддержки отдельным категориям граждан и предоставление иных социальных выплат"
</t>
  </si>
  <si>
    <t>01 1 02 00000</t>
  </si>
  <si>
    <t>Мероприятия в области социальной политики</t>
  </si>
  <si>
    <t>01 1 02 25140</t>
  </si>
  <si>
    <t>Расходы на выплаты персоналу казенных учреждений</t>
  </si>
  <si>
    <t>10</t>
  </si>
  <si>
    <t>03</t>
  </si>
  <si>
    <t>110</t>
  </si>
  <si>
    <t>Социальные выплаты гражданам, кроме публичных нормативных социальных выплат</t>
  </si>
  <si>
    <t>320</t>
  </si>
  <si>
    <t xml:space="preserve">Субсидии бюджетным учреждениям </t>
  </si>
  <si>
    <t>610</t>
  </si>
  <si>
    <t>Реализация мер социальной поддержки граждан, призванных на военную службу по мобилизации, по контракту и членов их семей</t>
  </si>
  <si>
    <t>01 1 02 25160</t>
  </si>
  <si>
    <t>Публичные нормативные социальные выплаты гражданам</t>
  </si>
  <si>
    <t>310</t>
  </si>
  <si>
    <t>06</t>
  </si>
  <si>
    <t xml:space="preserve">Доплаты к пенсиям </t>
  </si>
  <si>
    <t>01 1 02 80010</t>
  </si>
  <si>
    <t xml:space="preserve">Публичные нормативные социальные выплаты гражданам
</t>
  </si>
  <si>
    <t>Ежемесячное денежное вознаграждение лицам, удостоенным звания "Почетный гражданин Нюксенского муниципального округа"</t>
  </si>
  <si>
    <t>01 1 02 80020</t>
  </si>
  <si>
    <t>13</t>
  </si>
  <si>
    <t xml:space="preserve">Публичные нормативные выплаты гражданам несоциального характера
</t>
  </si>
  <si>
    <t>330</t>
  </si>
  <si>
    <t>Подпрограмма "Поддержка социально-ориентированных некоммерческих организаций Нюксенского муниципального округа на 2021-2030 годы"</t>
  </si>
  <si>
    <t>01 2 00 00000</t>
  </si>
  <si>
    <t>Основное мероприятие "Предоставление финансовой и имущественной поддержки социально ориентированным некоммерческим организациям"</t>
  </si>
  <si>
    <t>01 2 01 00000</t>
  </si>
  <si>
    <t xml:space="preserve">Предоставление субсидий социально ориентированным некоммерческим организациям </t>
  </si>
  <si>
    <t>01 2 01 25150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</si>
  <si>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</si>
  <si>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</si>
  <si>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"Организация свободного времени и культурного досуга и меры по укреплению здоровья граждан пожилого возраста"</t>
  </si>
  <si>
    <t>01 2 02 00000</t>
  </si>
  <si>
    <t>01 2 02 25150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</si>
  <si>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</si>
  <si>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Здоровье нюксян </t>
  </si>
  <si>
    <t>02 0 00 00000</t>
  </si>
  <si>
    <t>Основное мероприятие "Формирование здорового образа жизни населения"</t>
  </si>
  <si>
    <t>02 1 00 00000</t>
  </si>
  <si>
    <t>Реализация мероприятий, направленных на формирование здорового образа жизни населения</t>
  </si>
  <si>
    <t>02 1 00 29070</t>
  </si>
  <si>
    <t>Основное мероприятие "Реализация мероприятий, направленных на развитие кадрового потенциала в области здравоохранения"</t>
  </si>
  <si>
    <t>02 2 00 00000</t>
  </si>
  <si>
    <t>Реализация мероприятий, направленных на развитие кадрового потенциала</t>
  </si>
  <si>
    <t>02 2 00 29030</t>
  </si>
  <si>
    <t>Формирование законопослушного поведения участников дорожного движения на территории Нюксенского муниципального округа на 2019-2030 годы</t>
  </si>
  <si>
    <t>03 0 00 00000</t>
  </si>
  <si>
    <t>Основное мероприятие "Профилактика и предупреждение дорожно-транспортных происшествий с участием детей"</t>
  </si>
  <si>
    <t>03 1 00 00000</t>
  </si>
  <si>
    <t>Мероприятия по профилактике дорожно-транспортных происшествий</t>
  </si>
  <si>
    <t>03 1 00 23070</t>
  </si>
  <si>
    <t>14</t>
  </si>
  <si>
    <t>Субсидии бюджетным учреждениям</t>
  </si>
  <si>
    <t>Реализация мероприятий по обеспечению безопасности жизни и здоровья детей, обучающихся в общеобразовательных организациях района</t>
  </si>
  <si>
    <t>03 1 00 23080</t>
  </si>
  <si>
    <t>07</t>
  </si>
  <si>
    <t>09</t>
  </si>
  <si>
    <t>Основное мероприятие  "Безопасность дорожного движения"</t>
  </si>
  <si>
    <t>03 2 00 00000</t>
  </si>
  <si>
    <t>03 2 00 23070</t>
  </si>
  <si>
    <t>Формирование современной городской среды и благоустройства Нюксенского муниципального округа</t>
  </si>
  <si>
    <t>04 0 00 00000</t>
  </si>
  <si>
    <t>Подпрограмма "Формирование современной городской среды на территории Нюксенского муниципального округа"</t>
  </si>
  <si>
    <t>04 1 00 00000</t>
  </si>
  <si>
    <t>Реализация регионального проекта "Формирование комфортной городской среды" в части благоустройства общественных и дворовых территорий муниципальных образований области</t>
  </si>
  <si>
    <t>04 1 F2 00000</t>
  </si>
  <si>
    <t>Проведение мероприятий по благоустройству дворовых территорий</t>
  </si>
  <si>
    <t>04 1 F2 55551</t>
  </si>
  <si>
    <t>05</t>
  </si>
  <si>
    <t>Проведение мероприятий по благоустройству дворовых территорий многоквартирных домов</t>
  </si>
  <si>
    <t>04 1 F2 71551</t>
  </si>
  <si>
    <t>Иные закупки товаров, работ и услуг для государственных (муниципальных) нужд</t>
  </si>
  <si>
    <t>Проведение мероприятий по благоустройству общественных пространств</t>
  </si>
  <si>
    <t>04 1 F2 71552</t>
  </si>
  <si>
    <t>Подпрограмма "Благоустройство территорий населенных пунктов Нюксенского муниципального округа"</t>
  </si>
  <si>
    <t>04 2 00 00000</t>
  </si>
  <si>
    <t>Основное мероприятие "Организация уличного освещения"</t>
  </si>
  <si>
    <t>04 2 01 00000</t>
  </si>
  <si>
    <t xml:space="preserve">Уличное освещение </t>
  </si>
  <si>
    <t>04 2 01 S1090</t>
  </si>
  <si>
    <t xml:space="preserve">Уплата налогов, сборов и иных платежей
</t>
  </si>
  <si>
    <t>850</t>
  </si>
  <si>
    <t>Реализация проекта "Народный бюджет"</t>
  </si>
  <si>
    <t>04 2 01 S2270</t>
  </si>
  <si>
    <t>Основное мероприятие "Мероприятия в сфере благоустройства"</t>
  </si>
  <si>
    <t>04 2 02 00000</t>
  </si>
  <si>
    <t>Проведение мероприятий в сфере благоустройства</t>
  </si>
  <si>
    <t>04 2 02 23200</t>
  </si>
  <si>
    <t>04 2 02 S2270</t>
  </si>
  <si>
    <t>Основное мероприятие "Организация ритуальных услуг и содержание мест захоронения"</t>
  </si>
  <si>
    <t>04 2 03 00000</t>
  </si>
  <si>
    <t>Организация ритуальных услуг и содержание мест захоронения</t>
  </si>
  <si>
    <t>04 2 03 23300</t>
  </si>
  <si>
    <t>Совершенствование муниципального управления в Нюксенском муниципальном округе</t>
  </si>
  <si>
    <t>05 0 00 00000</t>
  </si>
  <si>
    <t>Подпрограмма "Развитие кадрового потенциала в Нюксенском муниципальном округе"</t>
  </si>
  <si>
    <t>05 1 00 00000</t>
  </si>
  <si>
    <t>Основное мероприятие "Привлечение квалифицированных специалистов на территорию муниципального округа"</t>
  </si>
  <si>
    <t>05 1 01 00000</t>
  </si>
  <si>
    <t>Ежемесячная денежная выплата студентам, заключившим договора с администрацией округа</t>
  </si>
  <si>
    <t>05 1 01 80800</t>
  </si>
  <si>
    <t>Мероприятия, направленные на стимулирование кадров</t>
  </si>
  <si>
    <t>05 1 01 20810</t>
  </si>
  <si>
    <t>Основное мероприятие "Совершенствование и повышение профессионального уровня кадров"</t>
  </si>
  <si>
    <t>05 1 02 00000</t>
  </si>
  <si>
    <t xml:space="preserve">Мероприятия, направленные на повышение квалификационного уровня </t>
  </si>
  <si>
    <t>05 1 02 20800</t>
  </si>
  <si>
    <t>Подпрограмма "Обеспечение защиты прав и законных интересов граждан, общества от угроз, связанных с коррупцией"</t>
  </si>
  <si>
    <t>05 2 00 00000</t>
  </si>
  <si>
    <t>Основное мероприятие "Организация правового просвещения и правового информирования граждан по вопросам противодействия коррупции"</t>
  </si>
  <si>
    <t>05 2 01 00000</t>
  </si>
  <si>
    <t>Мероприятия по противодействию коррупции</t>
  </si>
  <si>
    <t>05 2 01 20240</t>
  </si>
  <si>
    <t>Подпрограмма "Совершенствование процессов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</t>
  </si>
  <si>
    <t>05 3 00 00000</t>
  </si>
  <si>
    <t>Основное мероприятие "Организация деятельности по оказанию государственных и муниципальных услуг (выполнению работ) муниципальным учреждением  "МФЦ Нюксенского муниципального округа"</t>
  </si>
  <si>
    <t>05 3 01 00000</t>
  </si>
  <si>
    <t>Расходы на обеспечение деятельности (оказание услуг) муниципальных учреждений</t>
  </si>
  <si>
    <t>05 3 01 00590</t>
  </si>
  <si>
    <t>Уплата налогов, сборов и иных платежей</t>
  </si>
  <si>
    <t>Осуществление отдельных государственных полномочий в соответствии с законом области от 10 декабря 2014 года №3526-ОЗ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</si>
  <si>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05 3 01 72250</t>
  </si>
  <si>
    <t>Подпрограмма "Обеспечение реализации муниципальной программы "Совершенствование муниципального управления в Нюксенском муниципальном округе"</t>
  </si>
  <si>
    <t>05 4 00 00000</t>
  </si>
  <si>
    <t>Основное мероприятие "Обеспечение деятельности администрации округа"</t>
  </si>
  <si>
    <t>05 4 01 00000</t>
  </si>
  <si>
    <t>Глава муниципального округа</t>
  </si>
  <si>
    <t>05 4 01 00191</t>
  </si>
  <si>
    <t>02</t>
  </si>
  <si>
    <t>Расходы на обеспечение функций муниципальных органов</t>
  </si>
  <si>
    <t>05 4 01 00190</t>
  </si>
  <si>
    <t>Реализация расходных обязательств в части обеспечения выплаты заработной платы работникам муниципальных учреждений</t>
  </si>
  <si>
    <t>05 4 01 70030</t>
  </si>
  <si>
    <t xml:space="preserve">Социальные выплаты гражданам, кроме публичных нормативных социальных выплат
</t>
  </si>
  <si>
    <t>Субвенция на 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полномочиями в сфере архивного дела"</t>
  </si>
  <si>
    <t>05 4 01 72190</t>
  </si>
  <si>
    <t>Членский взнос в ассоциацию муниципальных образований</t>
  </si>
  <si>
    <t>05 4 01 21010</t>
  </si>
  <si>
    <t>Членский взнос в ассоциацию "Здоровые города, районы и поселки"</t>
  </si>
  <si>
    <t>05 4 01 21020</t>
  </si>
  <si>
    <t>Осуществление первичного воинского учета на территориях, где отсутствуют военные комиссариаты</t>
  </si>
  <si>
    <t>05 4 01 51180</t>
  </si>
  <si>
    <t>Основное мероприятие "Поощрение муниципальной управленческой команды Нюксенского муниципального района"</t>
  </si>
  <si>
    <t>05 4 02 00000</t>
  </si>
  <si>
    <t>Иные межбюджетные трансферты на 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</t>
  </si>
  <si>
    <t>05 4 02 55490</t>
  </si>
  <si>
    <t>12</t>
  </si>
  <si>
    <t>Развитие культуры и туризма Нюксенского муниципального округа</t>
  </si>
  <si>
    <t>06 0 00 00000</t>
  </si>
  <si>
    <t>Основное мероприятие "Сохранение, пополнение и популяризация музейных предметов и музейных коллекций"</t>
  </si>
  <si>
    <t>06 1 00 00000</t>
  </si>
  <si>
    <t>08</t>
  </si>
  <si>
    <t>Учреждения культуры</t>
  </si>
  <si>
    <t>06 1 00 01590</t>
  </si>
  <si>
    <t>06 1 00 70030</t>
  </si>
  <si>
    <t>Мероприятия, направленные на реализацию регионального проекта "Творческие люди"</t>
  </si>
  <si>
    <t>06 1 A2 00000</t>
  </si>
  <si>
    <t>Мероприятия, направленные на государственную поддержку лучших сельских учреждений культуры и лучших работников сельских учреждений культуры</t>
  </si>
  <si>
    <t>06 1 A2 55192</t>
  </si>
  <si>
    <t>Мероприятия, направленные на государственную поддержку лучших сельских учреждений культуры и государственную поддержку лучших работников сельских учреждений культуры</t>
  </si>
  <si>
    <t>Основное мероприятие "Выявление, изучение, сохранение, развитие и популяризация объектов нематериального культурного наследия Нюксенского муниципального округа в области традиционной народной культуры"</t>
  </si>
  <si>
    <t>06 2 00 00000</t>
  </si>
  <si>
    <t>06 2 00 01590</t>
  </si>
  <si>
    <t>06 2 00 70030</t>
  </si>
  <si>
    <t>Мероприятия, направленные на капитальный ремонт и ремонт объектов культуры</t>
  </si>
  <si>
    <t>06 2 00 S1270</t>
  </si>
  <si>
    <t>06 2 A2 00000</t>
  </si>
  <si>
    <t>06 2 A2 55192</t>
  </si>
  <si>
    <t>Основное мероприятие "Развитие библиотечного дела"</t>
  </si>
  <si>
    <t>06 3 00 00000</t>
  </si>
  <si>
    <t>06 3 00 01590</t>
  </si>
  <si>
    <t>06 3 00 70030</t>
  </si>
  <si>
    <t>Мероприятия по модернизации библиотек в части комплектования книжных фондов библиотек муниципальных образований</t>
  </si>
  <si>
    <t>06 3 00 L5193</t>
  </si>
  <si>
    <t>Мероприятия, направленные на обеспечение развития и укрепление материально-технической базы муниципальных учреждений отрасли культуры</t>
  </si>
  <si>
    <t>06 3 00 S1960</t>
  </si>
  <si>
    <t>Мероприятия, направленные на комплектование книжных фондов муниципальных библиотек</t>
  </si>
  <si>
    <t>06 3 00 S1980</t>
  </si>
  <si>
    <t>Основное мероприятие "Организация предоставления дополнительного образования"</t>
  </si>
  <si>
    <t>06 4 00 00000</t>
  </si>
  <si>
    <t xml:space="preserve">Учреждения по внешкольной работе с детьми </t>
  </si>
  <si>
    <t>06 4 00 15590</t>
  </si>
  <si>
    <t>06 4 00 70030</t>
  </si>
  <si>
    <t>Основное мероприятие "Организация и проведение культурных проектов, мероприятий, посвященных праздничным и памятным датам"</t>
  </si>
  <si>
    <t>06 5 00 00000</t>
  </si>
  <si>
    <t>Мероприятия в сфере культуры</t>
  </si>
  <si>
    <t>06 5 00 28010</t>
  </si>
  <si>
    <t>06 5 00 01590</t>
  </si>
  <si>
    <t>06 5 00 70030</t>
  </si>
  <si>
    <t>06 5 00 S1960</t>
  </si>
  <si>
    <t>06 5 00 S2270</t>
  </si>
  <si>
    <t>Основное мероприятие "Развитие туристического потенциала в Нюксенском муниципальном округе"</t>
  </si>
  <si>
    <t>06 6 00 00000</t>
  </si>
  <si>
    <t>06 6 00 01590</t>
  </si>
  <si>
    <t>Основное мероприятие "Создание и модернизация учреждений культурно-досугового типа в сельской местности"</t>
  </si>
  <si>
    <t>06 7 00 00000</t>
  </si>
  <si>
    <t>Мероприятия по обеспечению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</t>
  </si>
  <si>
    <t>06 7 00 S1800</t>
  </si>
  <si>
    <t>Реализация регионального проекта "Культурная среда"</t>
  </si>
  <si>
    <t>06 7 А1 00000</t>
  </si>
  <si>
    <t>Мероприятия по развитию сети учреждений культурно-досугового типа</t>
  </si>
  <si>
    <t>06 7 A1 55130</t>
  </si>
  <si>
    <t>Основное мероприятие "Строительство культурно-досуговых учреждений"</t>
  </si>
  <si>
    <t>06 8 00 00000</t>
  </si>
  <si>
    <t>06 8 00 28010</t>
  </si>
  <si>
    <t>410</t>
  </si>
  <si>
    <t xml:space="preserve">Исполнение судебных актов
</t>
  </si>
  <si>
    <t>830</t>
  </si>
  <si>
    <t>Строительство культурно-досугового центра в с.Нюксеница</t>
  </si>
  <si>
    <t>06 8 00 S3280</t>
  </si>
  <si>
    <t>Бюджетные инвестиции</t>
  </si>
  <si>
    <t>Развитие физической культуры и спорта в Нюксенском муниципальном округе</t>
  </si>
  <si>
    <t>07 0 00 00000</t>
  </si>
  <si>
    <t>Основное мероприятие "Физическое воспитание и обеспечение организации проведения физкультурных мероприятий и массовых спортивных мероприятий"</t>
  </si>
  <si>
    <t>07 1 00 00000</t>
  </si>
  <si>
    <t>07 1 00 00590</t>
  </si>
  <si>
    <t>11</t>
  </si>
  <si>
    <t xml:space="preserve">Субсидии автономным учреждениям
</t>
  </si>
  <si>
    <t>620</t>
  </si>
  <si>
    <t xml:space="preserve"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</si>
  <si>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>07 1 00 70030</t>
  </si>
  <si>
    <t>Мероприятия в области физической культуры и спорта</t>
  </si>
  <si>
    <t>07 1 00 20600</t>
  </si>
  <si>
    <t>Мероприятия, направленные на создание условий для занятий инвалидов, лиц с ограниченными возможностями здоровья физической культурой и спортом</t>
  </si>
  <si>
    <t>07 1 00 S1610</t>
  </si>
  <si>
    <t>Мероприятия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</si>
  <si>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07 1 00 S1760</t>
  </si>
  <si>
    <t>07 1 00 S2270</t>
  </si>
  <si>
    <t>Основное мероприятие "Строительство объектов физической культуры и спорта"</t>
  </si>
  <si>
    <t>07 2 00 00000</t>
  </si>
  <si>
    <t>Строительство и реконструкция объектов физической культуры и спорта муниципальной собственности</t>
  </si>
  <si>
    <t>07 2 00 S3240</t>
  </si>
  <si>
    <t>Развитие образования Нюксенского муниципального округа</t>
  </si>
  <si>
    <t>08 0 00 00000</t>
  </si>
  <si>
    <t>Подпрограмма "Развитие дошкольного, общего и дополнительного образования детей"</t>
  </si>
  <si>
    <t>08 1 00 00000</t>
  </si>
  <si>
    <t>Основное мероприятие "Организация предоставления дошкольного образования в бюджетном образовательном учреждении"</t>
  </si>
  <si>
    <t>08 1 01 00000</t>
  </si>
  <si>
    <t>Обеспечение дошкольного образования и общеобразовательного процесса в муниципальных образовательных организациях</t>
  </si>
  <si>
    <t>08 1 01 72010</t>
  </si>
  <si>
    <t>Дошкольные учреждения</t>
  </si>
  <si>
    <t>08 1 01 14590</t>
  </si>
  <si>
    <t>Мероприятия, направленные на приспособление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</si>
  <si>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08 1 01 S1180</t>
  </si>
  <si>
    <t>Мероприятия, направленные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</si>
  <si>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08 1 01 S1490</t>
  </si>
  <si>
    <t>Основное мероприятие "Организация предоставления общедоступного и бесплатного начального общего, основного общего, среднего общего образования в бюджетных образовательных организациях"</t>
  </si>
  <si>
    <t>08 1 02 00000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</si>
  <si>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</si>
  <si>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08 1 02 53031</t>
  </si>
  <si>
    <t>08 1 02 72010</t>
  </si>
  <si>
    <t xml:space="preserve">Школы - детские сады, школы начальные, неполные средние и средние </t>
  </si>
  <si>
    <t>08 1 02 13590</t>
  </si>
  <si>
    <t>460</t>
  </si>
  <si>
    <t>08 1 02 70030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</si>
  <si>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</si>
  <si>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08 1 02 L3041</t>
  </si>
  <si>
    <t>Мероприятия, направленные на модернизацию школьных систем образования</t>
  </si>
  <si>
    <t>08 1 02 L7500</t>
  </si>
  <si>
    <t xml:space="preserve">Мероприятия, направленные на модернизацию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 за исключением расходов, предусмотренных на софинансирование субсидий из федерального бюджета </t>
  </si>
  <si>
    <t>08 1 02 A7501</t>
  </si>
  <si>
    <t>Новая КЦСР уточнить у Коноваловой правомерности применение у нас в бюджете их целевого направления</t>
  </si>
  <si>
    <t>Мероприятия, направленные на модернизацию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</t>
  </si>
  <si>
    <t>08 1 02 L7501</t>
  </si>
  <si>
    <t>08 1 02 S1180</t>
  </si>
  <si>
    <t>Мероприятия, направленные на обеспечение условий для организации питания обучающихся в муниципальных общеобразовательных организациях</t>
  </si>
  <si>
    <t>08 1 02 S1440</t>
  </si>
  <si>
    <t>08 1 02 S1490</t>
  </si>
  <si>
    <t>08 1 03 00000</t>
  </si>
  <si>
    <t>08 1 03 15590</t>
  </si>
  <si>
    <t>08 1 03 70030</t>
  </si>
  <si>
    <t>Мероприятия, направленные на реализацию проекта по обеспечению системы дополнительного образования детей посредством внедрения принципа персонифицированного финансирования</t>
  </si>
  <si>
    <t>08 1 03 12590</t>
  </si>
  <si>
    <t>Обеспечение персонифицированного финансирования дополнительного образования детей</t>
  </si>
  <si>
    <t xml:space="preserve">08 1 03 16590 </t>
  </si>
  <si>
    <t>Основное мероприятие "Обеспечение предоставления мер социальной поддержки отдельным категориям обучающихся в муниципальных образовательных организациях"</t>
  </si>
  <si>
    <t>08 1 04 00000</t>
  </si>
  <si>
    <t>Осуществление отдельных государственных полномочий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</si>
  <si>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08 1 04 72020</t>
  </si>
  <si>
    <t xml:space="preserve">Основное мероприятие "Организация методического сопровождения повышения профессиональной компетентности педагогических и руководящих кадров" </t>
  </si>
  <si>
    <t>08 1 05 00000</t>
  </si>
  <si>
    <t>08 1 05 14590</t>
  </si>
  <si>
    <t>08 1 05 13590</t>
  </si>
  <si>
    <t>08 1 05 15590</t>
  </si>
  <si>
    <t>08 1 05 00190</t>
  </si>
  <si>
    <t>Основное мероприятие "Развитие системы поддержки талантливых детей в образовательных учреждениях"</t>
  </si>
  <si>
    <t>08 1 06 00000</t>
  </si>
  <si>
    <t>08 1 06 13590</t>
  </si>
  <si>
    <t>08 1 06 15590</t>
  </si>
  <si>
    <t xml:space="preserve">Расходы на обеспечение функций муниципальных органов </t>
  </si>
  <si>
    <t>08 1 06 00190</t>
  </si>
  <si>
    <t>Основное мероприятие "Организация содержательного досуга детей в каникулярное время"</t>
  </si>
  <si>
    <t>08 1 07 00000</t>
  </si>
  <si>
    <t>08 1 07 13590</t>
  </si>
  <si>
    <t>08 1 07 14590</t>
  </si>
  <si>
    <t>08 1 07 15590</t>
  </si>
  <si>
    <t>Основное мероприятие "Строительство, реконструкция, капитальный ремонт и ремонт образовательных организаций"</t>
  </si>
  <si>
    <t>08 1 08 00000</t>
  </si>
  <si>
    <t>Мероприятия по разработке проектно-сметной документации на строительство, реконструкцию, капитальный ремонт и ремонт образовательных организаций муниципальной собственности</t>
  </si>
  <si>
    <t>08 1 08 13600</t>
  </si>
  <si>
    <t xml:space="preserve">Бюджетные инвестиции
</t>
  </si>
  <si>
    <t>Основное мероприятие "Реализация регионального проекта "Современная школа"</t>
  </si>
  <si>
    <t>08 1 Е1 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</si>
  <si>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</si>
  <si>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08 1 Е1 51720</t>
  </si>
  <si>
    <t>Основное мероприятие "Реализация регионального проекта "Успех каждого ребенка"</t>
  </si>
  <si>
    <t>08 1 E2 00000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</si>
  <si>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</si>
  <si>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08 1 E2 50970</t>
  </si>
  <si>
    <t>Основное мероприятие "Реализация регионального проекта "Цифровая образовательная среда"</t>
  </si>
  <si>
    <t>08 1 Е4 00000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</si>
  <si>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</si>
  <si>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08 1 Е4 52130</t>
  </si>
  <si>
    <t>Основное мероприятие "Реализация регионального проекта "Патриотическое воспитание граждан Российской Федерации (Вологодская область)"</t>
  </si>
  <si>
    <t>08 1 ЕВ 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</si>
  <si>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</si>
  <si>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08 1 ЕВ 51790</t>
  </si>
  <si>
    <t>Подпрограмма "Обеспечение создания условий для реализации программы"</t>
  </si>
  <si>
    <t>08 2 00 00000</t>
  </si>
  <si>
    <t>Основное мероприятие "Обеспечение деятельности управления образования"</t>
  </si>
  <si>
    <t>08 2 01 00000</t>
  </si>
  <si>
    <t>08 2 01 00190</t>
  </si>
  <si>
    <t>08 2 01 55490</t>
  </si>
  <si>
    <t>Основное мероприятие "Приобретение услуг распределительно-логистического центра"</t>
  </si>
  <si>
    <t>08 2 02 00000</t>
  </si>
  <si>
    <t>Мероприятия, направленные на приобретение услуг распределительно-логистического центра на поставку продовольственных товаров для муниципальных общеобразовательных организаций</t>
  </si>
  <si>
    <t>08 2 02 S1460</t>
  </si>
  <si>
    <t>Обеспечение профилактики правонарушений, безопасности населения и территории Нюксенского муниципального округа</t>
  </si>
  <si>
    <t>09 0 00 00000</t>
  </si>
  <si>
    <t>Подпрограмма "Профилактика преступлений и иных правонарушений"</t>
  </si>
  <si>
    <t>09 1 00 00000</t>
  </si>
  <si>
    <t>Основное мероприятие "Воссоздание института социальной профилактики и вовлечение общественности в предупреждение правонарушений"</t>
  </si>
  <si>
    <t>09 1 01 00000</t>
  </si>
  <si>
    <t>Мероприятия по профилактики преступлений и иных правонарушений</t>
  </si>
  <si>
    <t>09 1 01 23060</t>
  </si>
  <si>
    <t>Иные выплаты населению</t>
  </si>
  <si>
    <t>360</t>
  </si>
  <si>
    <t>Основное мероприятие "Профилактика правонарушений несовершеннолетних и молодежи"</t>
  </si>
  <si>
    <t>09 1 02 00000</t>
  </si>
  <si>
    <t>09 1 02 23060</t>
  </si>
  <si>
    <t>Основное мероприятие "Предупреждение терроризма и экстремизма"</t>
  </si>
  <si>
    <t>09 1 03 00000</t>
  </si>
  <si>
    <t>09 1 03 23060</t>
  </si>
  <si>
    <t>Мероприятия по обеспечению антитеррористической защищенности объектов</t>
  </si>
  <si>
    <t>09 1 03 23130</t>
  </si>
  <si>
    <t>Внедрение и (или) эксплуатация аппаратно-программного комплекса "Безопасный город"</t>
  </si>
  <si>
    <t>09 1 03 S1060</t>
  </si>
  <si>
    <t>Основное мероприятие "Обеспечение социальной адаптации и реабилитации лиц, отбывших наказание в местах лишения свободы"</t>
  </si>
  <si>
    <t>09 1 04 00000</t>
  </si>
  <si>
    <t>09 1 04 23060</t>
  </si>
  <si>
    <t>Основное мероприятие "Осуществление отдельных государственных полномочий"</t>
  </si>
  <si>
    <t>09 1 05 00000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</si>
  <si>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</t>
  </si>
  <si>
    <t>09 1 05 72310</t>
  </si>
  <si>
    <t>Подпрограмма "Развитие системы комплексной безопасности жизнедеятельности населения округа"</t>
  </si>
  <si>
    <t>09 2 00 00000</t>
  </si>
  <si>
    <t>Основное мероприятие "Обеспечение деятельности ЕДДС"</t>
  </si>
  <si>
    <t>09 2 01 00000</t>
  </si>
  <si>
    <t>Мероприятия по снижению  рисков и смягчению последствий чрезвычайных ситуаций природного и техногенного характера</t>
  </si>
  <si>
    <t>09 2 01 23040</t>
  </si>
  <si>
    <t>Основное мероприятие "Обеспечение прогнозных данных для принятия предупредительных мер"</t>
  </si>
  <si>
    <t>09 2 02 00000</t>
  </si>
  <si>
    <t>09 2 02 23040</t>
  </si>
  <si>
    <t>Основное мероприятие "Обеспечение безопасности граждан труднодоступных населенных пунктов"</t>
  </si>
  <si>
    <t>09 2 03 00000</t>
  </si>
  <si>
    <t>09 2 03 23040</t>
  </si>
  <si>
    <t>Основное мероприятие "Ликвидация чрезвычайных ситуаций природного и техногенного характера"</t>
  </si>
  <si>
    <t>09 2 04 00000</t>
  </si>
  <si>
    <t>Создание и обслуживание системы оповещения населения, создание запасов и резервов материальных ресурсов, предназначенных в целях гражданской обороны и для предупреждения и ликвидации чрезвычайных ситуаций природного и техногенного характера</t>
  </si>
  <si>
    <t>09 2 04 23050</t>
  </si>
  <si>
    <t>Основное мероприятие "Обеспечение безопасности населения при чрезвычайных ситуациях природного и техногенного характера"</t>
  </si>
  <si>
    <t>09 2 05 00000</t>
  </si>
  <si>
    <t xml:space="preserve">Мероприятия по безопасности населения на водных объектах </t>
  </si>
  <si>
    <t>09 2 05 23100</t>
  </si>
  <si>
    <t>Мероприятия по поддержанию в готовности и совершенствованию системы оповещения населения</t>
  </si>
  <si>
    <t>09 2 05 23120</t>
  </si>
  <si>
    <t>Мероприятия по обеспечению пожарной безопасности населения</t>
  </si>
  <si>
    <t>09 2 05 23110</t>
  </si>
  <si>
    <t>Подпрограмма "Противодействие незаконному обороту наркотиков, снижение масштабов злоупотребления алкогольной продукцией, профилактика алкоголизма и наркомании"</t>
  </si>
  <si>
    <t>09 3 00 00000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</si>
  <si>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продукцией"</t>
  </si>
  <si>
    <t>09 3 01 00000</t>
  </si>
  <si>
    <t>Мероприятия по информационному обеспечению (публикация статей по проблемам подростковой преступности, наркомании и токсикомании среди молодежи, пропаганде здорового образа жизни подростков и молодежи, их ориентации на духовные ценности)</t>
  </si>
  <si>
    <t>09 3 01 23090</t>
  </si>
  <si>
    <t xml:space="preserve">Охрана окружающей среды и обеспечение экологической безопасности Нюксенского муниципального округа </t>
  </si>
  <si>
    <t>10 0 00 00000</t>
  </si>
  <si>
    <t>Основное мероприятие "Охрана и рациональное использование водных ресурсов"</t>
  </si>
  <si>
    <t>10 1 00 00000</t>
  </si>
  <si>
    <t>Природоохранные мероприятия</t>
  </si>
  <si>
    <t>10 1 00 20110</t>
  </si>
  <si>
    <t>Основное мероприятие "Предотвращение загрязнения окружающей среды отходами производства и потребления"</t>
  </si>
  <si>
    <t>10 2 00 00000</t>
  </si>
  <si>
    <t>10 2 00 20110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</si>
  <si>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</t>
  </si>
  <si>
    <t>10 2 00 72310</t>
  </si>
  <si>
    <t>Мероприятия по разработке проекта рекультивации земельных участков, занятых несанкционированными свалками</t>
  </si>
  <si>
    <t>10 2 00 S3370</t>
  </si>
  <si>
    <t>Мероприятия, направленные на рекультивацию земельных участков, занятых несанкционированными свалками отходов</t>
  </si>
  <si>
    <t>10 2 00 S3390</t>
  </si>
  <si>
    <t>Основное мероприятие "Экологическое образование, просвещение и информирование населения"</t>
  </si>
  <si>
    <t>10 3 00 00000</t>
  </si>
  <si>
    <t>10 3 00 20110</t>
  </si>
  <si>
    <t>Основное мероприятие "Обустройство и охрана особо охраняемых природных территорий"</t>
  </si>
  <si>
    <t>10 4 00 00000</t>
  </si>
  <si>
    <t>10 4 00 20110</t>
  </si>
  <si>
    <t xml:space="preserve">Дорожная сеть и транспортное обслуживание </t>
  </si>
  <si>
    <t>11 0 00 00000</t>
  </si>
  <si>
    <t>Подпрограмма "Автомобильные дороги"</t>
  </si>
  <si>
    <t>11 1 00 00000</t>
  </si>
  <si>
    <t>Основное мероприятие "Ремонт и капитальный ремонт автомобильных дорог и искусственных сооружений"</t>
  </si>
  <si>
    <t>11 1 01 00000</t>
  </si>
  <si>
    <t>Выполнение работ по ремонту и капитальному ремонту автомобильных дорог и искусственных сооружений</t>
  </si>
  <si>
    <t>11 1 01 41300</t>
  </si>
  <si>
    <t xml:space="preserve">Осуществление дорожной деятельности в отношении автомобильных дорог общего пользования местного значения </t>
  </si>
  <si>
    <t>11 1 01 S1350</t>
  </si>
  <si>
    <t xml:space="preserve"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 </t>
  </si>
  <si>
    <t>11 1 01 S1360</t>
  </si>
  <si>
    <t>Основное мероприятие "Содержание автомобильных дорог и искусственных сооружений"</t>
  </si>
  <si>
    <t>11 1 02 00000</t>
  </si>
  <si>
    <t xml:space="preserve">Выполнение работ по содержанию автомобильных дорог и  искусственных сооружений
</t>
  </si>
  <si>
    <t>11 1 02 41200</t>
  </si>
  <si>
    <t>Осуществление дорожной деятельности в отношении автомобильных дорог общего пользования местного значения за счет бюджетных ассигнований Дорожного фонда Вологодской области в рамках подпрограммы "Автомобильные дороги" государственной программы "Дорожная сеть и транспортное обслуживание в 2021-2025 годах"</t>
  </si>
  <si>
    <t>11 1 02 S1350</t>
  </si>
  <si>
    <t>Подпрограмма "Транспортное обслуживание населения"</t>
  </si>
  <si>
    <t>11 2 00 00000</t>
  </si>
  <si>
    <t>Основное мероприятие "Муниципальная поддержка  транспортных организаций"</t>
  </si>
  <si>
    <t>11 2 01 00000</t>
  </si>
  <si>
    <t>Мероприятия в области автомобильного транспорта</t>
  </si>
  <si>
    <t>11 2 01 60620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</si>
  <si>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</si>
  <si>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810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</si>
  <si>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</si>
  <si>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11 2 01 S1370</t>
  </si>
  <si>
    <t>Развитие топливно-энергетического комплекса и коммунальной инфраструктуры на территории Нюксенского муниципального округа</t>
  </si>
  <si>
    <t>12 0 00 00000</t>
  </si>
  <si>
    <t>Подпрограмма "Энергосбережение и повышение энергетической эффективности на территории Нюксенского муниципального округа"</t>
  </si>
  <si>
    <t>12 1 00 00000</t>
  </si>
  <si>
    <t>Основное мероприятие "Подготовка объектов теплоэнергетики к работе в осенне-зимний период"</t>
  </si>
  <si>
    <t>12 1 01 00000</t>
  </si>
  <si>
    <t>Мероприятия в области энергосбережения</t>
  </si>
  <si>
    <t>12 1 01 20560</t>
  </si>
  <si>
    <t>Основное мероприятие "Ремонты и содержание систем водоснабжения и водоотведения на территории Нюксенского муниципального округа"</t>
  </si>
  <si>
    <t>12 1 02 00000</t>
  </si>
  <si>
    <t>12 1 02 20560</t>
  </si>
  <si>
    <t xml:space="preserve">Исполнение судебных актов Российской Федерации и мировых соглашений по возмещению причиненного вреда
</t>
  </si>
  <si>
    <t>Производственный контроль качества питьевой воды из источников водоснабжения</t>
  </si>
  <si>
    <t>12 1 02 20610</t>
  </si>
  <si>
    <t>Мероприятия, направленные на производственный контроль качества сточных вод</t>
  </si>
  <si>
    <t>12 1 02 20620</t>
  </si>
  <si>
    <t>Основное мероприятие "Реализация проекта "Народный бюджет"</t>
  </si>
  <si>
    <t>12 1 03 00000</t>
  </si>
  <si>
    <t>Мероприятия, связанные с реализацией проекта "Народный бюджет"</t>
  </si>
  <si>
    <t>12 1 03 S2270</t>
  </si>
  <si>
    <t>Подпрограмма"Развитие жилищно-коммунальной инфраструктуры муниципального округа"</t>
  </si>
  <si>
    <t>12 2 00 00000</t>
  </si>
  <si>
    <t>Основное мероприятие "Строительство, реконструкция и модернизация объектов жилищно-коммунальной инфраструктуры муниципального округа"</t>
  </si>
  <si>
    <t>12 2 01 00000</t>
  </si>
  <si>
    <t>12 2 01 20560</t>
  </si>
  <si>
    <t>Мероприятия по строительству, реконструкции и капитальному ремонту централизованных систем водоснабжения и водоотведения населенных пунктов</t>
  </si>
  <si>
    <t>12 2 01 S3040</t>
  </si>
  <si>
    <t>Мероприятия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</si>
  <si>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12 2 01 09505</t>
  </si>
  <si>
    <t>Мероприятия по модернизации систем коммунальной инфраструктуры за счет средств областного бюджета</t>
  </si>
  <si>
    <t>12 2 01 S9605</t>
  </si>
  <si>
    <t>Основное мероприятие "Реализация регионального проекта "Чистая вода"</t>
  </si>
  <si>
    <t>12 2 F5 00000</t>
  </si>
  <si>
    <t>Мероприятия по строительству и реконструкции (модернизации) объектов питьевого водоснабжения в рамках регионального проекта "Чистая вода"</t>
  </si>
  <si>
    <t>12 2 F5 52430</t>
  </si>
  <si>
    <t>Содействие занятости населения Нюксенского муниципального округа</t>
  </si>
  <si>
    <t>13 0 00 00000</t>
  </si>
  <si>
    <t>Основное мероприятие "Создание рабочих мест для организации временного трудоустройства несовершеннолетних граждан"</t>
  </si>
  <si>
    <t>13 1 00 00000</t>
  </si>
  <si>
    <t xml:space="preserve">Мероприятия по содействию занятости населения </t>
  </si>
  <si>
    <t>13 1 00 24010</t>
  </si>
  <si>
    <t>Развитие малого и среднего предпринимательства в Нюксенском муниципальном округе</t>
  </si>
  <si>
    <t>14 0 00 00000</t>
  </si>
  <si>
    <t>Основное мероприятие "Создание условий для малого и среднего предпринимательства, направленных на формирование положительного образа предпринимателя, популяризации роли предпринимательства"</t>
  </si>
  <si>
    <t>14 1 00 00000</t>
  </si>
  <si>
    <t>Мероприятия по популяризации роли предпринимательства</t>
  </si>
  <si>
    <t>14 1 00 20450</t>
  </si>
  <si>
    <t>Основное мероприятие "Повышение инвестиционной привлекательности Нюксенского муниципального округа"</t>
  </si>
  <si>
    <t>14 2 00 00000</t>
  </si>
  <si>
    <t>Мероприятия, направленные на повышение инвестиционной привлекательности муниципального округа</t>
  </si>
  <si>
    <t>14 2 00 20460</t>
  </si>
  <si>
    <t>Основное мероприятие "Развитие малого  предпринимательства (грантовая поддержка)"</t>
  </si>
  <si>
    <t>14 3 00 00000</t>
  </si>
  <si>
    <t xml:space="preserve">Грантовая поддержка субъектов малого  предпринимательства </t>
  </si>
  <si>
    <t>14 3 00 20470</t>
  </si>
  <si>
    <t>Основное мероприятие "Создание условий для развития мобильной торговли в малонаселенных и труднодоступных населенных пунктах"</t>
  </si>
  <si>
    <t>14 4 00 00000</t>
  </si>
  <si>
    <t>Приобретение специализированного автотранспорта для развития мобильной  торговли в малонаселенных и труднодоступных населенных пунктах</t>
  </si>
  <si>
    <t xml:space="preserve">14 4  00 </t>
  </si>
  <si>
    <t>14 4 00</t>
  </si>
  <si>
    <t>Развитие мобильной торговли в малонаселенных и труднодоступных населенных пунктах</t>
  </si>
  <si>
    <t>14 4 00 S1250</t>
  </si>
  <si>
    <t>Управление муниципальными финансами Нюксенского муниципального округа</t>
  </si>
  <si>
    <t>15 0 00 00000</t>
  </si>
  <si>
    <t>Основное мероприятие "Обеспечение деятельности финансового управления администрации округа, как ответственного исполнителя муниципальной программы, организация и осуществление контроля за соблюдением законодательства Российской Федерации при использовании средств бюджета муниципального округа"</t>
  </si>
  <si>
    <t>15 4 00 00000</t>
  </si>
  <si>
    <t>15 4 00 00190</t>
  </si>
  <si>
    <t>Мероприятия, направленные на повышение квалификационного уровня муниципальных служащих</t>
  </si>
  <si>
    <t>15 4 00 20800</t>
  </si>
  <si>
    <t>Членский взнос в НП "Сообщество финансистов России"</t>
  </si>
  <si>
    <t>15 4 00 20820</t>
  </si>
  <si>
    <t>15 4 00 55490</t>
  </si>
  <si>
    <t>Основное мероприятие "Организация работы казенного учреждения "Межведомственная централизованная бухгалтерия Нюксенского муниципального округа"</t>
  </si>
  <si>
    <t>15 5 00 00000</t>
  </si>
  <si>
    <t>15 5 00 00590</t>
  </si>
  <si>
    <t>15 5 00 70030</t>
  </si>
  <si>
    <t>Совершенствование системы управления и распоряжения земельно-имущественным комплексом Нюксенского муниципального округа</t>
  </si>
  <si>
    <t>16 0 00 00000</t>
  </si>
  <si>
    <t>Основное мероприятие "Обеспечение деятельности комитета земельно-имущественных отношений администрации Нюксенского муниципального округа"</t>
  </si>
  <si>
    <t>16 1 00 00000</t>
  </si>
  <si>
    <t>16 1 00 00190</t>
  </si>
  <si>
    <t>16 1 00 55490</t>
  </si>
  <si>
    <t>Основное мероприятие "Содержание имущества, находящегося в муниципальной собственности"</t>
  </si>
  <si>
    <t>16 2 00 00000</t>
  </si>
  <si>
    <t>Мероприятия в сфере управления и распоряжения имуществом, земельными ресурсами</t>
  </si>
  <si>
    <t>16 2 00 20500</t>
  </si>
  <si>
    <t>Мероприятия, направленные на реализацию регионального проекта "Культурная среда"</t>
  </si>
  <si>
    <t>16 2 A1 00000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</si>
  <si>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</si>
  <si>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16 2 А1 55198</t>
  </si>
  <si>
    <t>Основное мероприятие "Комплекс работ в области управления земельными ресурсами"</t>
  </si>
  <si>
    <t>16 3 00 00000</t>
  </si>
  <si>
    <t>16 3 00 20500</t>
  </si>
  <si>
    <t>Мероприятия, направленные на подготовку проектов межевания земельных участков</t>
  </si>
  <si>
    <t>16 3 00 L5991</t>
  </si>
  <si>
    <t>Мероприятия, направленные на проведение кадастровых работ</t>
  </si>
  <si>
    <t>16 3 00 L5992</t>
  </si>
  <si>
    <t>Мероприятия, направленные на 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</si>
  <si>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16 3 00 S5110</t>
  </si>
  <si>
    <t xml:space="preserve"> Мероприятия, направленные на реализацию регионального проекта "Финансовая поддержка семей при рождении детей"</t>
  </si>
  <si>
    <t>16 3 Р1 00000</t>
  </si>
  <si>
    <t>Осуществление отдельных государственных полномочий в соответствии с законом области 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</si>
  <si>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16 3 Р1 72300</t>
  </si>
  <si>
    <t xml:space="preserve">Развитие молодежной политики в Нюксенском муниципальном округе </t>
  </si>
  <si>
    <t>17 0 00 00000</t>
  </si>
  <si>
    <t>Основное мероприятие "Вовлечение молодежи в общественно-политическую жизнь, повышение гражданской активности молодых граждан"</t>
  </si>
  <si>
    <t>17 1 00 00000</t>
  </si>
  <si>
    <t>Проведение мероприятий для детей и молодежи</t>
  </si>
  <si>
    <t>17 1 00 20590</t>
  </si>
  <si>
    <t>Основное мероприятие "Формирование системы информирования подростков и молодежи об общественных движениях, социальных инициативах в сфере молодежной политики"</t>
  </si>
  <si>
    <t>17 2 00 00000</t>
  </si>
  <si>
    <t>17 2 00 20590</t>
  </si>
  <si>
    <t>Информатизация Нюксенского муниципального округа</t>
  </si>
  <si>
    <t>18 0 00 00000</t>
  </si>
  <si>
    <t>Основное мероприятие " Повышение открытости и доступности информации о деятельности органов местного самоуправления, предоставляемых государственных и муниципальных услугах"</t>
  </si>
  <si>
    <t>18 1 00 00000</t>
  </si>
  <si>
    <t>Реализация мероприятий по развитию информационного общества</t>
  </si>
  <si>
    <t>18 1 00 20320</t>
  </si>
  <si>
    <t>Основное мероприятие "Развитие сетевой и серверной инфраструктуры органов исполнительной муниципальной власти округа"</t>
  </si>
  <si>
    <t>18 2 00 00000</t>
  </si>
  <si>
    <t>Реализация мероприятий, направленных на развитие сетевой и серверной инфраструктуры органов исполнительной муниципальной власти округа</t>
  </si>
  <si>
    <t>18 2 00 20330</t>
  </si>
  <si>
    <t xml:space="preserve">Обеспечение населения Нюксенского муниципального округа доступным жильем и создание благоприятных условий проживания </t>
  </si>
  <si>
    <t>19 0 00 00000</t>
  </si>
  <si>
    <t>Основное мероприятие "Оказание поддержки отдельным категориям граждан в приобретении жилья"</t>
  </si>
  <si>
    <t>19 1 00 00000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</si>
  <si>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</si>
  <si>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19 1 00 51760</t>
  </si>
  <si>
    <t>Предоставление социальных выплат молодым семьям – участникам основного мероприятия "Оказание государственной поддержки отдельным категориям граждан на приобретение жилья" подпрограммы "Создание условий для обеспечения доступным жильем граждан области" государственной программы Вологодской области "Наследие Вологодчины"</t>
  </si>
  <si>
    <t>19 1 00 L4970</t>
  </si>
  <si>
    <t>Основное мероприятие "Капитальный и текущий ремонт объектов жилищного фонда"</t>
  </si>
  <si>
    <t>19 2 00 00000</t>
  </si>
  <si>
    <t>Мероприятия, связанные с капитальным и текущим ремонтом объектов жилищного фонда</t>
  </si>
  <si>
    <t>19 2 00 20570</t>
  </si>
  <si>
    <t>Основное мероприятие "Обеспечение устойчивого сокращения непригодного для проживания жилищного фонда"</t>
  </si>
  <si>
    <t>19 3 00 00000</t>
  </si>
  <si>
    <t>Мероприятия, направленные на демонтаж и снос аварийного и ветхого жилья на территории муниципального округа</t>
  </si>
  <si>
    <t>19 3 00 20580</t>
  </si>
  <si>
    <t>Реализация регионального проекта "Обеспечение устойчивого сокращения непригодного для проживания жилищного фонда"</t>
  </si>
  <si>
    <t>19 3 F3 00000</t>
  </si>
  <si>
    <t>Мероприятия, направленные на реализацию регионального проекта "Обеспечение устойчивого сокращения непригодного для проживания жилищного фонда"</t>
  </si>
  <si>
    <t>19 3 F3 20580</t>
  </si>
  <si>
    <t>Мероприятия по переселению граждан из аварийного жилищного фонда счет средств, поступивших от государственной корпорации - Фонд содействия реформированию жилищно-коммунального хозяйства</t>
  </si>
  <si>
    <t>19 3 F3 67483</t>
  </si>
  <si>
    <t>Мероприятия по переселению граждан из аварийного жилищного фонда за счет средств областного бюджета</t>
  </si>
  <si>
    <t>19 3 F3 67484</t>
  </si>
  <si>
    <t>Комплексное развитие сельских территорий Нюксенского муниципального округа Вологодской области</t>
  </si>
  <si>
    <t>20 0 00 00000</t>
  </si>
  <si>
    <t>Основное мероприятие "Оказание содействия в обеспечении сельского населения доступным и комфортным жильем"</t>
  </si>
  <si>
    <t>20 1 00 00000</t>
  </si>
  <si>
    <t>Улучшение жилищных условий граждан, проживающих на сельских территориях</t>
  </si>
  <si>
    <t>20 1 00 L5764</t>
  </si>
  <si>
    <t>Основное мероприятие "Создание и развитие социальной, инженерной и транспортной инфраструктур на сельских территориях"</t>
  </si>
  <si>
    <t>20 2 00 00000</t>
  </si>
  <si>
    <t>Обеспечение комплексного развития сельских территорий</t>
  </si>
  <si>
    <t>20 2 00 L5769</t>
  </si>
  <si>
    <t>Основное мероприятие "Предотвращение распространения сорного растения борщевик Сосновского"</t>
  </si>
  <si>
    <t>20 4 00 00000</t>
  </si>
  <si>
    <t>Мероприятия по предотвращению распространения сорного растения борщевик Сосновского</t>
  </si>
  <si>
    <t>20 4 00 S1400</t>
  </si>
  <si>
    <t>ИТОГО</t>
  </si>
  <si>
    <t xml:space="preserve"> 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</si>
</sst>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DA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9" fillId="0" borderId="0"/>
    <xf numFmtId="0" fontId="17" fillId="0" borderId="0"/>
    <xf numFmtId="0" fontId="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" borderId="15" applyNumberFormat="0" applyFont="0" applyAlignment="0" applyProtection="0"/>
    <xf numFmtId="0" fontId="2" fillId="5" borderId="15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0" fontId="0" fillId="0" borderId="0" xfId="0" applyFill="1"/>
    <xf numFmtId="164" fontId="4" fillId="0" borderId="0" xfId="0" applyNumberFormat="1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/>
    <xf numFmtId="0" fontId="7" fillId="0" borderId="0" xfId="0" applyFont="1" applyFill="1" applyAlignment="1"/>
    <xf numFmtId="164" fontId="8" fillId="0" borderId="0" xfId="0" applyNumberFormat="1" applyFont="1" applyFill="1" applyAlignment="1"/>
    <xf numFmtId="0" fontId="0" fillId="0" borderId="0" xfId="0" applyFill="1" applyAlignment="1">
      <alignment horizontal="right"/>
    </xf>
    <xf numFmtId="164" fontId="8" fillId="0" borderId="0" xfId="0" applyNumberFormat="1" applyFont="1" applyFill="1" applyBorder="1" applyAlignment="1">
      <alignment horizontal="center"/>
    </xf>
    <xf numFmtId="9" fontId="0" fillId="0" borderId="0" xfId="0" applyNumberFormat="1"/>
    <xf numFmtId="0" fontId="7" fillId="0" borderId="7" xfId="1" applyNumberFormat="1" applyFont="1" applyFill="1" applyBorder="1" applyAlignment="1" applyProtection="1">
      <alignment horizontal="center" wrapText="1"/>
      <protection hidden="1"/>
    </xf>
    <xf numFmtId="0" fontId="7" fillId="0" borderId="8" xfId="1" applyNumberFormat="1" applyFont="1" applyFill="1" applyBorder="1" applyAlignment="1" applyProtection="1">
      <alignment horizontal="center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49" fontId="8" fillId="0" borderId="6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center" wrapText="1"/>
    </xf>
    <xf numFmtId="49" fontId="10" fillId="2" borderId="7" xfId="0" applyNumberFormat="1" applyFont="1" applyFill="1" applyBorder="1" applyAlignment="1">
      <alignment horizontal="center" wrapText="1"/>
    </xf>
    <xf numFmtId="165" fontId="10" fillId="2" borderId="7" xfId="0" applyNumberFormat="1" applyFont="1" applyFill="1" applyBorder="1" applyAlignment="1"/>
    <xf numFmtId="165" fontId="10" fillId="0" borderId="7" xfId="0" applyNumberFormat="1" applyFont="1" applyFill="1" applyBorder="1" applyAlignment="1"/>
    <xf numFmtId="0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7" xfId="0" applyFont="1" applyFill="1" applyBorder="1" applyAlignment="1">
      <alignment horizontal="center" wrapText="1"/>
    </xf>
    <xf numFmtId="49" fontId="8" fillId="0" borderId="7" xfId="0" applyNumberFormat="1" applyFont="1" applyFill="1" applyBorder="1" applyAlignment="1">
      <alignment horizontal="center" wrapText="1"/>
    </xf>
    <xf numFmtId="165" fontId="8" fillId="0" borderId="7" xfId="0" applyNumberFormat="1" applyFont="1" applyFill="1" applyBorder="1" applyAlignment="1"/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>
      <alignment vertical="justify" wrapText="1"/>
    </xf>
    <xf numFmtId="165" fontId="7" fillId="0" borderId="7" xfId="0" applyNumberFormat="1" applyFont="1" applyFill="1" applyBorder="1" applyAlignment="1"/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Fill="1" applyBorder="1"/>
    <xf numFmtId="0" fontId="0" fillId="0" borderId="0" xfId="0" applyBorder="1"/>
    <xf numFmtId="0" fontId="8" fillId="0" borderId="7" xfId="0" applyFont="1" applyFill="1" applyBorder="1" applyAlignment="1">
      <alignment vertical="justify" wrapText="1"/>
    </xf>
    <xf numFmtId="165" fontId="0" fillId="0" borderId="0" xfId="0" applyNumberFormat="1" applyFill="1"/>
    <xf numFmtId="49" fontId="7" fillId="0" borderId="7" xfId="0" applyNumberFormat="1" applyFont="1" applyFill="1" applyBorder="1" applyAlignment="1" applyProtection="1">
      <alignment vertical="justify" wrapText="1"/>
    </xf>
    <xf numFmtId="165" fontId="8" fillId="0" borderId="0" xfId="0" applyNumberFormat="1" applyFont="1" applyFill="1" applyBorder="1" applyAlignment="1"/>
    <xf numFmtId="165" fontId="7" fillId="0" borderId="0" xfId="0" applyNumberFormat="1" applyFont="1" applyFill="1" applyBorder="1" applyAlignment="1"/>
    <xf numFmtId="0" fontId="7" fillId="0" borderId="1" xfId="0" applyFont="1" applyFill="1" applyBorder="1" applyAlignment="1">
      <alignment horizontal="left" vertical="justify" wrapText="1"/>
    </xf>
    <xf numFmtId="9" fontId="0" fillId="0" borderId="0" xfId="0" applyNumberFormat="1" applyBorder="1"/>
    <xf numFmtId="0" fontId="7" fillId="0" borderId="1" xfId="0" applyFont="1" applyFill="1" applyBorder="1" applyAlignment="1">
      <alignment horizontal="left" vertical="distributed" shrinkToFit="1"/>
    </xf>
    <xf numFmtId="0" fontId="11" fillId="0" borderId="0" xfId="0" applyFont="1" applyFill="1"/>
    <xf numFmtId="0" fontId="7" fillId="0" borderId="7" xfId="0" applyFont="1" applyFill="1" applyBorder="1" applyAlignment="1">
      <alignment vertical="distributed" shrinkToFit="1"/>
    </xf>
    <xf numFmtId="0" fontId="7" fillId="0" borderId="6" xfId="0" applyFont="1" applyFill="1" applyBorder="1" applyAlignment="1">
      <alignment vertical="top" wrapText="1"/>
    </xf>
    <xf numFmtId="49" fontId="7" fillId="0" borderId="7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vertical="justify" wrapText="1"/>
    </xf>
    <xf numFmtId="0" fontId="12" fillId="2" borderId="7" xfId="0" applyFont="1" applyFill="1" applyBorder="1" applyAlignment="1">
      <alignment horizontal="center" wrapText="1"/>
    </xf>
    <xf numFmtId="49" fontId="12" fillId="2" borderId="7" xfId="0" applyNumberFormat="1" applyFont="1" applyFill="1" applyBorder="1" applyAlignment="1">
      <alignment horizontal="center" wrapText="1"/>
    </xf>
    <xf numFmtId="2" fontId="12" fillId="2" borderId="7" xfId="0" applyNumberFormat="1" applyFont="1" applyFill="1" applyBorder="1" applyAlignment="1">
      <alignment horizontal="right" wrapText="1"/>
    </xf>
    <xf numFmtId="49" fontId="7" fillId="0" borderId="7" xfId="0" applyNumberFormat="1" applyFont="1" applyFill="1" applyBorder="1" applyAlignment="1">
      <alignment horizontal="center" wrapText="1"/>
    </xf>
    <xf numFmtId="0" fontId="7" fillId="0" borderId="9" xfId="1" applyNumberFormat="1" applyFont="1" applyFill="1" applyBorder="1" applyAlignment="1" applyProtection="1">
      <alignment horizontal="left" wrapText="1"/>
      <protection hidden="1"/>
    </xf>
    <xf numFmtId="0" fontId="12" fillId="2" borderId="1" xfId="0" applyFont="1" applyFill="1" applyBorder="1" applyAlignment="1">
      <alignment horizontal="left" vertical="justify" wrapText="1"/>
    </xf>
    <xf numFmtId="165" fontId="12" fillId="2" borderId="7" xfId="0" applyNumberFormat="1" applyFont="1" applyFill="1" applyBorder="1" applyAlignment="1"/>
    <xf numFmtId="0" fontId="7" fillId="0" borderId="7" xfId="1" applyNumberFormat="1" applyFont="1" applyFill="1" applyBorder="1" applyAlignment="1" applyProtection="1">
      <alignment horizontal="left" wrapText="1"/>
      <protection hidden="1"/>
    </xf>
    <xf numFmtId="0" fontId="7" fillId="0" borderId="1" xfId="0" applyFont="1" applyFill="1" applyBorder="1" applyAlignment="1">
      <alignment vertical="justify" wrapText="1"/>
    </xf>
    <xf numFmtId="49" fontId="12" fillId="0" borderId="7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13" fillId="0" borderId="0" xfId="0" applyFont="1" applyFill="1"/>
    <xf numFmtId="0" fontId="7" fillId="0" borderId="11" xfId="1" applyNumberFormat="1" applyFont="1" applyFill="1" applyBorder="1" applyAlignment="1" applyProtection="1">
      <alignment horizontal="left" wrapText="1"/>
      <protection hidden="1"/>
    </xf>
    <xf numFmtId="0" fontId="7" fillId="0" borderId="7" xfId="0" applyFont="1" applyFill="1" applyBorder="1" applyAlignment="1">
      <alignment wrapText="1"/>
    </xf>
    <xf numFmtId="0" fontId="7" fillId="0" borderId="9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Alignment="1"/>
    <xf numFmtId="0" fontId="7" fillId="0" borderId="7" xfId="0" applyNumberFormat="1" applyFont="1" applyFill="1" applyBorder="1" applyAlignment="1" applyProtection="1">
      <alignment horizontal="left" vertical="justify" wrapText="1"/>
    </xf>
    <xf numFmtId="0" fontId="7" fillId="0" borderId="6" xfId="0" applyFont="1" applyFill="1" applyBorder="1" applyAlignment="1">
      <alignment horizontal="left" vertical="justify" wrapText="1"/>
    </xf>
    <xf numFmtId="0" fontId="7" fillId="0" borderId="7" xfId="0" applyFont="1" applyFill="1" applyBorder="1" applyAlignment="1">
      <alignment vertical="distributed" wrapText="1"/>
    </xf>
    <xf numFmtId="0" fontId="7" fillId="0" borderId="7" xfId="0" applyNumberFormat="1" applyFont="1" applyFill="1" applyBorder="1" applyAlignment="1" applyProtection="1">
      <alignment horizontal="left" vertical="distributed" shrinkToFit="1"/>
    </xf>
    <xf numFmtId="165" fontId="7" fillId="0" borderId="7" xfId="0" applyNumberFormat="1" applyFont="1" applyFill="1" applyBorder="1" applyAlignment="1" applyProtection="1">
      <alignment horizontal="right"/>
    </xf>
    <xf numFmtId="49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vertical="distributed" wrapText="1" shrinkToFit="1"/>
    </xf>
    <xf numFmtId="49" fontId="7" fillId="0" borderId="7" xfId="0" applyNumberFormat="1" applyFont="1" applyFill="1" applyBorder="1" applyAlignment="1" applyProtection="1">
      <alignment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NumberFormat="1" applyFont="1" applyFill="1" applyBorder="1" applyAlignment="1" applyProtection="1">
      <alignment horizontal="left" vertical="center" shrinkToFit="1"/>
    </xf>
    <xf numFmtId="0" fontId="12" fillId="2" borderId="7" xfId="0" applyFont="1" applyFill="1" applyBorder="1" applyAlignment="1">
      <alignment vertical="justify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49" fontId="7" fillId="0" borderId="1" xfId="0" applyNumberFormat="1" applyFont="1" applyFill="1" applyBorder="1" applyAlignment="1" applyProtection="1">
      <alignment vertical="justify" wrapText="1"/>
    </xf>
    <xf numFmtId="0" fontId="7" fillId="0" borderId="7" xfId="0" applyFont="1" applyFill="1" applyBorder="1" applyAlignment="1">
      <alignment vertical="center" wrapText="1" shrinkToFit="1"/>
    </xf>
    <xf numFmtId="165" fontId="7" fillId="0" borderId="7" xfId="0" applyNumberFormat="1" applyFont="1" applyFill="1" applyBorder="1"/>
    <xf numFmtId="0" fontId="7" fillId="0" borderId="1" xfId="0" applyFont="1" applyFill="1" applyBorder="1" applyAlignment="1">
      <alignment horizontal="left" vertical="distributed" wrapText="1" shrinkToFit="1"/>
    </xf>
    <xf numFmtId="0" fontId="7" fillId="0" borderId="1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justify" wrapText="1"/>
    </xf>
    <xf numFmtId="0" fontId="7" fillId="0" borderId="7" xfId="0" applyFont="1" applyFill="1" applyBorder="1" applyAlignment="1">
      <alignment horizontal="left" vertical="top" wrapText="1" shrinkToFit="1"/>
    </xf>
    <xf numFmtId="0" fontId="14" fillId="0" borderId="12" xfId="0" applyNumberFormat="1" applyFont="1" applyFill="1" applyBorder="1" applyAlignment="1" applyProtection="1">
      <alignment horizontal="left" wrapText="1"/>
    </xf>
    <xf numFmtId="165" fontId="0" fillId="0" borderId="0" xfId="0" applyNumberFormat="1"/>
    <xf numFmtId="0" fontId="7" fillId="0" borderId="1" xfId="0" applyFont="1" applyFill="1" applyBorder="1" applyAlignment="1">
      <alignment wrapText="1"/>
    </xf>
    <xf numFmtId="0" fontId="7" fillId="0" borderId="7" xfId="0" applyFont="1" applyFill="1" applyBorder="1" applyAlignment="1">
      <alignment horizontal="left" vertical="justify" wrapText="1"/>
    </xf>
    <xf numFmtId="0" fontId="7" fillId="0" borderId="13" xfId="0" applyFont="1" applyFill="1" applyBorder="1" applyAlignment="1">
      <alignment horizontal="left" vertical="justify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justify" wrapText="1"/>
    </xf>
    <xf numFmtId="0" fontId="7" fillId="0" borderId="7" xfId="1" applyNumberFormat="1" applyFont="1" applyFill="1" applyBorder="1" applyAlignment="1" applyProtection="1">
      <alignment horizontal="left" vertical="top" wrapText="1"/>
      <protection hidden="1"/>
    </xf>
    <xf numFmtId="0" fontId="7" fillId="0" borderId="7" xfId="0" applyNumberFormat="1" applyFont="1" applyFill="1" applyBorder="1" applyAlignment="1" applyProtection="1">
      <alignment vertical="top" wrapText="1"/>
    </xf>
    <xf numFmtId="0" fontId="8" fillId="0" borderId="7" xfId="0" applyNumberFormat="1" applyFont="1" applyFill="1" applyBorder="1" applyAlignment="1" applyProtection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7" xfId="0" applyNumberFormat="1" applyFont="1" applyFill="1" applyBorder="1" applyAlignment="1" applyProtection="1">
      <alignment wrapText="1"/>
    </xf>
    <xf numFmtId="0" fontId="7" fillId="0" borderId="7" xfId="0" applyNumberFormat="1" applyFont="1" applyFill="1" applyBorder="1" applyAlignment="1" applyProtection="1">
      <alignment vertical="distributed" shrinkToFit="1"/>
    </xf>
    <xf numFmtId="49" fontId="7" fillId="0" borderId="7" xfId="0" applyNumberFormat="1" applyFont="1" applyFill="1" applyBorder="1" applyAlignment="1" applyProtection="1">
      <alignment horizontal="center" wrapText="1"/>
    </xf>
    <xf numFmtId="0" fontId="7" fillId="0" borderId="9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justify" wrapText="1"/>
    </xf>
    <xf numFmtId="0" fontId="14" fillId="0" borderId="14" xfId="0" applyNumberFormat="1" applyFont="1" applyFill="1" applyBorder="1" applyAlignment="1" applyProtection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vertical="center" wrapText="1"/>
    </xf>
    <xf numFmtId="0" fontId="7" fillId="0" borderId="7" xfId="1" applyNumberFormat="1" applyFont="1" applyFill="1" applyBorder="1" applyAlignment="1" applyProtection="1">
      <alignment horizontal="left" vertical="distributed" wrapText="1"/>
      <protection hidden="1"/>
    </xf>
    <xf numFmtId="0" fontId="7" fillId="0" borderId="7" xfId="1" applyNumberFormat="1" applyFont="1" applyFill="1" applyBorder="1" applyAlignment="1" applyProtection="1">
      <alignment horizontal="left" vertical="distributed" shrinkToFit="1"/>
      <protection hidden="1"/>
    </xf>
    <xf numFmtId="49" fontId="7" fillId="0" borderId="7" xfId="0" applyNumberFormat="1" applyFont="1" applyFill="1" applyBorder="1" applyAlignment="1" applyProtection="1">
      <alignment horizontal="justify" vertical="justify" wrapText="1"/>
    </xf>
    <xf numFmtId="0" fontId="7" fillId="0" borderId="0" xfId="0" applyFont="1" applyFill="1" applyAlignment="1">
      <alignment wrapText="1"/>
    </xf>
    <xf numFmtId="0" fontId="0" fillId="3" borderId="0" xfId="0" applyFill="1"/>
    <xf numFmtId="0" fontId="12" fillId="2" borderId="7" xfId="0" applyFont="1" applyFill="1" applyBorder="1"/>
    <xf numFmtId="0" fontId="12" fillId="2" borderId="7" xfId="0" applyFont="1" applyFill="1" applyBorder="1" applyAlignment="1">
      <alignment horizontal="center"/>
    </xf>
    <xf numFmtId="49" fontId="12" fillId="2" borderId="7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0" fillId="0" borderId="0" xfId="0" applyNumberFormat="1" applyFill="1" applyAlignment="1"/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/>
    <xf numFmtId="0" fontId="0" fillId="0" borderId="0" xfId="0" applyAlignment="1">
      <alignment horizontal="right"/>
    </xf>
    <xf numFmtId="4" fontId="0" fillId="0" borderId="0" xfId="0" applyNumberFormat="1" applyFill="1"/>
    <xf numFmtId="4" fontId="0" fillId="0" borderId="0" xfId="0" applyNumberFormat="1" applyFill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/>
    <xf numFmtId="4" fontId="0" fillId="4" borderId="0" xfId="0" applyNumberFormat="1" applyFill="1" applyAlignment="1">
      <alignment horizontal="right"/>
    </xf>
    <xf numFmtId="4" fontId="0" fillId="0" borderId="0" xfId="0" applyNumberFormat="1"/>
    <xf numFmtId="2" fontId="0" fillId="0" borderId="0" xfId="0" applyNumberFormat="1" applyFill="1"/>
    <xf numFmtId="2" fontId="0" fillId="0" borderId="0" xfId="0" applyNumberFormat="1"/>
    <xf numFmtId="165" fontId="12" fillId="0" borderId="0" xfId="0" applyNumberFormat="1" applyFont="1" applyFill="1" applyBorder="1" applyAlignment="1"/>
    <xf numFmtId="0" fontId="0" fillId="0" borderId="0" xfId="0" applyFill="1" applyAlignment="1">
      <alignment horizontal="right" wrapText="1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165" fontId="10" fillId="0" borderId="9" xfId="0" applyNumberFormat="1" applyFont="1" applyFill="1" applyBorder="1" applyAlignment="1"/>
  </cellXfs>
  <cellStyles count="17">
    <cellStyle name="Обычный" xfId="0" builtinId="0"/>
    <cellStyle name="Обычный 2" xfId="1"/>
    <cellStyle name="Обычный 2 2" xfId="2"/>
    <cellStyle name="Обычный 2 2 2" xfId="3"/>
    <cellStyle name="Обычный 3" xfId="4"/>
    <cellStyle name="Обычный 3 2" xfId="5"/>
    <cellStyle name="Обычный 3 2 2" xfId="6"/>
    <cellStyle name="Обычный 3 2 2 2" xfId="7"/>
    <cellStyle name="Обычный 3 2_4 " xfId="8"/>
    <cellStyle name="Обычный 3 3" xfId="9"/>
    <cellStyle name="Обычный 3 4" xfId="10"/>
    <cellStyle name="Обычный 3 5" xfId="11"/>
    <cellStyle name="Обычный 3_4 " xfId="12"/>
    <cellStyle name="Примечание 2" xfId="13"/>
    <cellStyle name="Примечание 3" xfId="14"/>
    <cellStyle name="Финансовый 2" xfId="15"/>
    <cellStyle name="Финансовый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1"/>
  <sheetViews>
    <sheetView tabSelected="1" view="pageBreakPreview" zoomScaleSheetLayoutView="100" workbookViewId="0">
      <selection activeCell="J459" sqref="J459"/>
    </sheetView>
  </sheetViews>
  <sheetFormatPr defaultRowHeight="12.75"/>
  <cols>
    <col min="1" max="1" width="64.5703125" style="3" customWidth="1"/>
    <col min="2" max="2" width="13" style="5" customWidth="1"/>
    <col min="3" max="3" width="5.7109375" style="5" customWidth="1"/>
    <col min="4" max="4" width="7.5703125" style="5" customWidth="1"/>
    <col min="5" max="5" width="8.7109375" style="5" customWidth="1"/>
    <col min="6" max="6" width="10.7109375" style="4" customWidth="1"/>
    <col min="7" max="7" width="9.28515625" style="5" customWidth="1"/>
    <col min="8" max="8" width="11.42578125" style="5" customWidth="1"/>
    <col min="9" max="9" width="9.28515625" style="5" hidden="1" customWidth="1"/>
    <col min="10" max="10" width="12.42578125" style="3" customWidth="1"/>
    <col min="11" max="11" width="10.7109375" style="3" bestFit="1" customWidth="1"/>
    <col min="12" max="12" width="12.7109375" style="3" bestFit="1" customWidth="1"/>
    <col min="13" max="13" width="10.7109375" style="3" bestFit="1" customWidth="1"/>
    <col min="14" max="14" width="12.7109375" bestFit="1" customWidth="1"/>
    <col min="15" max="15" width="10.7109375" bestFit="1" customWidth="1"/>
  </cols>
  <sheetData>
    <row r="1" spans="1:14" ht="72" customHeight="1">
      <c r="A1" s="1"/>
      <c r="B1" s="132" t="s">
        <v>0</v>
      </c>
      <c r="C1" s="132"/>
      <c r="D1" s="132"/>
      <c r="E1" s="132"/>
      <c r="F1" s="132"/>
      <c r="G1" s="132"/>
      <c r="H1" s="132"/>
      <c r="I1" s="2"/>
    </row>
    <row r="2" spans="1:14" ht="15.75">
      <c r="A2" s="133"/>
      <c r="B2" s="133"/>
      <c r="C2" s="133"/>
      <c r="D2" s="133"/>
      <c r="E2" s="133"/>
    </row>
    <row r="3" spans="1:14">
      <c r="A3" s="6"/>
      <c r="B3" s="6"/>
      <c r="C3" s="6"/>
      <c r="D3" s="6"/>
      <c r="E3" s="6"/>
    </row>
    <row r="4" spans="1:14" ht="15.75">
      <c r="A4" s="134" t="s">
        <v>1</v>
      </c>
      <c r="B4" s="134"/>
      <c r="C4" s="134"/>
      <c r="D4" s="134"/>
      <c r="E4" s="134"/>
      <c r="F4" s="134"/>
      <c r="G4" s="134"/>
      <c r="H4" s="134"/>
      <c r="I4" s="7"/>
    </row>
    <row r="5" spans="1:14" ht="32.25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8"/>
    </row>
    <row r="6" spans="1:14">
      <c r="A6" s="9"/>
      <c r="B6" s="10"/>
      <c r="C6" s="10"/>
      <c r="D6" s="10"/>
      <c r="E6" s="10"/>
      <c r="F6" s="11"/>
      <c r="G6" s="12"/>
      <c r="H6" s="12" t="s">
        <v>3</v>
      </c>
      <c r="I6" s="12"/>
    </row>
    <row r="7" spans="1:14">
      <c r="A7" s="136" t="s">
        <v>4</v>
      </c>
      <c r="B7" s="139" t="s">
        <v>5</v>
      </c>
      <c r="C7" s="142" t="s">
        <v>6</v>
      </c>
      <c r="D7" s="139" t="s">
        <v>7</v>
      </c>
      <c r="E7" s="139" t="s">
        <v>8</v>
      </c>
      <c r="F7" s="145"/>
      <c r="G7" s="145"/>
      <c r="H7" s="146"/>
      <c r="I7" s="13"/>
    </row>
    <row r="8" spans="1:14">
      <c r="A8" s="137"/>
      <c r="B8" s="140"/>
      <c r="C8" s="143"/>
      <c r="D8" s="140"/>
      <c r="E8" s="140"/>
      <c r="F8" s="147"/>
      <c r="G8" s="147"/>
      <c r="H8" s="147"/>
      <c r="I8" s="13"/>
      <c r="N8" s="14"/>
    </row>
    <row r="9" spans="1:14" ht="25.5">
      <c r="A9" s="138"/>
      <c r="B9" s="141"/>
      <c r="C9" s="144"/>
      <c r="D9" s="141"/>
      <c r="E9" s="141"/>
      <c r="F9" s="15" t="s">
        <v>9</v>
      </c>
      <c r="G9" s="16" t="s">
        <v>10</v>
      </c>
      <c r="H9" s="15" t="s">
        <v>11</v>
      </c>
      <c r="I9" s="17" t="s">
        <v>12</v>
      </c>
    </row>
    <row r="10" spans="1:14">
      <c r="A10" s="18">
        <v>1</v>
      </c>
      <c r="B10" s="19">
        <v>2</v>
      </c>
      <c r="C10" s="18">
        <v>3</v>
      </c>
      <c r="D10" s="19">
        <v>4</v>
      </c>
      <c r="E10" s="19">
        <v>5</v>
      </c>
      <c r="F10" s="20" t="s">
        <v>13</v>
      </c>
      <c r="G10" s="20" t="s">
        <v>14</v>
      </c>
      <c r="H10" s="21" t="s">
        <v>15</v>
      </c>
      <c r="I10" s="22"/>
    </row>
    <row r="11" spans="1:14" ht="38.25">
      <c r="A11" s="23" t="s">
        <v>16</v>
      </c>
      <c r="B11" s="24" t="s">
        <v>17</v>
      </c>
      <c r="C11" s="25"/>
      <c r="D11" s="25"/>
      <c r="E11" s="25"/>
      <c r="F11" s="26">
        <f>F12+F33</f>
        <v>9325.5999999999985</v>
      </c>
      <c r="G11" s="26">
        <f>G12+G33</f>
        <v>7390.5999999999995</v>
      </c>
      <c r="H11" s="26">
        <f>H12+H33</f>
        <v>7390.5999999999995</v>
      </c>
      <c r="I11" s="27" t="e">
        <f>H11-#REF!</f>
        <v>#REF!</v>
      </c>
    </row>
    <row r="12" spans="1:14" ht="25.5">
      <c r="A12" s="28" t="s">
        <v>18</v>
      </c>
      <c r="B12" s="29" t="s">
        <v>19</v>
      </c>
      <c r="C12" s="30"/>
      <c r="D12" s="30"/>
      <c r="E12" s="30"/>
      <c r="F12" s="31">
        <f>F13+F17</f>
        <v>9325.5999999999985</v>
      </c>
      <c r="G12" s="31">
        <f>G13+G17</f>
        <v>7090.5999999999995</v>
      </c>
      <c r="H12" s="31">
        <f>H13+H17</f>
        <v>7090.5999999999995</v>
      </c>
      <c r="I12" s="27" t="e">
        <f>H12-#REF!</f>
        <v>#REF!</v>
      </c>
    </row>
    <row r="13" spans="1:14" ht="28.5" customHeight="1">
      <c r="A13" s="28" t="s">
        <v>20</v>
      </c>
      <c r="B13" s="29" t="s">
        <v>21</v>
      </c>
      <c r="C13" s="30" t="s">
        <v>22</v>
      </c>
      <c r="D13" s="30" t="s">
        <v>23</v>
      </c>
      <c r="E13" s="30"/>
      <c r="F13" s="31">
        <f>F14</f>
        <v>994.8</v>
      </c>
      <c r="G13" s="31">
        <f>G14</f>
        <v>994.8</v>
      </c>
      <c r="H13" s="31">
        <f>H14</f>
        <v>994.8</v>
      </c>
      <c r="I13" s="27" t="e">
        <f>H13-#REF!</f>
        <v>#REF!</v>
      </c>
    </row>
    <row r="14" spans="1:14" ht="89.25">
      <c r="A14" s="32" t="s">
        <v>24</v>
      </c>
      <c r="B14" s="29" t="s">
        <v>25</v>
      </c>
      <c r="C14" s="30" t="s">
        <v>22</v>
      </c>
      <c r="D14" s="30" t="s">
        <v>23</v>
      </c>
      <c r="E14" s="30"/>
      <c r="F14" s="31">
        <f>F15+F16</f>
        <v>994.8</v>
      </c>
      <c r="G14" s="31">
        <f>G15+G16</f>
        <v>994.8</v>
      </c>
      <c r="H14" s="31">
        <f>H15+H16</f>
        <v>994.8</v>
      </c>
      <c r="I14" s="27" t="e">
        <f>H14-#REF!</f>
        <v>#REF!</v>
      </c>
    </row>
    <row r="15" spans="1:14">
      <c r="A15" s="33" t="s">
        <v>26</v>
      </c>
      <c r="B15" s="29" t="s">
        <v>25</v>
      </c>
      <c r="C15" s="30" t="s">
        <v>22</v>
      </c>
      <c r="D15" s="30" t="s">
        <v>23</v>
      </c>
      <c r="E15" s="30" t="s">
        <v>27</v>
      </c>
      <c r="F15" s="34">
        <v>710.6</v>
      </c>
      <c r="G15" s="34">
        <v>710.6</v>
      </c>
      <c r="H15" s="34">
        <v>710.6</v>
      </c>
      <c r="I15" s="27" t="e">
        <f>H15-#REF!</f>
        <v>#REF!</v>
      </c>
    </row>
    <row r="16" spans="1:14" ht="25.5">
      <c r="A16" s="33" t="s">
        <v>28</v>
      </c>
      <c r="B16" s="29" t="s">
        <v>25</v>
      </c>
      <c r="C16" s="30" t="s">
        <v>22</v>
      </c>
      <c r="D16" s="30" t="s">
        <v>23</v>
      </c>
      <c r="E16" s="30" t="s">
        <v>29</v>
      </c>
      <c r="F16" s="34">
        <v>284.2</v>
      </c>
      <c r="G16" s="34">
        <v>284.2</v>
      </c>
      <c r="H16" s="34">
        <v>284.2</v>
      </c>
      <c r="I16" s="27" t="e">
        <f>H16-#REF!</f>
        <v>#REF!</v>
      </c>
    </row>
    <row r="17" spans="1:14" ht="27.75" customHeight="1">
      <c r="A17" s="35" t="s">
        <v>30</v>
      </c>
      <c r="B17" s="29" t="s">
        <v>31</v>
      </c>
      <c r="C17" s="30"/>
      <c r="D17" s="30"/>
      <c r="E17" s="30"/>
      <c r="F17" s="31">
        <f>F18+F28+F31+F23</f>
        <v>8330.7999999999993</v>
      </c>
      <c r="G17" s="31">
        <f>G18+G28+G31+G23</f>
        <v>6095.7999999999993</v>
      </c>
      <c r="H17" s="31">
        <f>H18+H28+H31+H23</f>
        <v>6095.7999999999993</v>
      </c>
      <c r="I17" s="27" t="e">
        <f>H17-#REF!</f>
        <v>#REF!</v>
      </c>
      <c r="K17" s="36"/>
      <c r="L17" s="36"/>
      <c r="M17" s="36"/>
      <c r="N17" s="37"/>
    </row>
    <row r="18" spans="1:14">
      <c r="A18" s="38" t="s">
        <v>32</v>
      </c>
      <c r="B18" s="29" t="s">
        <v>33</v>
      </c>
      <c r="C18" s="30"/>
      <c r="D18" s="30"/>
      <c r="E18" s="30"/>
      <c r="F18" s="31">
        <f>F21+F22+F19+F20</f>
        <v>2798.1</v>
      </c>
      <c r="G18" s="31">
        <f>G21+G22+G19+G20</f>
        <v>2798.1</v>
      </c>
      <c r="H18" s="31">
        <f>H21+H22+H19+H20</f>
        <v>2798.1</v>
      </c>
      <c r="I18" s="27" t="e">
        <f>H18-#REF!</f>
        <v>#REF!</v>
      </c>
      <c r="J18" s="39"/>
      <c r="K18" s="36"/>
      <c r="L18" s="36"/>
      <c r="M18" s="36"/>
      <c r="N18" s="37"/>
    </row>
    <row r="19" spans="1:14">
      <c r="A19" s="40" t="s">
        <v>34</v>
      </c>
      <c r="B19" s="29" t="s">
        <v>33</v>
      </c>
      <c r="C19" s="30" t="s">
        <v>35</v>
      </c>
      <c r="D19" s="30" t="s">
        <v>36</v>
      </c>
      <c r="E19" s="30" t="s">
        <v>37</v>
      </c>
      <c r="F19" s="31">
        <v>430</v>
      </c>
      <c r="G19" s="31">
        <v>430</v>
      </c>
      <c r="H19" s="31">
        <v>430</v>
      </c>
      <c r="I19" s="27" t="e">
        <f>H19-#REF!</f>
        <v>#REF!</v>
      </c>
      <c r="K19" s="41"/>
      <c r="L19" s="41"/>
      <c r="M19" s="41"/>
      <c r="N19" s="37"/>
    </row>
    <row r="20" spans="1:14" ht="25.5">
      <c r="A20" s="33" t="s">
        <v>28</v>
      </c>
      <c r="B20" s="29" t="s">
        <v>33</v>
      </c>
      <c r="C20" s="30" t="s">
        <v>35</v>
      </c>
      <c r="D20" s="30" t="s">
        <v>36</v>
      </c>
      <c r="E20" s="30" t="s">
        <v>29</v>
      </c>
      <c r="F20" s="34">
        <v>38</v>
      </c>
      <c r="G20" s="34">
        <v>38</v>
      </c>
      <c r="H20" s="34">
        <v>38</v>
      </c>
      <c r="I20" s="27" t="e">
        <f>H20-#REF!</f>
        <v>#REF!</v>
      </c>
      <c r="J20" s="39"/>
      <c r="K20" s="42"/>
      <c r="L20" s="42"/>
      <c r="M20" s="42"/>
      <c r="N20" s="37"/>
    </row>
    <row r="21" spans="1:14" ht="25.5">
      <c r="A21" s="43" t="s">
        <v>38</v>
      </c>
      <c r="B21" s="29" t="s">
        <v>33</v>
      </c>
      <c r="C21" s="30" t="s">
        <v>35</v>
      </c>
      <c r="D21" s="30" t="s">
        <v>36</v>
      </c>
      <c r="E21" s="30" t="s">
        <v>39</v>
      </c>
      <c r="F21" s="34">
        <v>1590</v>
      </c>
      <c r="G21" s="34">
        <v>1590</v>
      </c>
      <c r="H21" s="34">
        <v>1590</v>
      </c>
      <c r="I21" s="27" t="e">
        <f>H21-#REF!</f>
        <v>#REF!</v>
      </c>
      <c r="K21" s="42"/>
      <c r="L21" s="42"/>
      <c r="M21" s="42"/>
      <c r="N21" s="44"/>
    </row>
    <row r="22" spans="1:14">
      <c r="A22" s="43" t="s">
        <v>40</v>
      </c>
      <c r="B22" s="29" t="s">
        <v>33</v>
      </c>
      <c r="C22" s="30" t="s">
        <v>35</v>
      </c>
      <c r="D22" s="30" t="s">
        <v>36</v>
      </c>
      <c r="E22" s="30" t="s">
        <v>41</v>
      </c>
      <c r="F22" s="34">
        <v>740.1</v>
      </c>
      <c r="G22" s="34">
        <v>740.1</v>
      </c>
      <c r="H22" s="34">
        <v>740.1</v>
      </c>
      <c r="I22" s="27" t="e">
        <f>H22-#REF!</f>
        <v>#REF!</v>
      </c>
      <c r="K22" s="42"/>
      <c r="L22" s="42"/>
      <c r="M22" s="42"/>
      <c r="N22" s="44"/>
    </row>
    <row r="23" spans="1:14" ht="25.5">
      <c r="A23" s="38" t="s">
        <v>42</v>
      </c>
      <c r="B23" s="29" t="s">
        <v>43</v>
      </c>
      <c r="C23" s="30"/>
      <c r="D23" s="30"/>
      <c r="E23" s="30"/>
      <c r="F23" s="34">
        <f>F27+F24+F26+F25</f>
        <v>2579.9</v>
      </c>
      <c r="G23" s="34">
        <f>G27+G24+G26+G25</f>
        <v>344.9</v>
      </c>
      <c r="H23" s="34">
        <f>H27+H24+H26+H25</f>
        <v>344.9</v>
      </c>
      <c r="I23" s="34">
        <f>I27+I24+I26+I25</f>
        <v>0</v>
      </c>
      <c r="K23" s="42"/>
      <c r="L23" s="42"/>
      <c r="M23" s="42"/>
      <c r="N23" s="44"/>
    </row>
    <row r="24" spans="1:14" ht="17.25" customHeight="1">
      <c r="A24" s="45" t="s">
        <v>44</v>
      </c>
      <c r="B24" s="29" t="s">
        <v>43</v>
      </c>
      <c r="C24" s="30" t="s">
        <v>35</v>
      </c>
      <c r="D24" s="30" t="s">
        <v>36</v>
      </c>
      <c r="E24" s="30" t="s">
        <v>45</v>
      </c>
      <c r="F24" s="34">
        <v>2135</v>
      </c>
      <c r="G24" s="34">
        <v>0</v>
      </c>
      <c r="H24" s="34">
        <v>0</v>
      </c>
      <c r="I24" s="27"/>
      <c r="J24" s="46"/>
      <c r="K24" s="42"/>
      <c r="L24" s="42"/>
      <c r="M24" s="42"/>
      <c r="N24" s="44"/>
    </row>
    <row r="25" spans="1:14" ht="25.5" hidden="1">
      <c r="A25" s="33" t="s">
        <v>28</v>
      </c>
      <c r="B25" s="29" t="s">
        <v>43</v>
      </c>
      <c r="C25" s="30" t="s">
        <v>35</v>
      </c>
      <c r="D25" s="30" t="s">
        <v>46</v>
      </c>
      <c r="E25" s="30" t="s">
        <v>29</v>
      </c>
      <c r="F25" s="34">
        <v>0</v>
      </c>
      <c r="G25" s="34">
        <v>0</v>
      </c>
      <c r="H25" s="34">
        <v>0</v>
      </c>
      <c r="I25" s="27"/>
      <c r="K25" s="42"/>
      <c r="L25" s="42"/>
      <c r="M25" s="42"/>
      <c r="N25" s="44"/>
    </row>
    <row r="26" spans="1:14" ht="25.5">
      <c r="A26" s="43" t="s">
        <v>38</v>
      </c>
      <c r="B26" s="29" t="s">
        <v>43</v>
      </c>
      <c r="C26" s="30" t="s">
        <v>35</v>
      </c>
      <c r="D26" s="30" t="s">
        <v>46</v>
      </c>
      <c r="E26" s="30" t="s">
        <v>39</v>
      </c>
      <c r="F26" s="34">
        <v>100</v>
      </c>
      <c r="G26" s="34">
        <v>0</v>
      </c>
      <c r="H26" s="34">
        <v>0</v>
      </c>
      <c r="I26" s="27"/>
      <c r="K26" s="42"/>
      <c r="L26" s="42"/>
      <c r="M26" s="42"/>
      <c r="N26" s="44"/>
    </row>
    <row r="27" spans="1:14">
      <c r="A27" s="43" t="s">
        <v>40</v>
      </c>
      <c r="B27" s="29" t="s">
        <v>43</v>
      </c>
      <c r="C27" s="30" t="s">
        <v>35</v>
      </c>
      <c r="D27" s="30" t="s">
        <v>46</v>
      </c>
      <c r="E27" s="30" t="s">
        <v>41</v>
      </c>
      <c r="F27" s="34">
        <v>344.9</v>
      </c>
      <c r="G27" s="34">
        <v>344.9</v>
      </c>
      <c r="H27" s="34">
        <v>344.9</v>
      </c>
      <c r="I27" s="27"/>
      <c r="K27" s="42"/>
      <c r="L27" s="42"/>
      <c r="M27" s="42"/>
      <c r="N27" s="44"/>
    </row>
    <row r="28" spans="1:14">
      <c r="A28" s="47" t="s">
        <v>47</v>
      </c>
      <c r="B28" s="29" t="s">
        <v>48</v>
      </c>
      <c r="C28" s="30" t="s">
        <v>35</v>
      </c>
      <c r="D28" s="30" t="s">
        <v>22</v>
      </c>
      <c r="E28" s="30"/>
      <c r="F28" s="34">
        <f>F29+F30</f>
        <v>2856.2</v>
      </c>
      <c r="G28" s="34">
        <f>G29+G30</f>
        <v>2856.2</v>
      </c>
      <c r="H28" s="34">
        <f>H29+H30</f>
        <v>2856.2</v>
      </c>
      <c r="I28" s="27" t="e">
        <f>H28-#REF!</f>
        <v>#REF!</v>
      </c>
      <c r="K28" s="36"/>
      <c r="L28" s="36"/>
      <c r="M28" s="36"/>
      <c r="N28" s="37"/>
    </row>
    <row r="29" spans="1:14" ht="25.5">
      <c r="A29" s="47" t="s">
        <v>28</v>
      </c>
      <c r="B29" s="29" t="s">
        <v>48</v>
      </c>
      <c r="C29" s="30" t="s">
        <v>35</v>
      </c>
      <c r="D29" s="30" t="s">
        <v>22</v>
      </c>
      <c r="E29" s="30" t="s">
        <v>29</v>
      </c>
      <c r="F29" s="34">
        <v>22</v>
      </c>
      <c r="G29" s="34">
        <v>22</v>
      </c>
      <c r="H29" s="34">
        <v>22</v>
      </c>
      <c r="I29" s="27" t="e">
        <f>H29-#REF!</f>
        <v>#REF!</v>
      </c>
    </row>
    <row r="30" spans="1:14" ht="16.5" customHeight="1">
      <c r="A30" s="47" t="s">
        <v>49</v>
      </c>
      <c r="B30" s="29" t="s">
        <v>48</v>
      </c>
      <c r="C30" s="30" t="s">
        <v>35</v>
      </c>
      <c r="D30" s="30" t="s">
        <v>22</v>
      </c>
      <c r="E30" s="30" t="s">
        <v>45</v>
      </c>
      <c r="F30" s="34">
        <v>2834.2</v>
      </c>
      <c r="G30" s="34">
        <v>2834.2</v>
      </c>
      <c r="H30" s="34">
        <v>2834.2</v>
      </c>
      <c r="I30" s="27" t="e">
        <f>H30-#REF!</f>
        <v>#REF!</v>
      </c>
    </row>
    <row r="31" spans="1:14" ht="25.5">
      <c r="A31" s="48" t="s">
        <v>50</v>
      </c>
      <c r="B31" s="49" t="s">
        <v>51</v>
      </c>
      <c r="C31" s="49" t="s">
        <v>22</v>
      </c>
      <c r="D31" s="30" t="s">
        <v>52</v>
      </c>
      <c r="E31" s="30"/>
      <c r="F31" s="34">
        <f>F32</f>
        <v>96.6</v>
      </c>
      <c r="G31" s="34">
        <f>G32</f>
        <v>96.6</v>
      </c>
      <c r="H31" s="34">
        <f>H32</f>
        <v>96.6</v>
      </c>
      <c r="I31" s="27" t="e">
        <f>H31-#REF!</f>
        <v>#REF!</v>
      </c>
    </row>
    <row r="32" spans="1:14" ht="17.25" customHeight="1">
      <c r="A32" s="33" t="s">
        <v>53</v>
      </c>
      <c r="B32" s="49" t="s">
        <v>51</v>
      </c>
      <c r="C32" s="49" t="s">
        <v>22</v>
      </c>
      <c r="D32" s="30" t="s">
        <v>52</v>
      </c>
      <c r="E32" s="30" t="s">
        <v>54</v>
      </c>
      <c r="F32" s="34">
        <v>96.6</v>
      </c>
      <c r="G32" s="34">
        <v>96.6</v>
      </c>
      <c r="H32" s="34">
        <v>96.6</v>
      </c>
      <c r="I32" s="27" t="e">
        <f>H32-#REF!</f>
        <v>#REF!</v>
      </c>
    </row>
    <row r="33" spans="1:9" ht="25.5" customHeight="1">
      <c r="A33" s="38" t="s">
        <v>55</v>
      </c>
      <c r="B33" s="29" t="s">
        <v>56</v>
      </c>
      <c r="C33" s="30"/>
      <c r="D33" s="30"/>
      <c r="E33" s="30"/>
      <c r="F33" s="31">
        <f>F34+F37</f>
        <v>0</v>
      </c>
      <c r="G33" s="31">
        <f>G34+G37</f>
        <v>300</v>
      </c>
      <c r="H33" s="31">
        <f>H34+H37</f>
        <v>300</v>
      </c>
      <c r="I33" s="27" t="e">
        <f>H33-#REF!</f>
        <v>#REF!</v>
      </c>
    </row>
    <row r="34" spans="1:9" ht="25.5" customHeight="1">
      <c r="A34" s="38" t="s">
        <v>57</v>
      </c>
      <c r="B34" s="29" t="s">
        <v>58</v>
      </c>
      <c r="C34" s="30" t="s">
        <v>22</v>
      </c>
      <c r="D34" s="30" t="s">
        <v>52</v>
      </c>
      <c r="E34" s="30"/>
      <c r="F34" s="31">
        <f>F36</f>
        <v>0</v>
      </c>
      <c r="G34" s="31">
        <f>G36</f>
        <v>300</v>
      </c>
      <c r="H34" s="31">
        <f>H36</f>
        <v>300</v>
      </c>
      <c r="I34" s="27" t="e">
        <f>H34-#REF!</f>
        <v>#REF!</v>
      </c>
    </row>
    <row r="35" spans="1:9" ht="25.5" customHeight="1">
      <c r="A35" s="38" t="s">
        <v>59</v>
      </c>
      <c r="B35" s="29" t="s">
        <v>60</v>
      </c>
      <c r="C35" s="30" t="s">
        <v>22</v>
      </c>
      <c r="D35" s="30" t="s">
        <v>52</v>
      </c>
      <c r="E35" s="30"/>
      <c r="F35" s="31">
        <f>F36</f>
        <v>0</v>
      </c>
      <c r="G35" s="31">
        <f>G36</f>
        <v>300</v>
      </c>
      <c r="H35" s="31">
        <f>H36</f>
        <v>300</v>
      </c>
      <c r="I35" s="27" t="e">
        <f>H35-#REF!</f>
        <v>#REF!</v>
      </c>
    </row>
    <row r="36" spans="1:9" ht="41.25" customHeight="1">
      <c r="A36" s="33" t="s">
        <v>61</v>
      </c>
      <c r="B36" s="29" t="s">
        <v>60</v>
      </c>
      <c r="C36" s="30" t="s">
        <v>22</v>
      </c>
      <c r="D36" s="30" t="s">
        <v>52</v>
      </c>
      <c r="E36" s="30" t="s">
        <v>62</v>
      </c>
      <c r="F36" s="34">
        <f>300-300</f>
        <v>0</v>
      </c>
      <c r="G36" s="31">
        <v>300</v>
      </c>
      <c r="H36" s="31">
        <v>300</v>
      </c>
      <c r="I36" s="27" t="e">
        <f>H36-#REF!</f>
        <v>#REF!</v>
      </c>
    </row>
    <row r="37" spans="1:9" ht="25.5" hidden="1">
      <c r="A37" s="38" t="s">
        <v>63</v>
      </c>
      <c r="B37" s="29" t="s">
        <v>64</v>
      </c>
      <c r="C37" s="30"/>
      <c r="D37" s="30"/>
      <c r="E37" s="30"/>
      <c r="F37" s="31">
        <f t="shared" ref="F37:H38" si="0">F38</f>
        <v>0</v>
      </c>
      <c r="G37" s="31">
        <f t="shared" si="0"/>
        <v>0</v>
      </c>
      <c r="H37" s="31">
        <f t="shared" si="0"/>
        <v>0</v>
      </c>
      <c r="I37" s="27" t="e">
        <f>H37-#REF!</f>
        <v>#REF!</v>
      </c>
    </row>
    <row r="38" spans="1:9" ht="25.5" hidden="1">
      <c r="A38" s="38" t="s">
        <v>59</v>
      </c>
      <c r="B38" s="29" t="s">
        <v>65</v>
      </c>
      <c r="C38" s="30" t="s">
        <v>22</v>
      </c>
      <c r="D38" s="30" t="s">
        <v>52</v>
      </c>
      <c r="E38" s="30"/>
      <c r="F38" s="31">
        <f t="shared" si="0"/>
        <v>0</v>
      </c>
      <c r="G38" s="31">
        <f t="shared" si="0"/>
        <v>0</v>
      </c>
      <c r="H38" s="31">
        <f t="shared" si="0"/>
        <v>0</v>
      </c>
      <c r="I38" s="27" t="e">
        <f>H38-#REF!</f>
        <v>#REF!</v>
      </c>
    </row>
    <row r="39" spans="1:9" ht="39" hidden="1" customHeight="1">
      <c r="A39" s="33" t="s">
        <v>66</v>
      </c>
      <c r="B39" s="29" t="s">
        <v>65</v>
      </c>
      <c r="C39" s="30" t="s">
        <v>22</v>
      </c>
      <c r="D39" s="30" t="s">
        <v>52</v>
      </c>
      <c r="E39" s="30" t="s">
        <v>62</v>
      </c>
      <c r="F39" s="34">
        <v>0</v>
      </c>
      <c r="G39" s="31">
        <v>0</v>
      </c>
      <c r="H39" s="31">
        <v>0</v>
      </c>
      <c r="I39" s="27" t="e">
        <f>H39-#REF!</f>
        <v>#REF!</v>
      </c>
    </row>
    <row r="40" spans="1:9">
      <c r="A40" s="50" t="s">
        <v>67</v>
      </c>
      <c r="B40" s="51" t="s">
        <v>68</v>
      </c>
      <c r="C40" s="52"/>
      <c r="D40" s="52"/>
      <c r="E40" s="52"/>
      <c r="F40" s="53">
        <f>F41+F45</f>
        <v>10</v>
      </c>
      <c r="G40" s="53">
        <f>G41+G45</f>
        <v>80</v>
      </c>
      <c r="H40" s="53">
        <f>H41+H45</f>
        <v>80</v>
      </c>
      <c r="I40" s="27" t="e">
        <f>H40-#REF!</f>
        <v>#REF!</v>
      </c>
    </row>
    <row r="41" spans="1:9">
      <c r="A41" s="33" t="s">
        <v>69</v>
      </c>
      <c r="B41" s="19" t="s">
        <v>70</v>
      </c>
      <c r="C41" s="54"/>
      <c r="D41" s="54"/>
      <c r="E41" s="54"/>
      <c r="F41" s="34">
        <f>F42</f>
        <v>10</v>
      </c>
      <c r="G41" s="34">
        <f>G42</f>
        <v>50</v>
      </c>
      <c r="H41" s="34">
        <f>H42</f>
        <v>50</v>
      </c>
      <c r="I41" s="27" t="e">
        <f>H41-#REF!</f>
        <v>#REF!</v>
      </c>
    </row>
    <row r="42" spans="1:9" ht="25.5">
      <c r="A42" s="33" t="s">
        <v>71</v>
      </c>
      <c r="B42" s="19" t="s">
        <v>72</v>
      </c>
      <c r="C42" s="54" t="s">
        <v>22</v>
      </c>
      <c r="D42" s="54" t="s">
        <v>52</v>
      </c>
      <c r="E42" s="54"/>
      <c r="F42" s="34">
        <f>F44+F43</f>
        <v>10</v>
      </c>
      <c r="G42" s="34">
        <f>G44+G43</f>
        <v>50</v>
      </c>
      <c r="H42" s="34">
        <f>H44+H43</f>
        <v>50</v>
      </c>
      <c r="I42" s="27" t="e">
        <f>H42-#REF!</f>
        <v>#REF!</v>
      </c>
    </row>
    <row r="43" spans="1:9" ht="25.5">
      <c r="A43" s="47" t="s">
        <v>28</v>
      </c>
      <c r="B43" s="19" t="s">
        <v>72</v>
      </c>
      <c r="C43" s="54" t="s">
        <v>22</v>
      </c>
      <c r="D43" s="54" t="s">
        <v>52</v>
      </c>
      <c r="E43" s="54" t="s">
        <v>29</v>
      </c>
      <c r="F43" s="34">
        <v>10</v>
      </c>
      <c r="G43" s="34">
        <v>0</v>
      </c>
      <c r="H43" s="34">
        <v>0</v>
      </c>
      <c r="I43" s="27"/>
    </row>
    <row r="44" spans="1:9">
      <c r="A44" s="43" t="s">
        <v>40</v>
      </c>
      <c r="B44" s="19" t="s">
        <v>72</v>
      </c>
      <c r="C44" s="54" t="s">
        <v>22</v>
      </c>
      <c r="D44" s="54" t="s">
        <v>52</v>
      </c>
      <c r="E44" s="54" t="s">
        <v>41</v>
      </c>
      <c r="F44" s="34">
        <v>0</v>
      </c>
      <c r="G44" s="34">
        <v>50</v>
      </c>
      <c r="H44" s="34">
        <v>50</v>
      </c>
      <c r="I44" s="27" t="e">
        <f>H44-#REF!</f>
        <v>#REF!</v>
      </c>
    </row>
    <row r="45" spans="1:9" ht="25.5">
      <c r="A45" s="33" t="s">
        <v>73</v>
      </c>
      <c r="B45" s="19" t="s">
        <v>74</v>
      </c>
      <c r="C45" s="54"/>
      <c r="D45" s="54"/>
      <c r="E45" s="54"/>
      <c r="F45" s="34">
        <f t="shared" ref="F45:H46" si="1">F46</f>
        <v>0</v>
      </c>
      <c r="G45" s="34">
        <f t="shared" si="1"/>
        <v>30</v>
      </c>
      <c r="H45" s="34">
        <f t="shared" si="1"/>
        <v>30</v>
      </c>
      <c r="I45" s="27" t="e">
        <f>H45-#REF!</f>
        <v>#REF!</v>
      </c>
    </row>
    <row r="46" spans="1:9" ht="15.75" customHeight="1">
      <c r="A46" s="55" t="s">
        <v>75</v>
      </c>
      <c r="B46" s="19" t="s">
        <v>76</v>
      </c>
      <c r="C46" s="54" t="s">
        <v>22</v>
      </c>
      <c r="D46" s="54" t="s">
        <v>52</v>
      </c>
      <c r="E46" s="54"/>
      <c r="F46" s="34">
        <f t="shared" si="1"/>
        <v>0</v>
      </c>
      <c r="G46" s="34">
        <f t="shared" si="1"/>
        <v>30</v>
      </c>
      <c r="H46" s="34">
        <f t="shared" si="1"/>
        <v>30</v>
      </c>
      <c r="I46" s="27" t="e">
        <f>H46-#REF!</f>
        <v>#REF!</v>
      </c>
    </row>
    <row r="47" spans="1:9">
      <c r="A47" s="43" t="s">
        <v>40</v>
      </c>
      <c r="B47" s="19" t="s">
        <v>76</v>
      </c>
      <c r="C47" s="54" t="s">
        <v>22</v>
      </c>
      <c r="D47" s="54" t="s">
        <v>52</v>
      </c>
      <c r="E47" s="54" t="s">
        <v>41</v>
      </c>
      <c r="F47" s="34">
        <v>0</v>
      </c>
      <c r="G47" s="34">
        <v>30</v>
      </c>
      <c r="H47" s="34">
        <v>30</v>
      </c>
      <c r="I47" s="27" t="e">
        <f>H47-#REF!</f>
        <v>#REF!</v>
      </c>
    </row>
    <row r="48" spans="1:9" ht="25.5" customHeight="1">
      <c r="A48" s="56" t="s">
        <v>77</v>
      </c>
      <c r="B48" s="51" t="s">
        <v>78</v>
      </c>
      <c r="C48" s="52"/>
      <c r="D48" s="52"/>
      <c r="E48" s="52"/>
      <c r="F48" s="57">
        <f>F49+F56</f>
        <v>648</v>
      </c>
      <c r="G48" s="57">
        <f>G49+G56</f>
        <v>395</v>
      </c>
      <c r="H48" s="57">
        <f>H49+H56</f>
        <v>395</v>
      </c>
      <c r="I48" s="27" t="e">
        <f>H48-#REF!</f>
        <v>#REF!</v>
      </c>
    </row>
    <row r="49" spans="1:10" ht="25.5">
      <c r="A49" s="43" t="s">
        <v>79</v>
      </c>
      <c r="B49" s="19" t="s">
        <v>80</v>
      </c>
      <c r="C49" s="54"/>
      <c r="D49" s="54"/>
      <c r="E49" s="54"/>
      <c r="F49" s="34">
        <f>F50+F53</f>
        <v>40</v>
      </c>
      <c r="G49" s="34">
        <f>G50+G53</f>
        <v>40</v>
      </c>
      <c r="H49" s="34">
        <f>H50+H53</f>
        <v>40</v>
      </c>
      <c r="I49" s="27" t="e">
        <f>H49-#REF!</f>
        <v>#REF!</v>
      </c>
    </row>
    <row r="50" spans="1:10">
      <c r="A50" s="43" t="s">
        <v>81</v>
      </c>
      <c r="B50" s="19" t="s">
        <v>82</v>
      </c>
      <c r="C50" s="54" t="s">
        <v>36</v>
      </c>
      <c r="D50" s="54" t="s">
        <v>83</v>
      </c>
      <c r="E50" s="54"/>
      <c r="F50" s="34">
        <f>F51+F52</f>
        <v>40</v>
      </c>
      <c r="G50" s="34">
        <f>G51+G52</f>
        <v>40</v>
      </c>
      <c r="H50" s="34">
        <f>H51+H52</f>
        <v>40</v>
      </c>
      <c r="I50" s="27" t="e">
        <f>H50-#REF!</f>
        <v>#REF!</v>
      </c>
    </row>
    <row r="51" spans="1:10" ht="25.5">
      <c r="A51" s="33" t="s">
        <v>28</v>
      </c>
      <c r="B51" s="19" t="s">
        <v>82</v>
      </c>
      <c r="C51" s="54" t="s">
        <v>36</v>
      </c>
      <c r="D51" s="54" t="s">
        <v>83</v>
      </c>
      <c r="E51" s="54" t="s">
        <v>29</v>
      </c>
      <c r="F51" s="34">
        <v>40</v>
      </c>
      <c r="G51" s="34">
        <v>10</v>
      </c>
      <c r="H51" s="34">
        <v>10</v>
      </c>
      <c r="I51" s="27" t="e">
        <f>H51-#REF!</f>
        <v>#REF!</v>
      </c>
    </row>
    <row r="52" spans="1:10">
      <c r="A52" s="43" t="s">
        <v>84</v>
      </c>
      <c r="B52" s="19" t="s">
        <v>82</v>
      </c>
      <c r="C52" s="54" t="s">
        <v>36</v>
      </c>
      <c r="D52" s="54" t="s">
        <v>83</v>
      </c>
      <c r="E52" s="54" t="s">
        <v>41</v>
      </c>
      <c r="F52" s="34">
        <v>0</v>
      </c>
      <c r="G52" s="34">
        <v>30</v>
      </c>
      <c r="H52" s="34">
        <v>30</v>
      </c>
      <c r="I52" s="27" t="e">
        <f>H52-#REF!</f>
        <v>#REF!</v>
      </c>
    </row>
    <row r="53" spans="1:10" ht="25.5" hidden="1">
      <c r="A53" s="58" t="s">
        <v>85</v>
      </c>
      <c r="B53" s="19" t="s">
        <v>86</v>
      </c>
      <c r="C53" s="54"/>
      <c r="D53" s="54"/>
      <c r="E53" s="54"/>
      <c r="F53" s="34">
        <f>F55+F54</f>
        <v>0</v>
      </c>
      <c r="G53" s="34">
        <f>G55+G54</f>
        <v>0</v>
      </c>
      <c r="H53" s="34">
        <f>H55+H54</f>
        <v>0</v>
      </c>
      <c r="I53" s="27" t="e">
        <f>H53-#REF!</f>
        <v>#REF!</v>
      </c>
    </row>
    <row r="54" spans="1:10" ht="25.5" hidden="1">
      <c r="A54" s="33" t="s">
        <v>28</v>
      </c>
      <c r="B54" s="19" t="s">
        <v>86</v>
      </c>
      <c r="C54" s="54" t="s">
        <v>87</v>
      </c>
      <c r="D54" s="54" t="s">
        <v>88</v>
      </c>
      <c r="E54" s="54" t="s">
        <v>29</v>
      </c>
      <c r="F54" s="34"/>
      <c r="G54" s="34"/>
      <c r="H54" s="34"/>
      <c r="I54" s="27" t="e">
        <f>H54-#REF!</f>
        <v>#REF!</v>
      </c>
    </row>
    <row r="55" spans="1:10" hidden="1">
      <c r="A55" s="43" t="s">
        <v>84</v>
      </c>
      <c r="B55" s="19" t="s">
        <v>86</v>
      </c>
      <c r="C55" s="54" t="s">
        <v>87</v>
      </c>
      <c r="D55" s="54" t="s">
        <v>88</v>
      </c>
      <c r="E55" s="54" t="s">
        <v>41</v>
      </c>
      <c r="F55" s="34">
        <v>0</v>
      </c>
      <c r="G55" s="34">
        <v>0</v>
      </c>
      <c r="H55" s="34">
        <v>0</v>
      </c>
      <c r="I55" s="27" t="e">
        <f>H55-#REF!</f>
        <v>#REF!</v>
      </c>
    </row>
    <row r="56" spans="1:10">
      <c r="A56" s="59" t="s">
        <v>89</v>
      </c>
      <c r="B56" s="19" t="s">
        <v>90</v>
      </c>
      <c r="C56" s="54"/>
      <c r="D56" s="54"/>
      <c r="E56" s="54"/>
      <c r="F56" s="34">
        <f t="shared" ref="F56:H57" si="2">F57</f>
        <v>608</v>
      </c>
      <c r="G56" s="34">
        <f t="shared" si="2"/>
        <v>355</v>
      </c>
      <c r="H56" s="34">
        <f t="shared" si="2"/>
        <v>355</v>
      </c>
      <c r="I56" s="27" t="e">
        <f>H56-#REF!</f>
        <v>#REF!</v>
      </c>
    </row>
    <row r="57" spans="1:10">
      <c r="A57" s="43" t="s">
        <v>81</v>
      </c>
      <c r="B57" s="19" t="s">
        <v>91</v>
      </c>
      <c r="C57" s="54" t="s">
        <v>23</v>
      </c>
      <c r="D57" s="54" t="s">
        <v>88</v>
      </c>
      <c r="E57" s="54"/>
      <c r="F57" s="34">
        <f t="shared" si="2"/>
        <v>608</v>
      </c>
      <c r="G57" s="34">
        <f t="shared" si="2"/>
        <v>355</v>
      </c>
      <c r="H57" s="34">
        <f t="shared" si="2"/>
        <v>355</v>
      </c>
      <c r="I57" s="27" t="e">
        <f>H57-#REF!</f>
        <v>#REF!</v>
      </c>
    </row>
    <row r="58" spans="1:10" ht="25.5">
      <c r="A58" s="33" t="s">
        <v>28</v>
      </c>
      <c r="B58" s="19" t="s">
        <v>91</v>
      </c>
      <c r="C58" s="54" t="s">
        <v>23</v>
      </c>
      <c r="D58" s="54" t="s">
        <v>88</v>
      </c>
      <c r="E58" s="54" t="s">
        <v>29</v>
      </c>
      <c r="F58" s="34">
        <f>150+60+300+40+50+3+5</f>
        <v>608</v>
      </c>
      <c r="G58" s="34">
        <v>355</v>
      </c>
      <c r="H58" s="34">
        <v>355</v>
      </c>
      <c r="I58" s="27" t="e">
        <f>H58-#REF!</f>
        <v>#REF!</v>
      </c>
    </row>
    <row r="59" spans="1:10" ht="25.5">
      <c r="A59" s="56" t="s">
        <v>92</v>
      </c>
      <c r="B59" s="51" t="s">
        <v>93</v>
      </c>
      <c r="C59" s="52"/>
      <c r="D59" s="52"/>
      <c r="E59" s="52"/>
      <c r="F59" s="57">
        <f>F60+F68</f>
        <v>14545.5</v>
      </c>
      <c r="G59" s="57">
        <f>G60+G68</f>
        <v>11858.2</v>
      </c>
      <c r="H59" s="57">
        <f>H60+H68</f>
        <v>11858.2</v>
      </c>
      <c r="I59" s="27" t="e">
        <f>H59-#REF!</f>
        <v>#REF!</v>
      </c>
    </row>
    <row r="60" spans="1:10" s="3" customFormat="1" ht="25.5">
      <c r="A60" s="43" t="s">
        <v>94</v>
      </c>
      <c r="B60" s="19" t="s">
        <v>95</v>
      </c>
      <c r="C60" s="60"/>
      <c r="D60" s="60"/>
      <c r="E60" s="60"/>
      <c r="F60" s="34">
        <f>F61</f>
        <v>3937.3</v>
      </c>
      <c r="G60" s="34">
        <f>G61</f>
        <v>0</v>
      </c>
      <c r="H60" s="34">
        <f>H61</f>
        <v>0</v>
      </c>
      <c r="I60" s="34" t="e">
        <f>I61</f>
        <v>#REF!</v>
      </c>
    </row>
    <row r="61" spans="1:10" ht="38.25">
      <c r="A61" s="43" t="s">
        <v>96</v>
      </c>
      <c r="B61" s="19" t="s">
        <v>97</v>
      </c>
      <c r="C61" s="54"/>
      <c r="D61" s="54"/>
      <c r="E61" s="54"/>
      <c r="F61" s="34">
        <f>F62+F64+F66</f>
        <v>3937.3</v>
      </c>
      <c r="G61" s="34">
        <f>G62+G64+G66</f>
        <v>0</v>
      </c>
      <c r="H61" s="34">
        <f>H62+H64+H66</f>
        <v>0</v>
      </c>
      <c r="I61" s="27" t="e">
        <f>H61-#REF!</f>
        <v>#REF!</v>
      </c>
    </row>
    <row r="62" spans="1:10">
      <c r="A62" s="43" t="s">
        <v>98</v>
      </c>
      <c r="B62" s="19" t="s">
        <v>99</v>
      </c>
      <c r="C62" s="54" t="s">
        <v>100</v>
      </c>
      <c r="D62" s="54" t="s">
        <v>36</v>
      </c>
      <c r="E62" s="54"/>
      <c r="F62" s="34">
        <f>F63</f>
        <v>1284.1000000000001</v>
      </c>
      <c r="G62" s="34">
        <f>G63</f>
        <v>0</v>
      </c>
      <c r="H62" s="34">
        <f>H63</f>
        <v>0</v>
      </c>
      <c r="I62" s="27" t="e">
        <f>H62-#REF!</f>
        <v>#REF!</v>
      </c>
    </row>
    <row r="63" spans="1:10" ht="25.5">
      <c r="A63" s="33" t="s">
        <v>28</v>
      </c>
      <c r="B63" s="19" t="s">
        <v>99</v>
      </c>
      <c r="C63" s="54" t="s">
        <v>100</v>
      </c>
      <c r="D63" s="54" t="s">
        <v>36</v>
      </c>
      <c r="E63" s="54" t="s">
        <v>29</v>
      </c>
      <c r="F63" s="34">
        <f>1070.7+213.4</f>
        <v>1284.1000000000001</v>
      </c>
      <c r="G63" s="34">
        <v>0</v>
      </c>
      <c r="H63" s="34">
        <v>0</v>
      </c>
      <c r="I63" s="27" t="e">
        <f>H63-#REF!</f>
        <v>#REF!</v>
      </c>
    </row>
    <row r="64" spans="1:10" ht="25.5">
      <c r="A64" s="61" t="s">
        <v>101</v>
      </c>
      <c r="B64" s="19" t="s">
        <v>102</v>
      </c>
      <c r="C64" s="54" t="s">
        <v>100</v>
      </c>
      <c r="D64" s="54" t="s">
        <v>36</v>
      </c>
      <c r="E64" s="54"/>
      <c r="F64" s="34">
        <f>F65</f>
        <v>2653.2000000000003</v>
      </c>
      <c r="G64" s="34">
        <f>G65</f>
        <v>0</v>
      </c>
      <c r="H64" s="34">
        <f>H65</f>
        <v>0</v>
      </c>
      <c r="I64" s="27" t="e">
        <f>H64-#REF!</f>
        <v>#REF!</v>
      </c>
      <c r="J64" s="62"/>
    </row>
    <row r="65" spans="1:10" ht="25.5">
      <c r="A65" s="33" t="s">
        <v>103</v>
      </c>
      <c r="B65" s="19" t="s">
        <v>102</v>
      </c>
      <c r="C65" s="54" t="s">
        <v>100</v>
      </c>
      <c r="D65" s="54" t="s">
        <v>36</v>
      </c>
      <c r="E65" s="54" t="s">
        <v>29</v>
      </c>
      <c r="F65" s="34">
        <f>2387.9+265.3</f>
        <v>2653.2000000000003</v>
      </c>
      <c r="G65" s="34">
        <v>0</v>
      </c>
      <c r="H65" s="34">
        <v>0</v>
      </c>
      <c r="I65" s="27" t="e">
        <f>H65-#REF!</f>
        <v>#REF!</v>
      </c>
    </row>
    <row r="66" spans="1:10" hidden="1">
      <c r="A66" s="43" t="s">
        <v>104</v>
      </c>
      <c r="B66" s="19" t="s">
        <v>105</v>
      </c>
      <c r="C66" s="54" t="s">
        <v>100</v>
      </c>
      <c r="D66" s="54" t="s">
        <v>36</v>
      </c>
      <c r="E66" s="54"/>
      <c r="F66" s="34">
        <f>F67</f>
        <v>0</v>
      </c>
      <c r="G66" s="34">
        <f>G67</f>
        <v>0</v>
      </c>
      <c r="H66" s="34">
        <f>H67</f>
        <v>0</v>
      </c>
      <c r="I66" s="27"/>
    </row>
    <row r="67" spans="1:10" ht="25.5" hidden="1">
      <c r="A67" s="33" t="s">
        <v>103</v>
      </c>
      <c r="B67" s="19" t="s">
        <v>105</v>
      </c>
      <c r="C67" s="54" t="s">
        <v>100</v>
      </c>
      <c r="D67" s="54" t="s">
        <v>36</v>
      </c>
      <c r="E67" s="54" t="s">
        <v>29</v>
      </c>
      <c r="F67" s="34"/>
      <c r="G67" s="34"/>
      <c r="H67" s="34"/>
      <c r="I67" s="27"/>
    </row>
    <row r="68" spans="1:10" ht="25.5">
      <c r="A68" s="43" t="s">
        <v>106</v>
      </c>
      <c r="B68" s="19" t="s">
        <v>107</v>
      </c>
      <c r="C68" s="54"/>
      <c r="D68" s="54"/>
      <c r="E68" s="54"/>
      <c r="F68" s="34">
        <f>F69+F75+F80</f>
        <v>10608.2</v>
      </c>
      <c r="G68" s="34">
        <f>G69+G75+G80</f>
        <v>11858.2</v>
      </c>
      <c r="H68" s="34">
        <f>H69+H75+H80</f>
        <v>11858.2</v>
      </c>
      <c r="I68" s="27"/>
    </row>
    <row r="69" spans="1:10">
      <c r="A69" s="33" t="s">
        <v>108</v>
      </c>
      <c r="B69" s="19" t="s">
        <v>109</v>
      </c>
      <c r="C69" s="54" t="s">
        <v>100</v>
      </c>
      <c r="D69" s="54" t="s">
        <v>36</v>
      </c>
      <c r="E69" s="54"/>
      <c r="F69" s="34">
        <f>F70+F73</f>
        <v>7951.3</v>
      </c>
      <c r="G69" s="34">
        <f>G70+G73</f>
        <v>7951.3</v>
      </c>
      <c r="H69" s="34">
        <f>H70+H73</f>
        <v>7951.3</v>
      </c>
      <c r="I69" s="27"/>
    </row>
    <row r="70" spans="1:10">
      <c r="A70" s="33" t="s">
        <v>110</v>
      </c>
      <c r="B70" s="19" t="s">
        <v>111</v>
      </c>
      <c r="C70" s="54" t="s">
        <v>100</v>
      </c>
      <c r="D70" s="54" t="s">
        <v>36</v>
      </c>
      <c r="E70" s="54"/>
      <c r="F70" s="34">
        <f>F71+F72</f>
        <v>7951.3</v>
      </c>
      <c r="G70" s="34">
        <f>G71+G72</f>
        <v>7951.3</v>
      </c>
      <c r="H70" s="34">
        <f>H71+H72</f>
        <v>7951.3</v>
      </c>
      <c r="I70" s="27"/>
    </row>
    <row r="71" spans="1:10" ht="25.5">
      <c r="A71" s="33" t="s">
        <v>28</v>
      </c>
      <c r="B71" s="19" t="s">
        <v>111</v>
      </c>
      <c r="C71" s="54" t="s">
        <v>100</v>
      </c>
      <c r="D71" s="54" t="s">
        <v>36</v>
      </c>
      <c r="E71" s="54" t="s">
        <v>29</v>
      </c>
      <c r="F71" s="34">
        <f>5729.5+1909.8+312</f>
        <v>7951.3</v>
      </c>
      <c r="G71" s="34">
        <f>5729.5+1909.8+312</f>
        <v>7951.3</v>
      </c>
      <c r="H71" s="34">
        <f>5729.5+1909.8+312</f>
        <v>7951.3</v>
      </c>
      <c r="I71" s="27"/>
    </row>
    <row r="72" spans="1:10" ht="15.75" hidden="1" customHeight="1">
      <c r="A72" s="33" t="s">
        <v>112</v>
      </c>
      <c r="B72" s="19" t="s">
        <v>111</v>
      </c>
      <c r="C72" s="54" t="s">
        <v>100</v>
      </c>
      <c r="D72" s="54" t="s">
        <v>36</v>
      </c>
      <c r="E72" s="54" t="s">
        <v>113</v>
      </c>
      <c r="F72" s="34"/>
      <c r="G72" s="34"/>
      <c r="H72" s="34"/>
      <c r="I72" s="27"/>
    </row>
    <row r="73" spans="1:10" ht="15.75" hidden="1" customHeight="1">
      <c r="A73" s="33" t="s">
        <v>114</v>
      </c>
      <c r="B73" s="19" t="s">
        <v>115</v>
      </c>
      <c r="C73" s="54" t="s">
        <v>100</v>
      </c>
      <c r="D73" s="54" t="s">
        <v>36</v>
      </c>
      <c r="E73" s="54"/>
      <c r="F73" s="34">
        <f>F74</f>
        <v>0</v>
      </c>
      <c r="G73" s="34">
        <f>G74</f>
        <v>0</v>
      </c>
      <c r="H73" s="34">
        <f>H74</f>
        <v>0</v>
      </c>
      <c r="I73" s="27"/>
    </row>
    <row r="74" spans="1:10" ht="15.75" hidden="1" customHeight="1">
      <c r="A74" s="33" t="s">
        <v>28</v>
      </c>
      <c r="B74" s="19" t="s">
        <v>115</v>
      </c>
      <c r="C74" s="54" t="s">
        <v>100</v>
      </c>
      <c r="D74" s="54" t="s">
        <v>36</v>
      </c>
      <c r="E74" s="54" t="s">
        <v>29</v>
      </c>
      <c r="F74" s="34"/>
      <c r="G74" s="34"/>
      <c r="H74" s="34"/>
      <c r="I74" s="27"/>
    </row>
    <row r="75" spans="1:10">
      <c r="A75" s="33" t="s">
        <v>116</v>
      </c>
      <c r="B75" s="19" t="s">
        <v>117</v>
      </c>
      <c r="C75" s="54" t="s">
        <v>100</v>
      </c>
      <c r="D75" s="54" t="s">
        <v>36</v>
      </c>
      <c r="E75" s="54"/>
      <c r="F75" s="34">
        <f>F76+F78</f>
        <v>2202.8000000000002</v>
      </c>
      <c r="G75" s="34">
        <f>G76+G78</f>
        <v>3302.8</v>
      </c>
      <c r="H75" s="34">
        <f>H76+H78</f>
        <v>3302.8</v>
      </c>
      <c r="I75" s="27"/>
    </row>
    <row r="76" spans="1:10">
      <c r="A76" s="33" t="s">
        <v>118</v>
      </c>
      <c r="B76" s="19" t="s">
        <v>119</v>
      </c>
      <c r="C76" s="54" t="s">
        <v>100</v>
      </c>
      <c r="D76" s="54" t="s">
        <v>36</v>
      </c>
      <c r="E76" s="54"/>
      <c r="F76" s="34">
        <f>F77</f>
        <v>2202.8000000000002</v>
      </c>
      <c r="G76" s="34">
        <f>G77</f>
        <v>3302.8</v>
      </c>
      <c r="H76" s="34">
        <f>H77</f>
        <v>3302.8</v>
      </c>
      <c r="I76" s="27"/>
    </row>
    <row r="77" spans="1:10" ht="25.5">
      <c r="A77" s="33" t="s">
        <v>28</v>
      </c>
      <c r="B77" s="19" t="s">
        <v>119</v>
      </c>
      <c r="C77" s="54" t="s">
        <v>100</v>
      </c>
      <c r="D77" s="54" t="s">
        <v>36</v>
      </c>
      <c r="E77" s="54" t="s">
        <v>29</v>
      </c>
      <c r="F77" s="34">
        <f>2432.8+100+770-1100</f>
        <v>2202.8000000000002</v>
      </c>
      <c r="G77" s="34">
        <f>2432.8+100+770</f>
        <v>3302.8</v>
      </c>
      <c r="H77" s="34">
        <f>2432.8+100+770</f>
        <v>3302.8</v>
      </c>
      <c r="I77" s="27"/>
      <c r="J77" s="62"/>
    </row>
    <row r="78" spans="1:10" hidden="1">
      <c r="A78" s="33" t="s">
        <v>114</v>
      </c>
      <c r="B78" s="19" t="s">
        <v>120</v>
      </c>
      <c r="C78" s="54" t="s">
        <v>100</v>
      </c>
      <c r="D78" s="54" t="s">
        <v>36</v>
      </c>
      <c r="E78" s="54"/>
      <c r="F78" s="34">
        <f>F79</f>
        <v>0</v>
      </c>
      <c r="G78" s="34">
        <f>G79</f>
        <v>0</v>
      </c>
      <c r="H78" s="34">
        <f>H79</f>
        <v>0</v>
      </c>
      <c r="I78" s="27"/>
    </row>
    <row r="79" spans="1:10" ht="25.5" hidden="1">
      <c r="A79" s="33" t="s">
        <v>28</v>
      </c>
      <c r="B79" s="19" t="s">
        <v>120</v>
      </c>
      <c r="C79" s="54" t="s">
        <v>100</v>
      </c>
      <c r="D79" s="54" t="s">
        <v>36</v>
      </c>
      <c r="E79" s="54" t="s">
        <v>29</v>
      </c>
      <c r="F79" s="34"/>
      <c r="G79" s="34"/>
      <c r="H79" s="34"/>
      <c r="I79" s="27"/>
    </row>
    <row r="80" spans="1:10" ht="25.5">
      <c r="A80" s="33" t="s">
        <v>121</v>
      </c>
      <c r="B80" s="19" t="s">
        <v>122</v>
      </c>
      <c r="C80" s="54" t="s">
        <v>100</v>
      </c>
      <c r="D80" s="54" t="s">
        <v>36</v>
      </c>
      <c r="E80" s="54"/>
      <c r="F80" s="34">
        <f t="shared" ref="F80:H81" si="3">F81</f>
        <v>454.09999999999991</v>
      </c>
      <c r="G80" s="34">
        <f t="shared" si="3"/>
        <v>604.1</v>
      </c>
      <c r="H80" s="34">
        <f t="shared" si="3"/>
        <v>604.1</v>
      </c>
      <c r="I80" s="27"/>
    </row>
    <row r="81" spans="1:9">
      <c r="A81" s="33" t="s">
        <v>123</v>
      </c>
      <c r="B81" s="19" t="s">
        <v>124</v>
      </c>
      <c r="C81" s="54" t="s">
        <v>100</v>
      </c>
      <c r="D81" s="54" t="s">
        <v>36</v>
      </c>
      <c r="E81" s="54"/>
      <c r="F81" s="34">
        <f t="shared" si="3"/>
        <v>454.09999999999991</v>
      </c>
      <c r="G81" s="34">
        <f t="shared" si="3"/>
        <v>604.1</v>
      </c>
      <c r="H81" s="34">
        <f t="shared" si="3"/>
        <v>604.1</v>
      </c>
      <c r="I81" s="27"/>
    </row>
    <row r="82" spans="1:9" ht="25.5">
      <c r="A82" s="33" t="s">
        <v>28</v>
      </c>
      <c r="B82" s="19" t="s">
        <v>124</v>
      </c>
      <c r="C82" s="54" t="s">
        <v>100</v>
      </c>
      <c r="D82" s="54" t="s">
        <v>36</v>
      </c>
      <c r="E82" s="54" t="s">
        <v>29</v>
      </c>
      <c r="F82" s="34">
        <f>1304.1-500-350</f>
        <v>454.09999999999991</v>
      </c>
      <c r="G82" s="34">
        <v>604.1</v>
      </c>
      <c r="H82" s="34">
        <v>604.1</v>
      </c>
      <c r="I82" s="27"/>
    </row>
    <row r="83" spans="1:9" ht="25.5">
      <c r="A83" s="50" t="s">
        <v>125</v>
      </c>
      <c r="B83" s="51" t="s">
        <v>126</v>
      </c>
      <c r="C83" s="52"/>
      <c r="D83" s="52"/>
      <c r="E83" s="52"/>
      <c r="F83" s="57">
        <f>F84+F93+F97+F106</f>
        <v>53215.100000000006</v>
      </c>
      <c r="G83" s="57">
        <f>G84+G93+G97+G106</f>
        <v>54497.100000000013</v>
      </c>
      <c r="H83" s="57">
        <f>H84+H93+H97+H106</f>
        <v>54510.200000000012</v>
      </c>
      <c r="I83" s="27" t="e">
        <f>H83-#REF!</f>
        <v>#REF!</v>
      </c>
    </row>
    <row r="84" spans="1:9" ht="25.5">
      <c r="A84" s="63" t="s">
        <v>127</v>
      </c>
      <c r="B84" s="19" t="s">
        <v>128</v>
      </c>
      <c r="C84" s="60"/>
      <c r="D84" s="60"/>
      <c r="E84" s="60"/>
      <c r="F84" s="34">
        <f>F85+F90</f>
        <v>470</v>
      </c>
      <c r="G84" s="34">
        <f>G85+G90</f>
        <v>470</v>
      </c>
      <c r="H84" s="34">
        <f>H85+H90</f>
        <v>470</v>
      </c>
      <c r="I84" s="27" t="e">
        <f>H84-#REF!</f>
        <v>#REF!</v>
      </c>
    </row>
    <row r="85" spans="1:9" ht="25.5">
      <c r="A85" s="63" t="s">
        <v>129</v>
      </c>
      <c r="B85" s="19" t="s">
        <v>130</v>
      </c>
      <c r="C85" s="60"/>
      <c r="D85" s="60"/>
      <c r="E85" s="60"/>
      <c r="F85" s="34">
        <f>F86+F88</f>
        <v>390</v>
      </c>
      <c r="G85" s="34">
        <f>G86+G88</f>
        <v>390</v>
      </c>
      <c r="H85" s="34">
        <f>H86+H88</f>
        <v>390</v>
      </c>
      <c r="I85" s="27" t="e">
        <f>H85-#REF!</f>
        <v>#REF!</v>
      </c>
    </row>
    <row r="86" spans="1:9" ht="25.5">
      <c r="A86" s="33" t="s">
        <v>131</v>
      </c>
      <c r="B86" s="19" t="s">
        <v>132</v>
      </c>
      <c r="C86" s="54" t="s">
        <v>22</v>
      </c>
      <c r="D86" s="54" t="s">
        <v>52</v>
      </c>
      <c r="E86" s="60"/>
      <c r="F86" s="34">
        <f>F87</f>
        <v>390</v>
      </c>
      <c r="G86" s="34">
        <f>G87</f>
        <v>390</v>
      </c>
      <c r="H86" s="34">
        <f>H87</f>
        <v>390</v>
      </c>
      <c r="I86" s="27" t="e">
        <f>H86-#REF!</f>
        <v>#REF!</v>
      </c>
    </row>
    <row r="87" spans="1:9" ht="16.5" customHeight="1">
      <c r="A87" s="59" t="s">
        <v>53</v>
      </c>
      <c r="B87" s="19" t="s">
        <v>132</v>
      </c>
      <c r="C87" s="54" t="s">
        <v>22</v>
      </c>
      <c r="D87" s="54" t="s">
        <v>52</v>
      </c>
      <c r="E87" s="54" t="s">
        <v>54</v>
      </c>
      <c r="F87" s="34">
        <v>390</v>
      </c>
      <c r="G87" s="34">
        <v>390</v>
      </c>
      <c r="H87" s="34">
        <v>390</v>
      </c>
      <c r="I87" s="27" t="e">
        <f>H87-#REF!</f>
        <v>#REF!</v>
      </c>
    </row>
    <row r="88" spans="1:9" hidden="1">
      <c r="A88" s="33" t="s">
        <v>133</v>
      </c>
      <c r="B88" s="19" t="s">
        <v>134</v>
      </c>
      <c r="C88" s="54" t="s">
        <v>22</v>
      </c>
      <c r="D88" s="54" t="s">
        <v>52</v>
      </c>
      <c r="E88" s="54"/>
      <c r="F88" s="34">
        <f>F89</f>
        <v>0</v>
      </c>
      <c r="G88" s="34">
        <f>G89</f>
        <v>0</v>
      </c>
      <c r="H88" s="34">
        <f>H89</f>
        <v>0</v>
      </c>
      <c r="I88" s="27" t="e">
        <f>H88-#REF!</f>
        <v>#REF!</v>
      </c>
    </row>
    <row r="89" spans="1:9" ht="25.5" hidden="1">
      <c r="A89" s="33" t="s">
        <v>103</v>
      </c>
      <c r="B89" s="19" t="s">
        <v>134</v>
      </c>
      <c r="C89" s="54" t="s">
        <v>22</v>
      </c>
      <c r="D89" s="54" t="s">
        <v>52</v>
      </c>
      <c r="E89" s="54" t="s">
        <v>29</v>
      </c>
      <c r="F89" s="34">
        <v>0</v>
      </c>
      <c r="G89" s="34">
        <v>0</v>
      </c>
      <c r="H89" s="34"/>
      <c r="I89" s="27" t="e">
        <f>H89-#REF!</f>
        <v>#REF!</v>
      </c>
    </row>
    <row r="90" spans="1:9" ht="25.5">
      <c r="A90" s="64" t="s">
        <v>135</v>
      </c>
      <c r="B90" s="19" t="s">
        <v>136</v>
      </c>
      <c r="C90" s="60"/>
      <c r="D90" s="60"/>
      <c r="E90" s="60"/>
      <c r="F90" s="34">
        <f t="shared" ref="F90:H91" si="4">F91</f>
        <v>80</v>
      </c>
      <c r="G90" s="34">
        <f t="shared" si="4"/>
        <v>80</v>
      </c>
      <c r="H90" s="34">
        <f t="shared" si="4"/>
        <v>80</v>
      </c>
      <c r="I90" s="27" t="e">
        <f>H90-#REF!</f>
        <v>#REF!</v>
      </c>
    </row>
    <row r="91" spans="1:9">
      <c r="A91" s="33" t="s">
        <v>137</v>
      </c>
      <c r="B91" s="19" t="s">
        <v>138</v>
      </c>
      <c r="C91" s="54" t="s">
        <v>22</v>
      </c>
      <c r="D91" s="54" t="s">
        <v>52</v>
      </c>
      <c r="E91" s="54"/>
      <c r="F91" s="34">
        <f t="shared" si="4"/>
        <v>80</v>
      </c>
      <c r="G91" s="34">
        <f t="shared" si="4"/>
        <v>80</v>
      </c>
      <c r="H91" s="34">
        <f t="shared" si="4"/>
        <v>80</v>
      </c>
      <c r="I91" s="27" t="e">
        <f>H91-#REF!</f>
        <v>#REF!</v>
      </c>
    </row>
    <row r="92" spans="1:9" ht="25.5">
      <c r="A92" s="33" t="s">
        <v>28</v>
      </c>
      <c r="B92" s="19" t="s">
        <v>138</v>
      </c>
      <c r="C92" s="54" t="s">
        <v>22</v>
      </c>
      <c r="D92" s="54" t="s">
        <v>52</v>
      </c>
      <c r="E92" s="54" t="s">
        <v>29</v>
      </c>
      <c r="F92" s="34">
        <v>80</v>
      </c>
      <c r="G92" s="34">
        <v>80</v>
      </c>
      <c r="H92" s="34">
        <v>80</v>
      </c>
      <c r="I92" s="27" t="e">
        <f>H92-#REF!</f>
        <v>#REF!</v>
      </c>
    </row>
    <row r="93" spans="1:9" ht="25.5">
      <c r="A93" s="63" t="s">
        <v>139</v>
      </c>
      <c r="B93" s="19" t="s">
        <v>140</v>
      </c>
      <c r="C93" s="54"/>
      <c r="D93" s="54"/>
      <c r="E93" s="54"/>
      <c r="F93" s="34">
        <f t="shared" ref="F93:H95" si="5">F94</f>
        <v>7</v>
      </c>
      <c r="G93" s="34">
        <f t="shared" si="5"/>
        <v>7</v>
      </c>
      <c r="H93" s="34">
        <f t="shared" si="5"/>
        <v>7</v>
      </c>
      <c r="I93" s="27" t="e">
        <f>H93-#REF!</f>
        <v>#REF!</v>
      </c>
    </row>
    <row r="94" spans="1:9" ht="25.5">
      <c r="A94" s="63" t="s">
        <v>141</v>
      </c>
      <c r="B94" s="19" t="s">
        <v>142</v>
      </c>
      <c r="C94" s="54" t="s">
        <v>22</v>
      </c>
      <c r="D94" s="54" t="s">
        <v>52</v>
      </c>
      <c r="E94" s="54"/>
      <c r="F94" s="34">
        <f t="shared" si="5"/>
        <v>7</v>
      </c>
      <c r="G94" s="34">
        <f t="shared" si="5"/>
        <v>7</v>
      </c>
      <c r="H94" s="34">
        <f t="shared" si="5"/>
        <v>7</v>
      </c>
      <c r="I94" s="27" t="e">
        <f>H94-#REF!</f>
        <v>#REF!</v>
      </c>
    </row>
    <row r="95" spans="1:9">
      <c r="A95" s="55" t="s">
        <v>143</v>
      </c>
      <c r="B95" s="19" t="s">
        <v>144</v>
      </c>
      <c r="C95" s="54" t="s">
        <v>22</v>
      </c>
      <c r="D95" s="54" t="s">
        <v>52</v>
      </c>
      <c r="E95" s="54"/>
      <c r="F95" s="34">
        <f t="shared" si="5"/>
        <v>7</v>
      </c>
      <c r="G95" s="34">
        <f t="shared" si="5"/>
        <v>7</v>
      </c>
      <c r="H95" s="34">
        <f t="shared" si="5"/>
        <v>7</v>
      </c>
      <c r="I95" s="27" t="e">
        <f>H95-#REF!</f>
        <v>#REF!</v>
      </c>
    </row>
    <row r="96" spans="1:9" ht="25.5">
      <c r="A96" s="33" t="s">
        <v>28</v>
      </c>
      <c r="B96" s="19" t="s">
        <v>144</v>
      </c>
      <c r="C96" s="54" t="s">
        <v>22</v>
      </c>
      <c r="D96" s="54" t="s">
        <v>52</v>
      </c>
      <c r="E96" s="54" t="s">
        <v>29</v>
      </c>
      <c r="F96" s="34">
        <v>7</v>
      </c>
      <c r="G96" s="34">
        <v>7</v>
      </c>
      <c r="H96" s="34">
        <v>7</v>
      </c>
      <c r="I96" s="27" t="e">
        <f>H96-#REF!</f>
        <v>#REF!</v>
      </c>
    </row>
    <row r="97" spans="1:10" ht="51">
      <c r="A97" s="63" t="s">
        <v>145</v>
      </c>
      <c r="B97" s="19" t="s">
        <v>146</v>
      </c>
      <c r="C97" s="54"/>
      <c r="D97" s="54"/>
      <c r="E97" s="54"/>
      <c r="F97" s="34">
        <f>F98</f>
        <v>2398.3999999999996</v>
      </c>
      <c r="G97" s="34">
        <f>G98</f>
        <v>2398.3999999999996</v>
      </c>
      <c r="H97" s="34">
        <f>H98</f>
        <v>2398.3999999999996</v>
      </c>
      <c r="I97" s="27" t="e">
        <f>H97-#REF!</f>
        <v>#REF!</v>
      </c>
    </row>
    <row r="98" spans="1:10" ht="39" customHeight="1">
      <c r="A98" s="58" t="s">
        <v>147</v>
      </c>
      <c r="B98" s="19" t="s">
        <v>148</v>
      </c>
      <c r="C98" s="54" t="s">
        <v>22</v>
      </c>
      <c r="D98" s="54" t="s">
        <v>52</v>
      </c>
      <c r="E98" s="54"/>
      <c r="F98" s="34">
        <f>F99+F103</f>
        <v>2398.3999999999996</v>
      </c>
      <c r="G98" s="34">
        <f>G99+G103</f>
        <v>2398.3999999999996</v>
      </c>
      <c r="H98" s="34">
        <f>H99+H103</f>
        <v>2398.3999999999996</v>
      </c>
      <c r="I98" s="27" t="e">
        <f>H98-#REF!</f>
        <v>#REF!</v>
      </c>
    </row>
    <row r="99" spans="1:10" ht="25.5" hidden="1">
      <c r="A99" s="65" t="s">
        <v>149</v>
      </c>
      <c r="B99" s="19" t="s">
        <v>150</v>
      </c>
      <c r="C99" s="54" t="s">
        <v>22</v>
      </c>
      <c r="D99" s="54" t="s">
        <v>52</v>
      </c>
      <c r="E99" s="54"/>
      <c r="F99" s="34">
        <f>F100+F101+F102</f>
        <v>0</v>
      </c>
      <c r="G99" s="34">
        <f>G100+G101+G102</f>
        <v>0</v>
      </c>
      <c r="H99" s="34">
        <f>H100+H101+H102</f>
        <v>0</v>
      </c>
      <c r="I99" s="27" t="e">
        <f>H99-#REF!</f>
        <v>#REF!</v>
      </c>
    </row>
    <row r="100" spans="1:10" hidden="1">
      <c r="A100" s="40" t="s">
        <v>34</v>
      </c>
      <c r="B100" s="19" t="s">
        <v>150</v>
      </c>
      <c r="C100" s="54" t="s">
        <v>22</v>
      </c>
      <c r="D100" s="54" t="s">
        <v>52</v>
      </c>
      <c r="E100" s="54" t="s">
        <v>37</v>
      </c>
      <c r="F100" s="34"/>
      <c r="G100" s="34"/>
      <c r="H100" s="34"/>
      <c r="I100" s="27" t="e">
        <f>H100-#REF!</f>
        <v>#REF!</v>
      </c>
      <c r="J100" s="66"/>
    </row>
    <row r="101" spans="1:10" ht="25.5" hidden="1">
      <c r="A101" s="33" t="s">
        <v>28</v>
      </c>
      <c r="B101" s="19" t="s">
        <v>150</v>
      </c>
      <c r="C101" s="54" t="s">
        <v>22</v>
      </c>
      <c r="D101" s="54" t="s">
        <v>52</v>
      </c>
      <c r="E101" s="54" t="s">
        <v>29</v>
      </c>
      <c r="F101" s="34"/>
      <c r="G101" s="34"/>
      <c r="H101" s="34"/>
      <c r="I101" s="27" t="e">
        <f>H101-#REF!</f>
        <v>#REF!</v>
      </c>
    </row>
    <row r="102" spans="1:10" hidden="1">
      <c r="A102" s="67" t="s">
        <v>151</v>
      </c>
      <c r="B102" s="19" t="s">
        <v>150</v>
      </c>
      <c r="C102" s="54" t="s">
        <v>22</v>
      </c>
      <c r="D102" s="54" t="s">
        <v>52</v>
      </c>
      <c r="E102" s="54" t="s">
        <v>113</v>
      </c>
      <c r="F102" s="34">
        <v>0</v>
      </c>
      <c r="G102" s="34">
        <v>0</v>
      </c>
      <c r="H102" s="34">
        <v>0</v>
      </c>
      <c r="I102" s="27" t="e">
        <f>H102-#REF!</f>
        <v>#REF!</v>
      </c>
    </row>
    <row r="103" spans="1:10" ht="63.75">
      <c r="A103" s="68" t="s">
        <v>152</v>
      </c>
      <c r="B103" s="19" t="s">
        <v>153</v>
      </c>
      <c r="C103" s="54" t="s">
        <v>22</v>
      </c>
      <c r="D103" s="54" t="s">
        <v>52</v>
      </c>
      <c r="E103" s="54"/>
      <c r="F103" s="34">
        <f>F104+F105</f>
        <v>2398.3999999999996</v>
      </c>
      <c r="G103" s="34">
        <f>G104+G105</f>
        <v>2398.3999999999996</v>
      </c>
      <c r="H103" s="34">
        <f>H104+H105</f>
        <v>2398.3999999999996</v>
      </c>
      <c r="I103" s="27" t="e">
        <f>H103-#REF!</f>
        <v>#REF!</v>
      </c>
    </row>
    <row r="104" spans="1:10">
      <c r="A104" s="40" t="s">
        <v>34</v>
      </c>
      <c r="B104" s="19" t="s">
        <v>153</v>
      </c>
      <c r="C104" s="54" t="s">
        <v>22</v>
      </c>
      <c r="D104" s="54" t="s">
        <v>52</v>
      </c>
      <c r="E104" s="54" t="s">
        <v>37</v>
      </c>
      <c r="F104" s="34">
        <f>2209.7+15.2</f>
        <v>2224.8999999999996</v>
      </c>
      <c r="G104" s="34">
        <f>2209.7+15.2</f>
        <v>2224.8999999999996</v>
      </c>
      <c r="H104" s="34">
        <f>2209.7+15.2</f>
        <v>2224.8999999999996</v>
      </c>
      <c r="I104" s="27" t="e">
        <f>H104-#REF!</f>
        <v>#REF!</v>
      </c>
      <c r="J104" s="66"/>
    </row>
    <row r="105" spans="1:10" ht="25.5">
      <c r="A105" s="33" t="s">
        <v>28</v>
      </c>
      <c r="B105" s="19" t="s">
        <v>153</v>
      </c>
      <c r="C105" s="54" t="s">
        <v>22</v>
      </c>
      <c r="D105" s="54" t="s">
        <v>52</v>
      </c>
      <c r="E105" s="54" t="s">
        <v>29</v>
      </c>
      <c r="F105" s="34">
        <v>173.5</v>
      </c>
      <c r="G105" s="34">
        <v>173.5</v>
      </c>
      <c r="H105" s="34">
        <v>173.5</v>
      </c>
      <c r="I105" s="27" t="e">
        <f>H105-#REF!</f>
        <v>#REF!</v>
      </c>
    </row>
    <row r="106" spans="1:10" ht="38.25">
      <c r="A106" s="63" t="s">
        <v>154</v>
      </c>
      <c r="B106" s="19" t="s">
        <v>155</v>
      </c>
      <c r="C106" s="54"/>
      <c r="D106" s="54"/>
      <c r="E106" s="54"/>
      <c r="F106" s="34">
        <f>F107+F126</f>
        <v>50339.700000000004</v>
      </c>
      <c r="G106" s="34">
        <f>G107+G126</f>
        <v>51621.700000000012</v>
      </c>
      <c r="H106" s="34">
        <f>H107+H126</f>
        <v>51634.80000000001</v>
      </c>
      <c r="I106" s="27" t="e">
        <f>H106-#REF!</f>
        <v>#REF!</v>
      </c>
    </row>
    <row r="107" spans="1:10">
      <c r="A107" s="63" t="s">
        <v>156</v>
      </c>
      <c r="B107" s="19" t="s">
        <v>157</v>
      </c>
      <c r="C107" s="54"/>
      <c r="D107" s="54"/>
      <c r="E107" s="54"/>
      <c r="F107" s="34">
        <f>F110+F118+F120+F122+F115+F126+F124+F108</f>
        <v>50339.700000000004</v>
      </c>
      <c r="G107" s="34">
        <f>G110+G118+G120+G122+G115+G126+G124+G108</f>
        <v>51621.700000000012</v>
      </c>
      <c r="H107" s="34">
        <f>H110+H118+H120+H122+H115+H126+H124+H108</f>
        <v>51634.80000000001</v>
      </c>
      <c r="I107" s="27" t="e">
        <f>H107-#REF!</f>
        <v>#REF!</v>
      </c>
    </row>
    <row r="108" spans="1:10">
      <c r="A108" s="69" t="s">
        <v>158</v>
      </c>
      <c r="B108" s="19" t="s">
        <v>159</v>
      </c>
      <c r="C108" s="54" t="s">
        <v>22</v>
      </c>
      <c r="D108" s="54" t="s">
        <v>160</v>
      </c>
      <c r="E108" s="54"/>
      <c r="F108" s="34">
        <f>F109</f>
        <v>2859.8</v>
      </c>
      <c r="G108" s="34">
        <f>G109</f>
        <v>2859.8</v>
      </c>
      <c r="H108" s="34">
        <f>H109</f>
        <v>2859.8</v>
      </c>
      <c r="I108" s="27"/>
    </row>
    <row r="109" spans="1:10">
      <c r="A109" s="70" t="s">
        <v>26</v>
      </c>
      <c r="B109" s="19" t="s">
        <v>159</v>
      </c>
      <c r="C109" s="54" t="s">
        <v>22</v>
      </c>
      <c r="D109" s="54" t="s">
        <v>160</v>
      </c>
      <c r="E109" s="54" t="s">
        <v>27</v>
      </c>
      <c r="F109" s="34">
        <f>2859.8</f>
        <v>2859.8</v>
      </c>
      <c r="G109" s="34">
        <f>2859.8</f>
        <v>2859.8</v>
      </c>
      <c r="H109" s="34">
        <f>2859.8</f>
        <v>2859.8</v>
      </c>
      <c r="I109" s="27"/>
    </row>
    <row r="110" spans="1:10">
      <c r="A110" s="33" t="s">
        <v>161</v>
      </c>
      <c r="B110" s="19" t="s">
        <v>162</v>
      </c>
      <c r="C110" s="54" t="s">
        <v>22</v>
      </c>
      <c r="D110" s="54" t="s">
        <v>23</v>
      </c>
      <c r="E110" s="54"/>
      <c r="F110" s="34">
        <f>F111+F112+F113+F114</f>
        <v>36270.200000000004</v>
      </c>
      <c r="G110" s="34">
        <f>G111+G112+G113+G114</f>
        <v>37551.600000000006</v>
      </c>
      <c r="H110" s="34">
        <f>H111+H112+H113+H114</f>
        <v>37564.200000000004</v>
      </c>
      <c r="I110" s="27" t="e">
        <f>H110-#REF!</f>
        <v>#REF!</v>
      </c>
    </row>
    <row r="111" spans="1:10">
      <c r="A111" s="33" t="s">
        <v>26</v>
      </c>
      <c r="B111" s="19" t="s">
        <v>162</v>
      </c>
      <c r="C111" s="54" t="s">
        <v>22</v>
      </c>
      <c r="D111" s="54" t="s">
        <v>23</v>
      </c>
      <c r="E111" s="54" t="s">
        <v>27</v>
      </c>
      <c r="F111" s="34">
        <f>22322.9+6188.2+1169.7+181-252.5-221.7-710.6-673.7-10859+975.5+3327+975.5+3337.6+14.1+10.3-500-500</f>
        <v>24784.3</v>
      </c>
      <c r="G111" s="34">
        <f>22322.9+6188.2+1169.7+181-252.6-222.3-710.6-673.7-10859+975.5+3327+975.5+3337.6</f>
        <v>25759.200000000004</v>
      </c>
      <c r="H111" s="34">
        <f>22322.9+6188.2+1169.7+181-251.5-222.8-710.6-673.7-10859+975.5+3327+975.5+3337.6</f>
        <v>25759.800000000003</v>
      </c>
      <c r="I111" s="27" t="e">
        <f>H111-#REF!</f>
        <v>#REF!</v>
      </c>
      <c r="J111" s="66"/>
    </row>
    <row r="112" spans="1:10" ht="25.5">
      <c r="A112" s="33" t="s">
        <v>28</v>
      </c>
      <c r="B112" s="19" t="s">
        <v>162</v>
      </c>
      <c r="C112" s="54" t="s">
        <v>22</v>
      </c>
      <c r="D112" s="54" t="s">
        <v>23</v>
      </c>
      <c r="E112" s="54" t="s">
        <v>29</v>
      </c>
      <c r="F112" s="34">
        <f>11018.6+2825.5+884-150-3363.1</f>
        <v>11215</v>
      </c>
      <c r="G112" s="34">
        <f>11018.6+2825.5+884-906.6-2000-300</f>
        <v>11521.5</v>
      </c>
      <c r="H112" s="34">
        <f>11018.6+2825.5+884-1894.6-1000-300</f>
        <v>11533.5</v>
      </c>
      <c r="I112" s="27" t="e">
        <f>H112-#REF!</f>
        <v>#REF!</v>
      </c>
      <c r="J112" s="39"/>
    </row>
    <row r="113" spans="1:9">
      <c r="A113" s="33" t="s">
        <v>151</v>
      </c>
      <c r="B113" s="19" t="s">
        <v>162</v>
      </c>
      <c r="C113" s="54" t="s">
        <v>22</v>
      </c>
      <c r="D113" s="54" t="s">
        <v>23</v>
      </c>
      <c r="E113" s="54" t="s">
        <v>113</v>
      </c>
      <c r="F113" s="34">
        <v>270.89999999999998</v>
      </c>
      <c r="G113" s="71">
        <v>270.89999999999998</v>
      </c>
      <c r="H113" s="71">
        <v>270.89999999999998</v>
      </c>
      <c r="I113" s="27" t="e">
        <f>H113-#REF!</f>
        <v>#REF!</v>
      </c>
    </row>
    <row r="114" spans="1:9" ht="25.5" hidden="1">
      <c r="A114" s="33" t="s">
        <v>28</v>
      </c>
      <c r="B114" s="19" t="s">
        <v>162</v>
      </c>
      <c r="C114" s="54" t="s">
        <v>22</v>
      </c>
      <c r="D114" s="54" t="s">
        <v>52</v>
      </c>
      <c r="E114" s="54" t="s">
        <v>29</v>
      </c>
      <c r="F114" s="34">
        <f>167.1-167.1</f>
        <v>0</v>
      </c>
      <c r="G114" s="71">
        <v>0</v>
      </c>
      <c r="H114" s="71">
        <v>0</v>
      </c>
      <c r="I114" s="27"/>
    </row>
    <row r="115" spans="1:9" ht="25.5">
      <c r="A115" s="47" t="s">
        <v>163</v>
      </c>
      <c r="B115" s="19" t="s">
        <v>164</v>
      </c>
      <c r="C115" s="72"/>
      <c r="D115" s="54"/>
      <c r="E115" s="54"/>
      <c r="F115" s="34">
        <f>F116+F117</f>
        <v>10859</v>
      </c>
      <c r="G115" s="34">
        <f>G116+G117</f>
        <v>10859</v>
      </c>
      <c r="H115" s="34">
        <f>H116+H117</f>
        <v>10859</v>
      </c>
      <c r="I115" s="27" t="e">
        <f>H115-#REF!</f>
        <v>#REF!</v>
      </c>
    </row>
    <row r="116" spans="1:9">
      <c r="A116" s="47" t="s">
        <v>26</v>
      </c>
      <c r="B116" s="19" t="s">
        <v>164</v>
      </c>
      <c r="C116" s="72" t="s">
        <v>22</v>
      </c>
      <c r="D116" s="54" t="s">
        <v>23</v>
      </c>
      <c r="E116" s="54" t="s">
        <v>27</v>
      </c>
      <c r="F116" s="34">
        <v>10859</v>
      </c>
      <c r="G116" s="34">
        <v>10859</v>
      </c>
      <c r="H116" s="34">
        <v>10859</v>
      </c>
      <c r="I116" s="27" t="e">
        <f>H116-#REF!</f>
        <v>#REF!</v>
      </c>
    </row>
    <row r="117" spans="1:9" ht="25.5" hidden="1" customHeight="1">
      <c r="A117" s="73" t="s">
        <v>165</v>
      </c>
      <c r="B117" s="19" t="s">
        <v>164</v>
      </c>
      <c r="C117" s="72" t="s">
        <v>22</v>
      </c>
      <c r="D117" s="54" t="s">
        <v>23</v>
      </c>
      <c r="E117" s="54" t="s">
        <v>39</v>
      </c>
      <c r="F117" s="34"/>
      <c r="G117" s="34"/>
      <c r="H117" s="34"/>
      <c r="I117" s="27"/>
    </row>
    <row r="118" spans="1:9" ht="68.25" customHeight="1">
      <c r="A118" s="33" t="s">
        <v>166</v>
      </c>
      <c r="B118" s="19" t="s">
        <v>167</v>
      </c>
      <c r="C118" s="54" t="s">
        <v>22</v>
      </c>
      <c r="D118" s="54" t="s">
        <v>23</v>
      </c>
      <c r="E118" s="54"/>
      <c r="F118" s="34">
        <f>F119</f>
        <v>221.7</v>
      </c>
      <c r="G118" s="34">
        <f>G119</f>
        <v>222.3</v>
      </c>
      <c r="H118" s="34">
        <f>H119</f>
        <v>222.8</v>
      </c>
      <c r="I118" s="27" t="e">
        <f>H118-#REF!</f>
        <v>#REF!</v>
      </c>
    </row>
    <row r="119" spans="1:9">
      <c r="A119" s="33" t="s">
        <v>26</v>
      </c>
      <c r="B119" s="19" t="s">
        <v>167</v>
      </c>
      <c r="C119" s="54" t="s">
        <v>22</v>
      </c>
      <c r="D119" s="54" t="s">
        <v>23</v>
      </c>
      <c r="E119" s="54" t="s">
        <v>27</v>
      </c>
      <c r="F119" s="34">
        <f>221.7</f>
        <v>221.7</v>
      </c>
      <c r="G119" s="34">
        <f>222.3</f>
        <v>222.3</v>
      </c>
      <c r="H119" s="34">
        <f>222.8</f>
        <v>222.8</v>
      </c>
      <c r="I119" s="27" t="e">
        <f>H119-#REF!</f>
        <v>#REF!</v>
      </c>
    </row>
    <row r="120" spans="1:9">
      <c r="A120" s="74" t="s">
        <v>168</v>
      </c>
      <c r="B120" s="49" t="s">
        <v>169</v>
      </c>
      <c r="C120" s="54" t="s">
        <v>22</v>
      </c>
      <c r="D120" s="54" t="s">
        <v>52</v>
      </c>
      <c r="E120" s="54"/>
      <c r="F120" s="34">
        <f>F121</f>
        <v>120</v>
      </c>
      <c r="G120" s="34">
        <f>G121</f>
        <v>120</v>
      </c>
      <c r="H120" s="34">
        <f>H121</f>
        <v>120</v>
      </c>
      <c r="I120" s="27" t="e">
        <f>H120-#REF!</f>
        <v>#REF!</v>
      </c>
    </row>
    <row r="121" spans="1:9">
      <c r="A121" s="33" t="s">
        <v>151</v>
      </c>
      <c r="B121" s="49" t="s">
        <v>169</v>
      </c>
      <c r="C121" s="54" t="s">
        <v>22</v>
      </c>
      <c r="D121" s="54" t="s">
        <v>52</v>
      </c>
      <c r="E121" s="54" t="s">
        <v>113</v>
      </c>
      <c r="F121" s="34">
        <v>120</v>
      </c>
      <c r="G121" s="34">
        <v>120</v>
      </c>
      <c r="H121" s="34">
        <v>120</v>
      </c>
      <c r="I121" s="27" t="e">
        <f>H121-#REF!</f>
        <v>#REF!</v>
      </c>
    </row>
    <row r="122" spans="1:9">
      <c r="A122" s="33" t="s">
        <v>170</v>
      </c>
      <c r="B122" s="19" t="s">
        <v>171</v>
      </c>
      <c r="C122" s="54" t="s">
        <v>22</v>
      </c>
      <c r="D122" s="54" t="s">
        <v>52</v>
      </c>
      <c r="E122" s="54"/>
      <c r="F122" s="34">
        <f>F123</f>
        <v>9</v>
      </c>
      <c r="G122" s="34">
        <f>G123</f>
        <v>9</v>
      </c>
      <c r="H122" s="34">
        <f>H123</f>
        <v>9</v>
      </c>
      <c r="I122" s="27" t="e">
        <f>H122-#REF!</f>
        <v>#REF!</v>
      </c>
    </row>
    <row r="123" spans="1:9">
      <c r="A123" s="33" t="s">
        <v>151</v>
      </c>
      <c r="B123" s="19" t="s">
        <v>171</v>
      </c>
      <c r="C123" s="54" t="s">
        <v>22</v>
      </c>
      <c r="D123" s="54" t="s">
        <v>52</v>
      </c>
      <c r="E123" s="54" t="s">
        <v>113</v>
      </c>
      <c r="F123" s="34">
        <v>9</v>
      </c>
      <c r="G123" s="34">
        <v>9</v>
      </c>
      <c r="H123" s="34">
        <v>9</v>
      </c>
      <c r="I123" s="27" t="e">
        <f>H123-#REF!</f>
        <v>#REF!</v>
      </c>
    </row>
    <row r="124" spans="1:9" ht="25.5">
      <c r="A124" s="75" t="s">
        <v>172</v>
      </c>
      <c r="B124" s="19" t="s">
        <v>173</v>
      </c>
      <c r="C124" s="54" t="s">
        <v>160</v>
      </c>
      <c r="D124" s="54" t="s">
        <v>36</v>
      </c>
      <c r="E124" s="54"/>
      <c r="F124" s="34">
        <f>F125</f>
        <v>0</v>
      </c>
      <c r="G124" s="34">
        <f>G125</f>
        <v>0</v>
      </c>
      <c r="H124" s="34">
        <f>H125</f>
        <v>0</v>
      </c>
      <c r="I124" s="27"/>
    </row>
    <row r="125" spans="1:9" ht="13.5" customHeight="1">
      <c r="A125" s="33" t="s">
        <v>26</v>
      </c>
      <c r="B125" s="19" t="s">
        <v>173</v>
      </c>
      <c r="C125" s="54" t="s">
        <v>160</v>
      </c>
      <c r="D125" s="54" t="s">
        <v>36</v>
      </c>
      <c r="E125" s="54" t="s">
        <v>27</v>
      </c>
      <c r="F125" s="34">
        <v>0</v>
      </c>
      <c r="G125" s="34">
        <v>0</v>
      </c>
      <c r="H125" s="34">
        <v>0</v>
      </c>
      <c r="I125" s="27"/>
    </row>
    <row r="126" spans="1:9" ht="25.5" hidden="1">
      <c r="A126" s="33" t="s">
        <v>174</v>
      </c>
      <c r="B126" s="19" t="s">
        <v>175</v>
      </c>
      <c r="C126" s="54"/>
      <c r="D126" s="54"/>
      <c r="E126" s="54"/>
      <c r="F126" s="34">
        <f>F127</f>
        <v>0</v>
      </c>
      <c r="G126" s="34">
        <f>G127</f>
        <v>0</v>
      </c>
      <c r="H126" s="34">
        <f>H127</f>
        <v>0</v>
      </c>
      <c r="I126" s="27" t="e">
        <f>H126-#REF!</f>
        <v>#REF!</v>
      </c>
    </row>
    <row r="127" spans="1:9" ht="102" hidden="1">
      <c r="A127" s="70" t="s">
        <v>176</v>
      </c>
      <c r="B127" s="19" t="s">
        <v>177</v>
      </c>
      <c r="C127" s="54"/>
      <c r="D127" s="54"/>
      <c r="E127" s="54"/>
      <c r="F127" s="34">
        <f>F128+F129+F130+F131+F132+F133</f>
        <v>0</v>
      </c>
      <c r="G127" s="34">
        <f>G128+G129+G130+G131+G132+G133</f>
        <v>0</v>
      </c>
      <c r="H127" s="34">
        <f>H128+H129+H130+H131+H132+H133</f>
        <v>0</v>
      </c>
      <c r="I127" s="27" t="e">
        <f>H127-#REF!</f>
        <v>#REF!</v>
      </c>
    </row>
    <row r="128" spans="1:9" hidden="1">
      <c r="A128" s="76" t="s">
        <v>26</v>
      </c>
      <c r="B128" s="19" t="s">
        <v>177</v>
      </c>
      <c r="C128" s="54" t="s">
        <v>22</v>
      </c>
      <c r="D128" s="54" t="s">
        <v>160</v>
      </c>
      <c r="E128" s="54" t="s">
        <v>27</v>
      </c>
      <c r="F128" s="34"/>
      <c r="G128" s="34">
        <v>0</v>
      </c>
      <c r="H128" s="34">
        <v>0</v>
      </c>
      <c r="I128" s="27" t="e">
        <f>H128-#REF!</f>
        <v>#REF!</v>
      </c>
    </row>
    <row r="129" spans="1:11" hidden="1">
      <c r="A129" s="76" t="s">
        <v>26</v>
      </c>
      <c r="B129" s="19" t="s">
        <v>177</v>
      </c>
      <c r="C129" s="54" t="s">
        <v>22</v>
      </c>
      <c r="D129" s="54" t="s">
        <v>36</v>
      </c>
      <c r="E129" s="54" t="s">
        <v>27</v>
      </c>
      <c r="F129" s="34"/>
      <c r="G129" s="34">
        <v>0</v>
      </c>
      <c r="H129" s="34">
        <v>0</v>
      </c>
      <c r="I129" s="27" t="e">
        <f>H129-#REF!</f>
        <v>#REF!</v>
      </c>
    </row>
    <row r="130" spans="1:11" hidden="1">
      <c r="A130" s="70" t="s">
        <v>26</v>
      </c>
      <c r="B130" s="19" t="s">
        <v>177</v>
      </c>
      <c r="C130" s="54" t="s">
        <v>22</v>
      </c>
      <c r="D130" s="54" t="s">
        <v>23</v>
      </c>
      <c r="E130" s="54" t="s">
        <v>27</v>
      </c>
      <c r="F130" s="34"/>
      <c r="G130" s="34">
        <v>0</v>
      </c>
      <c r="H130" s="34">
        <v>0</v>
      </c>
      <c r="I130" s="27" t="e">
        <f>H130-#REF!</f>
        <v>#REF!</v>
      </c>
    </row>
    <row r="131" spans="1:11" hidden="1">
      <c r="A131" s="76" t="s">
        <v>26</v>
      </c>
      <c r="B131" s="19" t="s">
        <v>177</v>
      </c>
      <c r="C131" s="54" t="s">
        <v>22</v>
      </c>
      <c r="D131" s="54" t="s">
        <v>46</v>
      </c>
      <c r="E131" s="54" t="s">
        <v>27</v>
      </c>
      <c r="F131" s="34"/>
      <c r="G131" s="34">
        <v>0</v>
      </c>
      <c r="H131" s="34">
        <v>0</v>
      </c>
      <c r="I131" s="27" t="e">
        <f>H131-#REF!</f>
        <v>#REF!</v>
      </c>
    </row>
    <row r="132" spans="1:11" hidden="1">
      <c r="A132" s="76" t="s">
        <v>26</v>
      </c>
      <c r="B132" s="19" t="s">
        <v>177</v>
      </c>
      <c r="C132" s="54" t="s">
        <v>23</v>
      </c>
      <c r="D132" s="54" t="s">
        <v>178</v>
      </c>
      <c r="E132" s="54" t="s">
        <v>27</v>
      </c>
      <c r="F132" s="34"/>
      <c r="G132" s="34">
        <v>0</v>
      </c>
      <c r="H132" s="34">
        <v>0</v>
      </c>
      <c r="I132" s="27" t="e">
        <f>H132-#REF!</f>
        <v>#REF!</v>
      </c>
    </row>
    <row r="133" spans="1:11" hidden="1">
      <c r="A133" s="76" t="s">
        <v>26</v>
      </c>
      <c r="B133" s="19" t="s">
        <v>177</v>
      </c>
      <c r="C133" s="54" t="s">
        <v>87</v>
      </c>
      <c r="D133" s="54" t="s">
        <v>88</v>
      </c>
      <c r="E133" s="54" t="s">
        <v>27</v>
      </c>
      <c r="F133" s="34"/>
      <c r="G133" s="34">
        <v>0</v>
      </c>
      <c r="H133" s="34">
        <v>0</v>
      </c>
      <c r="I133" s="27" t="e">
        <f>H133-#REF!</f>
        <v>#REF!</v>
      </c>
    </row>
    <row r="134" spans="1:11">
      <c r="A134" s="77" t="s">
        <v>179</v>
      </c>
      <c r="B134" s="51" t="s">
        <v>180</v>
      </c>
      <c r="C134" s="52"/>
      <c r="D134" s="52"/>
      <c r="E134" s="52"/>
      <c r="F134" s="57">
        <f>F135+F145+F155+F168+F173+F186+F189+F195</f>
        <v>216063.4</v>
      </c>
      <c r="G134" s="57">
        <f>G135+G145+G155+G168+G173+G186+G189+G195</f>
        <v>72935.899999999994</v>
      </c>
      <c r="H134" s="57">
        <f>H135+H145+H155+H168+H173+H186+H189+H195</f>
        <v>75344.299999999988</v>
      </c>
      <c r="I134" s="27" t="e">
        <f>H134-#REF!</f>
        <v>#REF!</v>
      </c>
    </row>
    <row r="135" spans="1:11" ht="25.5">
      <c r="A135" s="43" t="s">
        <v>181</v>
      </c>
      <c r="B135" s="19" t="s">
        <v>182</v>
      </c>
      <c r="C135" s="54" t="s">
        <v>183</v>
      </c>
      <c r="D135" s="54" t="s">
        <v>22</v>
      </c>
      <c r="E135" s="54"/>
      <c r="F135" s="34">
        <f>F136+F138+F143+F140</f>
        <v>5143.8</v>
      </c>
      <c r="G135" s="34">
        <f>G136+G138+G143+G140</f>
        <v>5206.7</v>
      </c>
      <c r="H135" s="34">
        <f>H136+H138+H143+H140</f>
        <v>5554</v>
      </c>
      <c r="I135" s="27" t="e">
        <f>H135-#REF!</f>
        <v>#REF!</v>
      </c>
    </row>
    <row r="136" spans="1:11">
      <c r="A136" s="43" t="s">
        <v>184</v>
      </c>
      <c r="B136" s="19" t="s">
        <v>185</v>
      </c>
      <c r="C136" s="54" t="s">
        <v>183</v>
      </c>
      <c r="D136" s="54" t="s">
        <v>22</v>
      </c>
      <c r="E136" s="54"/>
      <c r="F136" s="34">
        <f>F137</f>
        <v>5143.8</v>
      </c>
      <c r="G136" s="34">
        <f>G137</f>
        <v>5206.7</v>
      </c>
      <c r="H136" s="34">
        <f>H137</f>
        <v>5554</v>
      </c>
      <c r="I136" s="27" t="e">
        <f>H136-#REF!</f>
        <v>#REF!</v>
      </c>
    </row>
    <row r="137" spans="1:11">
      <c r="A137" s="43" t="s">
        <v>84</v>
      </c>
      <c r="B137" s="19" t="s">
        <v>185</v>
      </c>
      <c r="C137" s="54" t="s">
        <v>183</v>
      </c>
      <c r="D137" s="54" t="s">
        <v>22</v>
      </c>
      <c r="E137" s="54" t="s">
        <v>41</v>
      </c>
      <c r="F137" s="34">
        <f>4993.8-350+500</f>
        <v>5143.8</v>
      </c>
      <c r="G137" s="34">
        <v>5206.7</v>
      </c>
      <c r="H137" s="34">
        <v>5554</v>
      </c>
      <c r="I137" s="27" t="e">
        <f>H137-#REF!</f>
        <v>#REF!</v>
      </c>
    </row>
    <row r="138" spans="1:11" ht="25.5" hidden="1">
      <c r="A138" s="43" t="s">
        <v>163</v>
      </c>
      <c r="B138" s="19" t="s">
        <v>186</v>
      </c>
      <c r="C138" s="54" t="s">
        <v>183</v>
      </c>
      <c r="D138" s="54" t="s">
        <v>22</v>
      </c>
      <c r="E138" s="54"/>
      <c r="F138" s="34">
        <f>F139</f>
        <v>0</v>
      </c>
      <c r="G138" s="34">
        <f>G139</f>
        <v>0</v>
      </c>
      <c r="H138" s="34">
        <f>H139</f>
        <v>0</v>
      </c>
      <c r="I138" s="27" t="e">
        <f>H138-#REF!</f>
        <v>#REF!</v>
      </c>
    </row>
    <row r="139" spans="1:11" hidden="1">
      <c r="A139" s="43" t="s">
        <v>84</v>
      </c>
      <c r="B139" s="19" t="s">
        <v>186</v>
      </c>
      <c r="C139" s="54" t="s">
        <v>183</v>
      </c>
      <c r="D139" s="54" t="s">
        <v>22</v>
      </c>
      <c r="E139" s="54" t="s">
        <v>41</v>
      </c>
      <c r="F139" s="34"/>
      <c r="G139" s="34"/>
      <c r="H139" s="34"/>
      <c r="I139" s="27" t="e">
        <f>H139-#REF!</f>
        <v>#REF!</v>
      </c>
    </row>
    <row r="140" spans="1:11" ht="25.5" hidden="1">
      <c r="A140" s="78" t="s">
        <v>187</v>
      </c>
      <c r="B140" s="19" t="s">
        <v>188</v>
      </c>
      <c r="C140" s="54" t="s">
        <v>183</v>
      </c>
      <c r="D140" s="54" t="s">
        <v>22</v>
      </c>
      <c r="E140" s="54"/>
      <c r="F140" s="34">
        <f t="shared" ref="F140:H141" si="6">F141</f>
        <v>0</v>
      </c>
      <c r="G140" s="34">
        <f t="shared" si="6"/>
        <v>0</v>
      </c>
      <c r="H140" s="34">
        <f t="shared" si="6"/>
        <v>0</v>
      </c>
      <c r="I140" s="27" t="e">
        <f>H140-#REF!</f>
        <v>#REF!</v>
      </c>
      <c r="K140" s="79"/>
    </row>
    <row r="141" spans="1:11" ht="31.5" hidden="1" customHeight="1">
      <c r="A141" s="78" t="s">
        <v>189</v>
      </c>
      <c r="B141" s="19" t="s">
        <v>190</v>
      </c>
      <c r="C141" s="54" t="s">
        <v>183</v>
      </c>
      <c r="D141" s="54" t="s">
        <v>22</v>
      </c>
      <c r="E141" s="54"/>
      <c r="F141" s="34">
        <f t="shared" si="6"/>
        <v>0</v>
      </c>
      <c r="G141" s="34">
        <f t="shared" si="6"/>
        <v>0</v>
      </c>
      <c r="H141" s="34">
        <f t="shared" si="6"/>
        <v>0</v>
      </c>
      <c r="I141" s="27" t="e">
        <f>H141-#REF!</f>
        <v>#REF!</v>
      </c>
      <c r="K141" s="39"/>
    </row>
    <row r="142" spans="1:11" hidden="1">
      <c r="A142" s="43" t="s">
        <v>84</v>
      </c>
      <c r="B142" s="19" t="s">
        <v>190</v>
      </c>
      <c r="C142" s="54" t="s">
        <v>183</v>
      </c>
      <c r="D142" s="54" t="s">
        <v>22</v>
      </c>
      <c r="E142" s="54" t="s">
        <v>41</v>
      </c>
      <c r="F142" s="34"/>
      <c r="G142" s="34"/>
      <c r="H142" s="34"/>
      <c r="I142" s="27" t="e">
        <f>H142-#REF!</f>
        <v>#REF!</v>
      </c>
    </row>
    <row r="143" spans="1:11" ht="38.25" hidden="1">
      <c r="A143" s="43" t="s">
        <v>191</v>
      </c>
      <c r="B143" s="19" t="s">
        <v>188</v>
      </c>
      <c r="C143" s="54" t="s">
        <v>183</v>
      </c>
      <c r="D143" s="54" t="s">
        <v>22</v>
      </c>
      <c r="E143" s="54"/>
      <c r="F143" s="34">
        <f>F144</f>
        <v>0</v>
      </c>
      <c r="G143" s="34">
        <f>G144</f>
        <v>0</v>
      </c>
      <c r="H143" s="34">
        <f>H144</f>
        <v>0</v>
      </c>
      <c r="I143" s="27" t="e">
        <f>H143-#REF!</f>
        <v>#REF!</v>
      </c>
    </row>
    <row r="144" spans="1:11" hidden="1">
      <c r="A144" s="43" t="s">
        <v>84</v>
      </c>
      <c r="B144" s="19" t="s">
        <v>190</v>
      </c>
      <c r="C144" s="54" t="s">
        <v>183</v>
      </c>
      <c r="D144" s="54" t="s">
        <v>22</v>
      </c>
      <c r="E144" s="54" t="s">
        <v>41</v>
      </c>
      <c r="F144" s="34">
        <v>0</v>
      </c>
      <c r="G144" s="34">
        <v>0</v>
      </c>
      <c r="H144" s="34">
        <v>0</v>
      </c>
      <c r="I144" s="27" t="e">
        <f>H144-#REF!</f>
        <v>#REF!</v>
      </c>
    </row>
    <row r="145" spans="1:11" ht="39.75" customHeight="1">
      <c r="A145" s="80" t="s">
        <v>192</v>
      </c>
      <c r="B145" s="19" t="s">
        <v>193</v>
      </c>
      <c r="C145" s="54" t="s">
        <v>183</v>
      </c>
      <c r="D145" s="54" t="s">
        <v>22</v>
      </c>
      <c r="E145" s="54"/>
      <c r="F145" s="34">
        <f>F146+F148+F152+F150</f>
        <v>15475.199999999999</v>
      </c>
      <c r="G145" s="34">
        <f>G146+G148+G152+G150</f>
        <v>16391.2</v>
      </c>
      <c r="H145" s="34">
        <f>H146+H148+H152+H150</f>
        <v>17355.599999999999</v>
      </c>
      <c r="I145" s="27" t="e">
        <f>H145-#REF!</f>
        <v>#REF!</v>
      </c>
      <c r="K145" s="39"/>
    </row>
    <row r="146" spans="1:11">
      <c r="A146" s="43" t="s">
        <v>184</v>
      </c>
      <c r="B146" s="19" t="s">
        <v>194</v>
      </c>
      <c r="C146" s="54" t="s">
        <v>183</v>
      </c>
      <c r="D146" s="54" t="s">
        <v>22</v>
      </c>
      <c r="E146" s="54"/>
      <c r="F146" s="34">
        <f>F147</f>
        <v>8792.9</v>
      </c>
      <c r="G146" s="34">
        <f>G147</f>
        <v>11410.800000000001</v>
      </c>
      <c r="H146" s="34">
        <f>H147</f>
        <v>13380.999999999998</v>
      </c>
      <c r="I146" s="27" t="e">
        <f>H146-#REF!</f>
        <v>#REF!</v>
      </c>
    </row>
    <row r="147" spans="1:11">
      <c r="A147" s="43" t="s">
        <v>84</v>
      </c>
      <c r="B147" s="19" t="s">
        <v>194</v>
      </c>
      <c r="C147" s="54" t="s">
        <v>183</v>
      </c>
      <c r="D147" s="54" t="s">
        <v>22</v>
      </c>
      <c r="E147" s="54" t="s">
        <v>41</v>
      </c>
      <c r="F147" s="34">
        <f>5404.3+10005.5+2.5-6003.9-615.5</f>
        <v>8792.9</v>
      </c>
      <c r="G147" s="34">
        <f>5746.2+10645-4980.4</f>
        <v>11410.800000000001</v>
      </c>
      <c r="H147" s="34">
        <f>6082.2+11273.4-3974.6</f>
        <v>13380.999999999998</v>
      </c>
      <c r="I147" s="27" t="e">
        <f>H147-#REF!</f>
        <v>#REF!</v>
      </c>
    </row>
    <row r="148" spans="1:11" ht="25.5">
      <c r="A148" s="43" t="s">
        <v>163</v>
      </c>
      <c r="B148" s="19" t="s">
        <v>195</v>
      </c>
      <c r="C148" s="54" t="s">
        <v>183</v>
      </c>
      <c r="D148" s="54" t="s">
        <v>22</v>
      </c>
      <c r="E148" s="54"/>
      <c r="F148" s="34">
        <f>F149</f>
        <v>6003.9</v>
      </c>
      <c r="G148" s="34">
        <f>G149</f>
        <v>4980.3999999999996</v>
      </c>
      <c r="H148" s="34">
        <f>H149</f>
        <v>3974.6</v>
      </c>
      <c r="I148" s="27" t="e">
        <f>H148-#REF!</f>
        <v>#REF!</v>
      </c>
    </row>
    <row r="149" spans="1:11">
      <c r="A149" s="43" t="s">
        <v>84</v>
      </c>
      <c r="B149" s="19" t="s">
        <v>195</v>
      </c>
      <c r="C149" s="54" t="s">
        <v>183</v>
      </c>
      <c r="D149" s="54" t="s">
        <v>22</v>
      </c>
      <c r="E149" s="54" t="s">
        <v>41</v>
      </c>
      <c r="F149" s="34">
        <v>6003.9</v>
      </c>
      <c r="G149" s="34">
        <v>4980.3999999999996</v>
      </c>
      <c r="H149" s="34">
        <v>3974.6</v>
      </c>
      <c r="I149" s="27" t="e">
        <f>H149-#REF!</f>
        <v>#REF!</v>
      </c>
    </row>
    <row r="150" spans="1:11" ht="25.5">
      <c r="A150" s="43" t="s">
        <v>196</v>
      </c>
      <c r="B150" s="19" t="s">
        <v>197</v>
      </c>
      <c r="C150" s="54" t="s">
        <v>183</v>
      </c>
      <c r="D150" s="54" t="s">
        <v>22</v>
      </c>
      <c r="E150" s="54"/>
      <c r="F150" s="34">
        <f>F151</f>
        <v>678.4</v>
      </c>
      <c r="G150" s="34">
        <f>G151</f>
        <v>0</v>
      </c>
      <c r="H150" s="34">
        <f>H151</f>
        <v>0</v>
      </c>
      <c r="I150" s="27"/>
      <c r="J150" s="46"/>
    </row>
    <row r="151" spans="1:11">
      <c r="A151" s="43" t="s">
        <v>84</v>
      </c>
      <c r="B151" s="19" t="s">
        <v>197</v>
      </c>
      <c r="C151" s="54" t="s">
        <v>183</v>
      </c>
      <c r="D151" s="54" t="s">
        <v>22</v>
      </c>
      <c r="E151" s="54" t="s">
        <v>41</v>
      </c>
      <c r="F151" s="34">
        <f>658+20.4</f>
        <v>678.4</v>
      </c>
      <c r="G151" s="34">
        <v>0</v>
      </c>
      <c r="H151" s="34">
        <v>0</v>
      </c>
      <c r="I151" s="27"/>
    </row>
    <row r="152" spans="1:11" ht="28.5" hidden="1" customHeight="1">
      <c r="A152" s="78" t="s">
        <v>187</v>
      </c>
      <c r="B152" s="19" t="s">
        <v>198</v>
      </c>
      <c r="C152" s="54" t="s">
        <v>183</v>
      </c>
      <c r="D152" s="54" t="s">
        <v>22</v>
      </c>
      <c r="E152" s="54"/>
      <c r="F152" s="34">
        <f t="shared" ref="F152:H153" si="7">F153</f>
        <v>0</v>
      </c>
      <c r="G152" s="34">
        <f t="shared" si="7"/>
        <v>0</v>
      </c>
      <c r="H152" s="34">
        <f t="shared" si="7"/>
        <v>0</v>
      </c>
      <c r="I152" s="27" t="e">
        <f>H152-#REF!</f>
        <v>#REF!</v>
      </c>
      <c r="K152" s="79"/>
    </row>
    <row r="153" spans="1:11" ht="29.25" hidden="1" customHeight="1">
      <c r="A153" s="78" t="s">
        <v>189</v>
      </c>
      <c r="B153" s="19" t="s">
        <v>199</v>
      </c>
      <c r="C153" s="54" t="s">
        <v>183</v>
      </c>
      <c r="D153" s="54" t="s">
        <v>22</v>
      </c>
      <c r="E153" s="54"/>
      <c r="F153" s="34">
        <f t="shared" si="7"/>
        <v>0</v>
      </c>
      <c r="G153" s="34">
        <f t="shared" si="7"/>
        <v>0</v>
      </c>
      <c r="H153" s="34">
        <f t="shared" si="7"/>
        <v>0</v>
      </c>
      <c r="I153" s="27" t="e">
        <f>H153-#REF!</f>
        <v>#REF!</v>
      </c>
    </row>
    <row r="154" spans="1:11" hidden="1">
      <c r="A154" s="43" t="s">
        <v>84</v>
      </c>
      <c r="B154" s="19" t="s">
        <v>199</v>
      </c>
      <c r="C154" s="54" t="s">
        <v>183</v>
      </c>
      <c r="D154" s="54" t="s">
        <v>22</v>
      </c>
      <c r="E154" s="54" t="s">
        <v>41</v>
      </c>
      <c r="F154" s="34"/>
      <c r="G154" s="34"/>
      <c r="H154" s="34"/>
      <c r="I154" s="27" t="e">
        <f>H154-#REF!</f>
        <v>#REF!</v>
      </c>
    </row>
    <row r="155" spans="1:11">
      <c r="A155" s="64" t="s">
        <v>200</v>
      </c>
      <c r="B155" s="19" t="s">
        <v>201</v>
      </c>
      <c r="C155" s="54" t="s">
        <v>183</v>
      </c>
      <c r="D155" s="54" t="s">
        <v>22</v>
      </c>
      <c r="E155" s="54"/>
      <c r="F155" s="34">
        <f>F156+F166+F164+F160+F162</f>
        <v>19779.5</v>
      </c>
      <c r="G155" s="34">
        <f>G156+G166+G164+G160+G162</f>
        <v>19832.800000000003</v>
      </c>
      <c r="H155" s="34">
        <f>H156+H166+H164+H160+H162</f>
        <v>20929.5</v>
      </c>
      <c r="I155" s="27" t="e">
        <f>H155-#REF!</f>
        <v>#REF!</v>
      </c>
    </row>
    <row r="156" spans="1:11">
      <c r="A156" s="43" t="s">
        <v>184</v>
      </c>
      <c r="B156" s="19" t="s">
        <v>202</v>
      </c>
      <c r="C156" s="54" t="s">
        <v>183</v>
      </c>
      <c r="D156" s="54" t="s">
        <v>22</v>
      </c>
      <c r="E156" s="54"/>
      <c r="F156" s="34">
        <f>F157+F158+F159</f>
        <v>10444.299999999999</v>
      </c>
      <c r="G156" s="34">
        <f>G157+G158+G159</f>
        <v>9202.2000000000007</v>
      </c>
      <c r="H156" s="34">
        <f>H157+H158+H159</f>
        <v>7301.5999999999985</v>
      </c>
      <c r="I156" s="27" t="e">
        <f>H156-#REF!</f>
        <v>#REF!</v>
      </c>
    </row>
    <row r="157" spans="1:11">
      <c r="A157" s="33" t="s">
        <v>34</v>
      </c>
      <c r="B157" s="19" t="s">
        <v>202</v>
      </c>
      <c r="C157" s="54" t="s">
        <v>183</v>
      </c>
      <c r="D157" s="54" t="s">
        <v>22</v>
      </c>
      <c r="E157" s="54" t="s">
        <v>37</v>
      </c>
      <c r="F157" s="34">
        <f>15500.4+20-7542.5-521</f>
        <v>7456.9</v>
      </c>
      <c r="G157" s="34">
        <f>16616.4+20-10630.6</f>
        <v>6005.8000000000011</v>
      </c>
      <c r="H157" s="34">
        <f>17713.1+20-13627.9</f>
        <v>4105.1999999999989</v>
      </c>
      <c r="I157" s="27" t="e">
        <f>H157-#REF!</f>
        <v>#REF!</v>
      </c>
      <c r="J157" s="46"/>
    </row>
    <row r="158" spans="1:11" ht="25.5">
      <c r="A158" s="33" t="s">
        <v>28</v>
      </c>
      <c r="B158" s="19" t="s">
        <v>202</v>
      </c>
      <c r="C158" s="54" t="s">
        <v>183</v>
      </c>
      <c r="D158" s="54" t="s">
        <v>22</v>
      </c>
      <c r="E158" s="54" t="s">
        <v>29</v>
      </c>
      <c r="F158" s="34">
        <f>3196.4-209</f>
        <v>2987.4</v>
      </c>
      <c r="G158" s="34">
        <v>3196.4</v>
      </c>
      <c r="H158" s="34">
        <v>3196.4</v>
      </c>
      <c r="I158" s="27" t="e">
        <f>H158-#REF!</f>
        <v>#REF!</v>
      </c>
      <c r="J158" s="46"/>
    </row>
    <row r="159" spans="1:11" hidden="1">
      <c r="A159" s="33" t="s">
        <v>151</v>
      </c>
      <c r="B159" s="19" t="s">
        <v>202</v>
      </c>
      <c r="C159" s="54" t="s">
        <v>183</v>
      </c>
      <c r="D159" s="54" t="s">
        <v>22</v>
      </c>
      <c r="E159" s="54" t="s">
        <v>113</v>
      </c>
      <c r="F159" s="34"/>
      <c r="G159" s="34"/>
      <c r="H159" s="34">
        <v>0</v>
      </c>
      <c r="I159" s="27" t="e">
        <f>H159-#REF!</f>
        <v>#REF!</v>
      </c>
    </row>
    <row r="160" spans="1:11" ht="25.5">
      <c r="A160" s="43" t="s">
        <v>163</v>
      </c>
      <c r="B160" s="19" t="s">
        <v>203</v>
      </c>
      <c r="C160" s="54" t="s">
        <v>183</v>
      </c>
      <c r="D160" s="54" t="s">
        <v>22</v>
      </c>
      <c r="E160" s="54"/>
      <c r="F160" s="34">
        <f>F161</f>
        <v>7542.5</v>
      </c>
      <c r="G160" s="34">
        <f>G161</f>
        <v>10630.6</v>
      </c>
      <c r="H160" s="34">
        <f>H161</f>
        <v>13627.9</v>
      </c>
      <c r="I160" s="27" t="e">
        <f>H160-#REF!</f>
        <v>#REF!</v>
      </c>
    </row>
    <row r="161" spans="1:11">
      <c r="A161" s="33" t="s">
        <v>34</v>
      </c>
      <c r="B161" s="19" t="s">
        <v>203</v>
      </c>
      <c r="C161" s="54" t="s">
        <v>183</v>
      </c>
      <c r="D161" s="54" t="s">
        <v>22</v>
      </c>
      <c r="E161" s="54" t="s">
        <v>37</v>
      </c>
      <c r="F161" s="34">
        <v>7542.5</v>
      </c>
      <c r="G161" s="34">
        <f>10630.6</f>
        <v>10630.6</v>
      </c>
      <c r="H161" s="34">
        <f>13627.9</f>
        <v>13627.9</v>
      </c>
      <c r="I161" s="27" t="e">
        <f>H161-#REF!</f>
        <v>#REF!</v>
      </c>
    </row>
    <row r="162" spans="1:11" ht="25.5" hidden="1">
      <c r="A162" s="59" t="s">
        <v>204</v>
      </c>
      <c r="B162" s="19" t="s">
        <v>205</v>
      </c>
      <c r="C162" s="54" t="s">
        <v>183</v>
      </c>
      <c r="D162" s="54" t="s">
        <v>22</v>
      </c>
      <c r="E162" s="54"/>
      <c r="F162" s="31">
        <f>F163</f>
        <v>0</v>
      </c>
      <c r="G162" s="31">
        <f>G163</f>
        <v>0</v>
      </c>
      <c r="H162" s="31">
        <f>H163</f>
        <v>0</v>
      </c>
      <c r="I162" s="27" t="e">
        <f>H162-#REF!</f>
        <v>#REF!</v>
      </c>
    </row>
    <row r="163" spans="1:11" ht="25.5" hidden="1">
      <c r="A163" s="33" t="s">
        <v>28</v>
      </c>
      <c r="B163" s="19" t="s">
        <v>205</v>
      </c>
      <c r="C163" s="54" t="s">
        <v>183</v>
      </c>
      <c r="D163" s="54" t="s">
        <v>22</v>
      </c>
      <c r="E163" s="54" t="s">
        <v>29</v>
      </c>
      <c r="F163" s="31"/>
      <c r="G163" s="31"/>
      <c r="H163" s="31"/>
      <c r="I163" s="27" t="e">
        <f>H163-#REF!</f>
        <v>#REF!</v>
      </c>
    </row>
    <row r="164" spans="1:11" ht="28.5" customHeight="1">
      <c r="A164" s="81" t="s">
        <v>206</v>
      </c>
      <c r="B164" s="19" t="s">
        <v>207</v>
      </c>
      <c r="C164" s="54" t="s">
        <v>183</v>
      </c>
      <c r="D164" s="54" t="s">
        <v>22</v>
      </c>
      <c r="E164" s="54"/>
      <c r="F164" s="31">
        <f>F165</f>
        <v>1792.7</v>
      </c>
      <c r="G164" s="31">
        <f>G165</f>
        <v>0</v>
      </c>
      <c r="H164" s="31">
        <f>H165</f>
        <v>0</v>
      </c>
      <c r="I164" s="27" t="e">
        <f>H164-#REF!</f>
        <v>#REF!</v>
      </c>
      <c r="J164" s="62"/>
    </row>
    <row r="165" spans="1:11" ht="25.5">
      <c r="A165" s="33" t="s">
        <v>28</v>
      </c>
      <c r="B165" s="19" t="s">
        <v>207</v>
      </c>
      <c r="C165" s="54" t="s">
        <v>183</v>
      </c>
      <c r="D165" s="54" t="s">
        <v>22</v>
      </c>
      <c r="E165" s="54" t="s">
        <v>29</v>
      </c>
      <c r="F165" s="34">
        <f>1372.5+42.4+340+37.8</f>
        <v>1792.7</v>
      </c>
      <c r="G165" s="31">
        <v>0</v>
      </c>
      <c r="H165" s="31">
        <v>0</v>
      </c>
      <c r="I165" s="27" t="e">
        <f>H165-#REF!</f>
        <v>#REF!</v>
      </c>
      <c r="J165" s="46"/>
      <c r="K165" s="39"/>
    </row>
    <row r="166" spans="1:11" ht="25.5" hidden="1">
      <c r="A166" s="45" t="s">
        <v>208</v>
      </c>
      <c r="B166" s="19" t="s">
        <v>209</v>
      </c>
      <c r="C166" s="54" t="s">
        <v>183</v>
      </c>
      <c r="D166" s="54" t="s">
        <v>22</v>
      </c>
      <c r="E166" s="54"/>
      <c r="F166" s="34">
        <f>F167</f>
        <v>0</v>
      </c>
      <c r="G166" s="34">
        <f>G167</f>
        <v>0</v>
      </c>
      <c r="H166" s="34">
        <f>H167</f>
        <v>0</v>
      </c>
      <c r="I166" s="27" t="e">
        <f>H166-#REF!</f>
        <v>#REF!</v>
      </c>
    </row>
    <row r="167" spans="1:11" ht="25.5" hidden="1">
      <c r="A167" s="33" t="s">
        <v>28</v>
      </c>
      <c r="B167" s="19" t="s">
        <v>209</v>
      </c>
      <c r="C167" s="54" t="s">
        <v>183</v>
      </c>
      <c r="D167" s="54" t="s">
        <v>22</v>
      </c>
      <c r="E167" s="54" t="s">
        <v>29</v>
      </c>
      <c r="F167" s="34"/>
      <c r="G167" s="34"/>
      <c r="H167" s="34"/>
      <c r="I167" s="27" t="e">
        <f>H167-#REF!</f>
        <v>#REF!</v>
      </c>
    </row>
    <row r="168" spans="1:11" ht="25.5">
      <c r="A168" s="33" t="s">
        <v>210</v>
      </c>
      <c r="B168" s="19" t="s">
        <v>211</v>
      </c>
      <c r="C168" s="54" t="s">
        <v>87</v>
      </c>
      <c r="D168" s="54" t="s">
        <v>36</v>
      </c>
      <c r="E168" s="54"/>
      <c r="F168" s="34">
        <f>F169+F171</f>
        <v>5487.2</v>
      </c>
      <c r="G168" s="34">
        <f>G169+G171</f>
        <v>6037.6</v>
      </c>
      <c r="H168" s="34">
        <f>H169+H171</f>
        <v>6037.6</v>
      </c>
      <c r="I168" s="27" t="e">
        <f>H168-#REF!</f>
        <v>#REF!</v>
      </c>
    </row>
    <row r="169" spans="1:11">
      <c r="A169" s="33" t="s">
        <v>212</v>
      </c>
      <c r="B169" s="19" t="s">
        <v>213</v>
      </c>
      <c r="C169" s="54" t="s">
        <v>87</v>
      </c>
      <c r="D169" s="54" t="s">
        <v>36</v>
      </c>
      <c r="E169" s="54"/>
      <c r="F169" s="34">
        <f>F170</f>
        <v>3120.6</v>
      </c>
      <c r="G169" s="34">
        <f>G170</f>
        <v>3667.3</v>
      </c>
      <c r="H169" s="34">
        <f>H170</f>
        <v>3667.3</v>
      </c>
      <c r="I169" s="27" t="e">
        <f>H169-#REF!</f>
        <v>#REF!</v>
      </c>
    </row>
    <row r="170" spans="1:11">
      <c r="A170" s="43" t="s">
        <v>40</v>
      </c>
      <c r="B170" s="19" t="s">
        <v>213</v>
      </c>
      <c r="C170" s="54" t="s">
        <v>87</v>
      </c>
      <c r="D170" s="54" t="s">
        <v>36</v>
      </c>
      <c r="E170" s="54" t="s">
        <v>41</v>
      </c>
      <c r="F170" s="34">
        <f>5687.2-200-2366.6</f>
        <v>3120.6</v>
      </c>
      <c r="G170" s="34">
        <f>6037.6-2370.3</f>
        <v>3667.3</v>
      </c>
      <c r="H170" s="34">
        <f>6037.6-2370.3</f>
        <v>3667.3</v>
      </c>
      <c r="I170" s="27" t="e">
        <f>H170-#REF!</f>
        <v>#REF!</v>
      </c>
    </row>
    <row r="171" spans="1:11" ht="25.5">
      <c r="A171" s="43" t="s">
        <v>163</v>
      </c>
      <c r="B171" s="19" t="s">
        <v>214</v>
      </c>
      <c r="C171" s="54" t="s">
        <v>87</v>
      </c>
      <c r="D171" s="54" t="s">
        <v>36</v>
      </c>
      <c r="E171" s="54"/>
      <c r="F171" s="34">
        <f>F172</f>
        <v>2366.6</v>
      </c>
      <c r="G171" s="34">
        <f>G172</f>
        <v>2370.3000000000002</v>
      </c>
      <c r="H171" s="34">
        <f>H172</f>
        <v>2370.3000000000002</v>
      </c>
      <c r="I171" s="27" t="e">
        <f>H171-#REF!</f>
        <v>#REF!</v>
      </c>
    </row>
    <row r="172" spans="1:11">
      <c r="A172" s="43" t="s">
        <v>84</v>
      </c>
      <c r="B172" s="19" t="s">
        <v>214</v>
      </c>
      <c r="C172" s="54" t="s">
        <v>87</v>
      </c>
      <c r="D172" s="54" t="s">
        <v>36</v>
      </c>
      <c r="E172" s="54" t="s">
        <v>41</v>
      </c>
      <c r="F172" s="34">
        <v>2366.6</v>
      </c>
      <c r="G172" s="34">
        <v>2370.3000000000002</v>
      </c>
      <c r="H172" s="34">
        <v>2370.3000000000002</v>
      </c>
      <c r="I172" s="27" t="e">
        <f>H172-#REF!</f>
        <v>#REF!</v>
      </c>
    </row>
    <row r="173" spans="1:11" ht="25.5">
      <c r="A173" s="43" t="s">
        <v>215</v>
      </c>
      <c r="B173" s="19" t="s">
        <v>216</v>
      </c>
      <c r="C173" s="54" t="s">
        <v>183</v>
      </c>
      <c r="D173" s="54" t="s">
        <v>22</v>
      </c>
      <c r="E173" s="54"/>
      <c r="F173" s="34">
        <f>F174+F178+F180+F182+F184</f>
        <v>27146.399999999998</v>
      </c>
      <c r="G173" s="34">
        <f>G174+G178+G180+G182+G184</f>
        <v>25267.599999999999</v>
      </c>
      <c r="H173" s="34">
        <f>H174+H178+H180+H182+H184</f>
        <v>25267.599999999999</v>
      </c>
      <c r="I173" s="27" t="e">
        <f>H173-#REF!</f>
        <v>#REF!</v>
      </c>
    </row>
    <row r="174" spans="1:11">
      <c r="A174" s="43" t="s">
        <v>217</v>
      </c>
      <c r="B174" s="19" t="s">
        <v>218</v>
      </c>
      <c r="C174" s="54"/>
      <c r="D174" s="54"/>
      <c r="E174" s="54"/>
      <c r="F174" s="34">
        <f>F177+F176+F175</f>
        <v>777</v>
      </c>
      <c r="G174" s="34">
        <f>G177+G176+G175</f>
        <v>627</v>
      </c>
      <c r="H174" s="34">
        <f>H177+H176+H175</f>
        <v>627</v>
      </c>
      <c r="I174" s="34" t="e">
        <f>I177+I176+I175</f>
        <v>#REF!</v>
      </c>
      <c r="K174" s="39"/>
    </row>
    <row r="175" spans="1:11" ht="25.5">
      <c r="A175" s="33" t="s">
        <v>28</v>
      </c>
      <c r="B175" s="19" t="s">
        <v>218</v>
      </c>
      <c r="C175" s="54" t="s">
        <v>22</v>
      </c>
      <c r="D175" s="54" t="s">
        <v>52</v>
      </c>
      <c r="E175" s="54" t="s">
        <v>29</v>
      </c>
      <c r="F175" s="34">
        <v>150</v>
      </c>
      <c r="G175" s="34">
        <v>0</v>
      </c>
      <c r="H175" s="34">
        <v>0</v>
      </c>
      <c r="I175" s="27"/>
      <c r="K175" s="39"/>
    </row>
    <row r="176" spans="1:11" ht="25.5">
      <c r="A176" s="33" t="s">
        <v>28</v>
      </c>
      <c r="B176" s="19" t="s">
        <v>218</v>
      </c>
      <c r="C176" s="54" t="s">
        <v>183</v>
      </c>
      <c r="D176" s="54" t="s">
        <v>22</v>
      </c>
      <c r="E176" s="54" t="s">
        <v>29</v>
      </c>
      <c r="F176" s="34">
        <f>5+315</f>
        <v>320</v>
      </c>
      <c r="G176" s="34">
        <f>5+315</f>
        <v>320</v>
      </c>
      <c r="H176" s="34">
        <f>5+315</f>
        <v>320</v>
      </c>
      <c r="I176" s="27" t="e">
        <f>H176-#REF!</f>
        <v>#REF!</v>
      </c>
    </row>
    <row r="177" spans="1:10">
      <c r="A177" s="43" t="s">
        <v>84</v>
      </c>
      <c r="B177" s="19" t="s">
        <v>218</v>
      </c>
      <c r="C177" s="54" t="s">
        <v>183</v>
      </c>
      <c r="D177" s="54" t="s">
        <v>22</v>
      </c>
      <c r="E177" s="54" t="s">
        <v>41</v>
      </c>
      <c r="F177" s="34">
        <v>307</v>
      </c>
      <c r="G177" s="34">
        <v>307</v>
      </c>
      <c r="H177" s="34">
        <v>307</v>
      </c>
      <c r="I177" s="27" t="e">
        <f>H177-#REF!</f>
        <v>#REF!</v>
      </c>
    </row>
    <row r="178" spans="1:10">
      <c r="A178" s="43" t="s">
        <v>184</v>
      </c>
      <c r="B178" s="19" t="s">
        <v>219</v>
      </c>
      <c r="C178" s="54" t="s">
        <v>183</v>
      </c>
      <c r="D178" s="54" t="s">
        <v>22</v>
      </c>
      <c r="E178" s="54"/>
      <c r="F178" s="34">
        <f>F179</f>
        <v>9503.8999999999978</v>
      </c>
      <c r="G178" s="34">
        <f>G179</f>
        <v>9046.4999999999982</v>
      </c>
      <c r="H178" s="34">
        <f>H179</f>
        <v>8017.2999999999993</v>
      </c>
      <c r="I178" s="27" t="e">
        <f>H178-#REF!</f>
        <v>#REF!</v>
      </c>
    </row>
    <row r="179" spans="1:10">
      <c r="A179" s="43" t="s">
        <v>84</v>
      </c>
      <c r="B179" s="19" t="s">
        <v>219</v>
      </c>
      <c r="C179" s="54" t="s">
        <v>183</v>
      </c>
      <c r="D179" s="54" t="s">
        <v>22</v>
      </c>
      <c r="E179" s="54" t="s">
        <v>41</v>
      </c>
      <c r="F179" s="34">
        <f>24640.6-14546.7+120+80+100-100-120-670</f>
        <v>9503.8999999999978</v>
      </c>
      <c r="G179" s="34">
        <f>24640.6-15594.1</f>
        <v>9046.4999999999982</v>
      </c>
      <c r="H179" s="34">
        <f>24640.6-16623.3</f>
        <v>8017.2999999999993</v>
      </c>
      <c r="I179" s="27" t="e">
        <f>H179-#REF!</f>
        <v>#REF!</v>
      </c>
    </row>
    <row r="180" spans="1:10" ht="25.5">
      <c r="A180" s="43" t="s">
        <v>163</v>
      </c>
      <c r="B180" s="19" t="s">
        <v>220</v>
      </c>
      <c r="C180" s="54" t="s">
        <v>183</v>
      </c>
      <c r="D180" s="54" t="s">
        <v>22</v>
      </c>
      <c r="E180" s="54"/>
      <c r="F180" s="34">
        <f>F181</f>
        <v>14546.7</v>
      </c>
      <c r="G180" s="34">
        <f>G181</f>
        <v>15594.1</v>
      </c>
      <c r="H180" s="34">
        <f>H181</f>
        <v>16623.3</v>
      </c>
      <c r="I180" s="27" t="e">
        <f>H180-#REF!</f>
        <v>#REF!</v>
      </c>
    </row>
    <row r="181" spans="1:10">
      <c r="A181" s="43" t="s">
        <v>84</v>
      </c>
      <c r="B181" s="19" t="s">
        <v>220</v>
      </c>
      <c r="C181" s="54" t="s">
        <v>183</v>
      </c>
      <c r="D181" s="54" t="s">
        <v>22</v>
      </c>
      <c r="E181" s="54" t="s">
        <v>41</v>
      </c>
      <c r="F181" s="82">
        <v>14546.7</v>
      </c>
      <c r="G181" s="82">
        <v>15594.1</v>
      </c>
      <c r="H181" s="82">
        <v>16623.3</v>
      </c>
      <c r="I181" s="27" t="e">
        <f>H181-#REF!</f>
        <v>#REF!</v>
      </c>
    </row>
    <row r="182" spans="1:10" ht="27.75" customHeight="1">
      <c r="A182" s="81" t="s">
        <v>206</v>
      </c>
      <c r="B182" s="19" t="s">
        <v>221</v>
      </c>
      <c r="C182" s="54" t="s">
        <v>183</v>
      </c>
      <c r="D182" s="54" t="s">
        <v>22</v>
      </c>
      <c r="E182" s="54"/>
      <c r="F182" s="34">
        <f>F183</f>
        <v>2318.7999999999997</v>
      </c>
      <c r="G182" s="34">
        <f>G183</f>
        <v>0</v>
      </c>
      <c r="H182" s="34">
        <f>H183</f>
        <v>0</v>
      </c>
      <c r="I182" s="27"/>
      <c r="J182" s="46"/>
    </row>
    <row r="183" spans="1:10">
      <c r="A183" s="43" t="s">
        <v>84</v>
      </c>
      <c r="B183" s="19" t="s">
        <v>221</v>
      </c>
      <c r="C183" s="54" t="s">
        <v>183</v>
      </c>
      <c r="D183" s="54" t="s">
        <v>22</v>
      </c>
      <c r="E183" s="54" t="s">
        <v>41</v>
      </c>
      <c r="F183" s="34">
        <f>2249.2+69.6</f>
        <v>2318.7999999999997</v>
      </c>
      <c r="G183" s="34">
        <v>0</v>
      </c>
      <c r="H183" s="34">
        <v>0</v>
      </c>
      <c r="I183" s="27"/>
    </row>
    <row r="184" spans="1:10" hidden="1">
      <c r="A184" s="33" t="s">
        <v>114</v>
      </c>
      <c r="B184" s="19" t="s">
        <v>222</v>
      </c>
      <c r="C184" s="54" t="s">
        <v>183</v>
      </c>
      <c r="D184" s="54" t="s">
        <v>22</v>
      </c>
      <c r="E184" s="54"/>
      <c r="F184" s="34">
        <f>F185</f>
        <v>0</v>
      </c>
      <c r="G184" s="34">
        <f>G185</f>
        <v>0</v>
      </c>
      <c r="H184" s="34">
        <f>H185</f>
        <v>0</v>
      </c>
      <c r="I184" s="27"/>
    </row>
    <row r="185" spans="1:10" ht="25.5" hidden="1">
      <c r="A185" s="33" t="s">
        <v>28</v>
      </c>
      <c r="B185" s="19" t="s">
        <v>222</v>
      </c>
      <c r="C185" s="54" t="s">
        <v>183</v>
      </c>
      <c r="D185" s="54" t="s">
        <v>22</v>
      </c>
      <c r="E185" s="54" t="s">
        <v>29</v>
      </c>
      <c r="F185" s="34"/>
      <c r="G185" s="34"/>
      <c r="H185" s="34"/>
      <c r="I185" s="27"/>
    </row>
    <row r="186" spans="1:10" ht="25.5">
      <c r="A186" s="40" t="s">
        <v>223</v>
      </c>
      <c r="B186" s="19" t="s">
        <v>224</v>
      </c>
      <c r="C186" s="54" t="s">
        <v>22</v>
      </c>
      <c r="D186" s="54" t="s">
        <v>52</v>
      </c>
      <c r="E186" s="54"/>
      <c r="F186" s="34">
        <f t="shared" ref="F186:H187" si="8">F187</f>
        <v>1130.3</v>
      </c>
      <c r="G186" s="34">
        <f t="shared" si="8"/>
        <v>200</v>
      </c>
      <c r="H186" s="34">
        <f t="shared" si="8"/>
        <v>200</v>
      </c>
      <c r="I186" s="27" t="e">
        <f>H186-#REF!</f>
        <v>#REF!</v>
      </c>
    </row>
    <row r="187" spans="1:10">
      <c r="A187" s="80" t="s">
        <v>184</v>
      </c>
      <c r="B187" s="19" t="s">
        <v>225</v>
      </c>
      <c r="C187" s="54" t="s">
        <v>22</v>
      </c>
      <c r="D187" s="54" t="s">
        <v>52</v>
      </c>
      <c r="E187" s="54"/>
      <c r="F187" s="34">
        <f t="shared" si="8"/>
        <v>1130.3</v>
      </c>
      <c r="G187" s="34">
        <f t="shared" si="8"/>
        <v>200</v>
      </c>
      <c r="H187" s="34">
        <f t="shared" si="8"/>
        <v>200</v>
      </c>
      <c r="I187" s="27" t="e">
        <f>H187-#REF!</f>
        <v>#REF!</v>
      </c>
    </row>
    <row r="188" spans="1:10">
      <c r="A188" s="43" t="s">
        <v>84</v>
      </c>
      <c r="B188" s="19" t="s">
        <v>225</v>
      </c>
      <c r="C188" s="54" t="s">
        <v>22</v>
      </c>
      <c r="D188" s="54" t="s">
        <v>52</v>
      </c>
      <c r="E188" s="54" t="s">
        <v>41</v>
      </c>
      <c r="F188" s="34">
        <v>1130.3</v>
      </c>
      <c r="G188" s="34">
        <v>200</v>
      </c>
      <c r="H188" s="34">
        <v>200</v>
      </c>
      <c r="I188" s="27" t="e">
        <f>H188-#REF!</f>
        <v>#REF!</v>
      </c>
    </row>
    <row r="189" spans="1:10" ht="25.5" hidden="1">
      <c r="A189" s="43" t="s">
        <v>226</v>
      </c>
      <c r="B189" s="19" t="s">
        <v>227</v>
      </c>
      <c r="C189" s="54"/>
      <c r="D189" s="54"/>
      <c r="E189" s="54"/>
      <c r="F189" s="34">
        <f>F190+F192</f>
        <v>0</v>
      </c>
      <c r="G189" s="34">
        <f>G190+G192</f>
        <v>0</v>
      </c>
      <c r="H189" s="34">
        <f>H190+H192</f>
        <v>0</v>
      </c>
      <c r="I189" s="27" t="e">
        <f>H189-#REF!</f>
        <v>#REF!</v>
      </c>
    </row>
    <row r="190" spans="1:10" ht="51" hidden="1">
      <c r="A190" s="43" t="s">
        <v>228</v>
      </c>
      <c r="B190" s="19" t="s">
        <v>229</v>
      </c>
      <c r="C190" s="54" t="s">
        <v>183</v>
      </c>
      <c r="D190" s="54" t="s">
        <v>22</v>
      </c>
      <c r="E190" s="54"/>
      <c r="F190" s="34">
        <f>F191</f>
        <v>0</v>
      </c>
      <c r="G190" s="34">
        <f>G191</f>
        <v>0</v>
      </c>
      <c r="H190" s="34">
        <f>H191</f>
        <v>0</v>
      </c>
      <c r="I190" s="27" t="e">
        <f>H190-#REF!</f>
        <v>#REF!</v>
      </c>
    </row>
    <row r="191" spans="1:10" hidden="1">
      <c r="A191" s="43" t="s">
        <v>84</v>
      </c>
      <c r="B191" s="19" t="s">
        <v>229</v>
      </c>
      <c r="C191" s="54" t="s">
        <v>183</v>
      </c>
      <c r="D191" s="54" t="s">
        <v>22</v>
      </c>
      <c r="E191" s="54" t="s">
        <v>41</v>
      </c>
      <c r="F191" s="34"/>
      <c r="G191" s="34"/>
      <c r="H191" s="34"/>
      <c r="I191" s="27" t="e">
        <f>H191-#REF!</f>
        <v>#REF!</v>
      </c>
    </row>
    <row r="192" spans="1:10" hidden="1">
      <c r="A192" s="43" t="s">
        <v>230</v>
      </c>
      <c r="B192" s="19" t="s">
        <v>231</v>
      </c>
      <c r="C192" s="54" t="s">
        <v>183</v>
      </c>
      <c r="D192" s="54" t="s">
        <v>22</v>
      </c>
      <c r="E192" s="54"/>
      <c r="F192" s="34">
        <f t="shared" ref="F192:H193" si="9">F193</f>
        <v>0</v>
      </c>
      <c r="G192" s="34">
        <f t="shared" si="9"/>
        <v>0</v>
      </c>
      <c r="H192" s="34">
        <f t="shared" si="9"/>
        <v>0</v>
      </c>
      <c r="I192" s="27" t="e">
        <f>H192-#REF!</f>
        <v>#REF!</v>
      </c>
    </row>
    <row r="193" spans="1:9" hidden="1">
      <c r="A193" s="43" t="s">
        <v>232</v>
      </c>
      <c r="B193" s="19" t="s">
        <v>233</v>
      </c>
      <c r="C193" s="54" t="s">
        <v>183</v>
      </c>
      <c r="D193" s="54" t="s">
        <v>22</v>
      </c>
      <c r="E193" s="54"/>
      <c r="F193" s="34">
        <f t="shared" si="9"/>
        <v>0</v>
      </c>
      <c r="G193" s="34">
        <f t="shared" si="9"/>
        <v>0</v>
      </c>
      <c r="H193" s="34">
        <f t="shared" si="9"/>
        <v>0</v>
      </c>
      <c r="I193" s="27" t="e">
        <f>H193-#REF!</f>
        <v>#REF!</v>
      </c>
    </row>
    <row r="194" spans="1:9" hidden="1">
      <c r="A194" s="43" t="s">
        <v>84</v>
      </c>
      <c r="B194" s="19" t="s">
        <v>233</v>
      </c>
      <c r="C194" s="54" t="s">
        <v>183</v>
      </c>
      <c r="D194" s="54" t="s">
        <v>22</v>
      </c>
      <c r="E194" s="54" t="s">
        <v>41</v>
      </c>
      <c r="F194" s="34"/>
      <c r="G194" s="34">
        <v>0</v>
      </c>
      <c r="H194" s="34">
        <v>0</v>
      </c>
      <c r="I194" s="27" t="e">
        <f>H194-#REF!</f>
        <v>#REF!</v>
      </c>
    </row>
    <row r="195" spans="1:9">
      <c r="A195" s="43" t="s">
        <v>234</v>
      </c>
      <c r="B195" s="19" t="s">
        <v>235</v>
      </c>
      <c r="C195" s="54"/>
      <c r="D195" s="54"/>
      <c r="E195" s="54"/>
      <c r="F195" s="34">
        <f>F199+F196</f>
        <v>141901</v>
      </c>
      <c r="G195" s="34">
        <f>G199+G196</f>
        <v>0</v>
      </c>
      <c r="H195" s="34">
        <f>H199+H196</f>
        <v>0</v>
      </c>
      <c r="I195" s="27" t="e">
        <f>H195-#REF!</f>
        <v>#REF!</v>
      </c>
    </row>
    <row r="196" spans="1:9">
      <c r="A196" s="43" t="s">
        <v>217</v>
      </c>
      <c r="B196" s="19" t="s">
        <v>236</v>
      </c>
      <c r="C196" s="54"/>
      <c r="D196" s="54"/>
      <c r="E196" s="54"/>
      <c r="F196" s="34">
        <f>F197+F198</f>
        <v>500</v>
      </c>
      <c r="G196" s="34">
        <f>G197+G198</f>
        <v>0</v>
      </c>
      <c r="H196" s="34">
        <f>H197+H198</f>
        <v>0</v>
      </c>
      <c r="I196" s="27" t="e">
        <f>H196-#REF!</f>
        <v>#REF!</v>
      </c>
    </row>
    <row r="197" spans="1:9" ht="25.5">
      <c r="A197" s="33" t="s">
        <v>28</v>
      </c>
      <c r="B197" s="19" t="s">
        <v>236</v>
      </c>
      <c r="C197" s="54" t="s">
        <v>183</v>
      </c>
      <c r="D197" s="54" t="s">
        <v>23</v>
      </c>
      <c r="E197" s="54" t="s">
        <v>237</v>
      </c>
      <c r="F197" s="34">
        <v>500</v>
      </c>
      <c r="G197" s="34">
        <v>0</v>
      </c>
      <c r="H197" s="34">
        <v>0</v>
      </c>
      <c r="I197" s="27" t="e">
        <f>H197-#REF!</f>
        <v>#REF!</v>
      </c>
    </row>
    <row r="198" spans="1:9" ht="13.5" hidden="1" customHeight="1">
      <c r="A198" s="59" t="s">
        <v>238</v>
      </c>
      <c r="B198" s="19" t="s">
        <v>236</v>
      </c>
      <c r="C198" s="54" t="s">
        <v>183</v>
      </c>
      <c r="D198" s="54" t="s">
        <v>23</v>
      </c>
      <c r="E198" s="54" t="s">
        <v>239</v>
      </c>
      <c r="F198" s="34"/>
      <c r="G198" s="34">
        <v>0</v>
      </c>
      <c r="H198" s="34">
        <v>0</v>
      </c>
      <c r="I198" s="27"/>
    </row>
    <row r="199" spans="1:9">
      <c r="A199" s="59" t="s">
        <v>240</v>
      </c>
      <c r="B199" s="19" t="s">
        <v>241</v>
      </c>
      <c r="C199" s="54" t="s">
        <v>183</v>
      </c>
      <c r="D199" s="54" t="s">
        <v>23</v>
      </c>
      <c r="E199" s="54"/>
      <c r="F199" s="34">
        <f>F200</f>
        <v>141401</v>
      </c>
      <c r="G199" s="34">
        <f>G200</f>
        <v>0</v>
      </c>
      <c r="H199" s="34">
        <f>H200</f>
        <v>0</v>
      </c>
      <c r="I199" s="27" t="e">
        <f>H199-#REF!</f>
        <v>#REF!</v>
      </c>
    </row>
    <row r="200" spans="1:9">
      <c r="A200" s="59" t="s">
        <v>242</v>
      </c>
      <c r="B200" s="19" t="s">
        <v>241</v>
      </c>
      <c r="C200" s="54" t="s">
        <v>183</v>
      </c>
      <c r="D200" s="54" t="s">
        <v>23</v>
      </c>
      <c r="E200" s="54" t="s">
        <v>237</v>
      </c>
      <c r="F200" s="34">
        <f>137159+4242</f>
        <v>141401</v>
      </c>
      <c r="G200" s="34">
        <v>0</v>
      </c>
      <c r="H200" s="34">
        <v>0</v>
      </c>
      <c r="I200" s="27" t="e">
        <f>H200-#REF!</f>
        <v>#REF!</v>
      </c>
    </row>
    <row r="201" spans="1:9" ht="25.5">
      <c r="A201" s="50" t="s">
        <v>243</v>
      </c>
      <c r="B201" s="51" t="s">
        <v>244</v>
      </c>
      <c r="C201" s="52"/>
      <c r="D201" s="52"/>
      <c r="E201" s="52"/>
      <c r="F201" s="57">
        <f>F202+F219</f>
        <v>14231.6</v>
      </c>
      <c r="G201" s="57">
        <f>G202+G219</f>
        <v>14321.87</v>
      </c>
      <c r="H201" s="57">
        <f>H202+H219</f>
        <v>14321.87</v>
      </c>
      <c r="I201" s="27" t="e">
        <f>H201-#REF!</f>
        <v>#REF!</v>
      </c>
    </row>
    <row r="202" spans="1:9" ht="38.25">
      <c r="A202" s="33" t="s">
        <v>245</v>
      </c>
      <c r="B202" s="19" t="s">
        <v>246</v>
      </c>
      <c r="C202" s="54"/>
      <c r="D202" s="54"/>
      <c r="E202" s="54"/>
      <c r="F202" s="34">
        <f>F203+F208+F215+F206+F217+F213</f>
        <v>14231.6</v>
      </c>
      <c r="G202" s="34">
        <f>G203+G208+G215+G206+G217+G213</f>
        <v>14321.87</v>
      </c>
      <c r="H202" s="34">
        <f>H203+H208+H215+H206+H217+H213</f>
        <v>14321.87</v>
      </c>
      <c r="I202" s="27" t="e">
        <f>H202-#REF!</f>
        <v>#REF!</v>
      </c>
    </row>
    <row r="203" spans="1:9" ht="25.5">
      <c r="A203" s="55" t="s">
        <v>149</v>
      </c>
      <c r="B203" s="19" t="s">
        <v>247</v>
      </c>
      <c r="C203" s="54" t="s">
        <v>248</v>
      </c>
      <c r="D203" s="54" t="s">
        <v>22</v>
      </c>
      <c r="E203" s="54"/>
      <c r="F203" s="34">
        <f>F204+F205</f>
        <v>3800.2000000000007</v>
      </c>
      <c r="G203" s="34">
        <f>G204+G205</f>
        <v>4600.2000000000007</v>
      </c>
      <c r="H203" s="34">
        <f>H204+H205</f>
        <v>4600.2000000000007</v>
      </c>
      <c r="I203" s="27" t="e">
        <f>H203-#REF!</f>
        <v>#REF!</v>
      </c>
    </row>
    <row r="204" spans="1:9" ht="14.25" customHeight="1">
      <c r="A204" s="43" t="s">
        <v>249</v>
      </c>
      <c r="B204" s="19" t="s">
        <v>247</v>
      </c>
      <c r="C204" s="54" t="s">
        <v>248</v>
      </c>
      <c r="D204" s="54" t="s">
        <v>22</v>
      </c>
      <c r="E204" s="54" t="s">
        <v>250</v>
      </c>
      <c r="F204" s="34">
        <f>13113.2+800+700-800-700-8513-800</f>
        <v>3800.2000000000007</v>
      </c>
      <c r="G204" s="34">
        <f>13113.2-8513</f>
        <v>4600.2000000000007</v>
      </c>
      <c r="H204" s="34">
        <f>13113.2-8513</f>
        <v>4600.2000000000007</v>
      </c>
      <c r="I204" s="27" t="e">
        <f>H204-#REF!</f>
        <v>#REF!</v>
      </c>
    </row>
    <row r="205" spans="1:9" ht="66.75" hidden="1" customHeight="1">
      <c r="A205" s="83" t="s">
        <v>251</v>
      </c>
      <c r="B205" s="19" t="s">
        <v>247</v>
      </c>
      <c r="C205" s="54" t="s">
        <v>248</v>
      </c>
      <c r="D205" s="54" t="s">
        <v>22</v>
      </c>
      <c r="E205" s="54" t="s">
        <v>250</v>
      </c>
      <c r="F205" s="34">
        <f>1000-1000</f>
        <v>0</v>
      </c>
      <c r="G205" s="34">
        <v>0</v>
      </c>
      <c r="H205" s="34">
        <v>0</v>
      </c>
      <c r="I205" s="27" t="e">
        <f>H205-#REF!</f>
        <v>#REF!</v>
      </c>
    </row>
    <row r="206" spans="1:9" ht="25.5" customHeight="1">
      <c r="A206" s="43" t="s">
        <v>163</v>
      </c>
      <c r="B206" s="19" t="s">
        <v>252</v>
      </c>
      <c r="C206" s="54" t="s">
        <v>248</v>
      </c>
      <c r="D206" s="54" t="s">
        <v>22</v>
      </c>
      <c r="E206" s="54"/>
      <c r="F206" s="34">
        <f>F207</f>
        <v>8513</v>
      </c>
      <c r="G206" s="34">
        <f>G207</f>
        <v>8513</v>
      </c>
      <c r="H206" s="34">
        <f>H207</f>
        <v>8513</v>
      </c>
      <c r="I206" s="27" t="e">
        <f>H206-#REF!</f>
        <v>#REF!</v>
      </c>
    </row>
    <row r="207" spans="1:9" ht="12.75" customHeight="1">
      <c r="A207" s="43" t="s">
        <v>84</v>
      </c>
      <c r="B207" s="19" t="s">
        <v>252</v>
      </c>
      <c r="C207" s="54" t="s">
        <v>248</v>
      </c>
      <c r="D207" s="54" t="s">
        <v>22</v>
      </c>
      <c r="E207" s="54" t="s">
        <v>250</v>
      </c>
      <c r="F207" s="34">
        <v>8513</v>
      </c>
      <c r="G207" s="34">
        <v>8513</v>
      </c>
      <c r="H207" s="34">
        <v>8513</v>
      </c>
      <c r="I207" s="27" t="e">
        <f>H207-#REF!</f>
        <v>#REF!</v>
      </c>
    </row>
    <row r="208" spans="1:9">
      <c r="A208" s="55" t="s">
        <v>253</v>
      </c>
      <c r="B208" s="19" t="s">
        <v>254</v>
      </c>
      <c r="C208" s="54" t="s">
        <v>248</v>
      </c>
      <c r="D208" s="54" t="s">
        <v>22</v>
      </c>
      <c r="E208" s="54"/>
      <c r="F208" s="34">
        <f>F209+F210+F212+F211</f>
        <v>529.5</v>
      </c>
      <c r="G208" s="34">
        <f>G209+G210+G212+G211</f>
        <v>542</v>
      </c>
      <c r="H208" s="34">
        <f>H209+H210+H212+H211</f>
        <v>542</v>
      </c>
      <c r="I208" s="27" t="e">
        <f>H208-#REF!</f>
        <v>#REF!</v>
      </c>
    </row>
    <row r="209" spans="1:12">
      <c r="A209" s="58" t="s">
        <v>26</v>
      </c>
      <c r="B209" s="19" t="s">
        <v>254</v>
      </c>
      <c r="C209" s="54" t="s">
        <v>248</v>
      </c>
      <c r="D209" s="54" t="s">
        <v>22</v>
      </c>
      <c r="E209" s="54" t="s">
        <v>27</v>
      </c>
      <c r="F209" s="34">
        <v>50</v>
      </c>
      <c r="G209" s="34">
        <v>60</v>
      </c>
      <c r="H209" s="34">
        <v>60</v>
      </c>
      <c r="I209" s="27" t="e">
        <f>H209-#REF!</f>
        <v>#REF!</v>
      </c>
    </row>
    <row r="210" spans="1:12" ht="25.5">
      <c r="A210" s="33" t="s">
        <v>28</v>
      </c>
      <c r="B210" s="19" t="s">
        <v>254</v>
      </c>
      <c r="C210" s="54" t="s">
        <v>248</v>
      </c>
      <c r="D210" s="54" t="s">
        <v>22</v>
      </c>
      <c r="E210" s="54" t="s">
        <v>29</v>
      </c>
      <c r="F210" s="34">
        <v>397.5</v>
      </c>
      <c r="G210" s="34">
        <v>400</v>
      </c>
      <c r="H210" s="34">
        <v>400</v>
      </c>
      <c r="I210" s="27" t="e">
        <f>H210-#REF!</f>
        <v>#REF!</v>
      </c>
    </row>
    <row r="211" spans="1:12">
      <c r="A211" s="43" t="s">
        <v>84</v>
      </c>
      <c r="B211" s="19" t="s">
        <v>254</v>
      </c>
      <c r="C211" s="54" t="s">
        <v>248</v>
      </c>
      <c r="D211" s="54" t="s">
        <v>22</v>
      </c>
      <c r="E211" s="54" t="s">
        <v>41</v>
      </c>
      <c r="F211" s="34">
        <v>56</v>
      </c>
      <c r="G211" s="34">
        <v>56</v>
      </c>
      <c r="H211" s="34">
        <v>56</v>
      </c>
      <c r="I211" s="27" t="e">
        <f>H211-#REF!</f>
        <v>#REF!</v>
      </c>
    </row>
    <row r="212" spans="1:12" ht="16.5" customHeight="1">
      <c r="A212" s="43" t="s">
        <v>249</v>
      </c>
      <c r="B212" s="19" t="s">
        <v>254</v>
      </c>
      <c r="C212" s="54" t="s">
        <v>248</v>
      </c>
      <c r="D212" s="54" t="s">
        <v>22</v>
      </c>
      <c r="E212" s="54" t="s">
        <v>250</v>
      </c>
      <c r="F212" s="34">
        <v>26</v>
      </c>
      <c r="G212" s="34">
        <v>26</v>
      </c>
      <c r="H212" s="34">
        <v>26</v>
      </c>
      <c r="I212" s="27" t="e">
        <f>H212-#REF!</f>
        <v>#REF!</v>
      </c>
    </row>
    <row r="213" spans="1:12" ht="25.5" customHeight="1">
      <c r="A213" s="43" t="s">
        <v>255</v>
      </c>
      <c r="B213" s="19" t="s">
        <v>256</v>
      </c>
      <c r="C213" s="54" t="s">
        <v>248</v>
      </c>
      <c r="D213" s="54" t="s">
        <v>22</v>
      </c>
      <c r="E213" s="54"/>
      <c r="F213" s="34">
        <f>F214</f>
        <v>388.9</v>
      </c>
      <c r="G213" s="34">
        <f>G214</f>
        <v>0</v>
      </c>
      <c r="H213" s="34">
        <f>H214</f>
        <v>0</v>
      </c>
      <c r="I213" s="27"/>
    </row>
    <row r="214" spans="1:12" ht="27.75" customHeight="1">
      <c r="A214" s="33" t="s">
        <v>28</v>
      </c>
      <c r="B214" s="19" t="s">
        <v>256</v>
      </c>
      <c r="C214" s="54" t="s">
        <v>248</v>
      </c>
      <c r="D214" s="54" t="s">
        <v>22</v>
      </c>
      <c r="E214" s="54" t="s">
        <v>29</v>
      </c>
      <c r="F214" s="34">
        <f>350+38.9</f>
        <v>388.9</v>
      </c>
      <c r="G214" s="34">
        <v>0</v>
      </c>
      <c r="H214" s="34">
        <v>0</v>
      </c>
      <c r="I214" s="27"/>
    </row>
    <row r="215" spans="1:12" ht="38.25">
      <c r="A215" s="84" t="s">
        <v>257</v>
      </c>
      <c r="B215" s="19" t="s">
        <v>258</v>
      </c>
      <c r="C215" s="54" t="s">
        <v>248</v>
      </c>
      <c r="D215" s="54" t="s">
        <v>22</v>
      </c>
      <c r="E215" s="54"/>
      <c r="F215" s="34">
        <f>F216</f>
        <v>1000</v>
      </c>
      <c r="G215" s="34">
        <f>G216</f>
        <v>666.67</v>
      </c>
      <c r="H215" s="34">
        <f>H216</f>
        <v>666.67</v>
      </c>
      <c r="I215" s="27" t="e">
        <f>H215-#REF!</f>
        <v>#REF!</v>
      </c>
    </row>
    <row r="216" spans="1:12" ht="25.5">
      <c r="A216" s="33" t="s">
        <v>28</v>
      </c>
      <c r="B216" s="19" t="s">
        <v>258</v>
      </c>
      <c r="C216" s="54" t="s">
        <v>248</v>
      </c>
      <c r="D216" s="54" t="s">
        <v>22</v>
      </c>
      <c r="E216" s="54" t="s">
        <v>29</v>
      </c>
      <c r="F216" s="34">
        <f>900+100</f>
        <v>1000</v>
      </c>
      <c r="G216" s="34">
        <f>600+66.67</f>
        <v>666.67</v>
      </c>
      <c r="H216" s="34">
        <f>600+66.67</f>
        <v>666.67</v>
      </c>
      <c r="I216" s="27" t="e">
        <f>H216-#REF!</f>
        <v>#REF!</v>
      </c>
    </row>
    <row r="217" spans="1:12" hidden="1">
      <c r="A217" s="59" t="s">
        <v>114</v>
      </c>
      <c r="B217" s="19" t="s">
        <v>259</v>
      </c>
      <c r="C217" s="54" t="s">
        <v>248</v>
      </c>
      <c r="D217" s="54" t="s">
        <v>100</v>
      </c>
      <c r="E217" s="54"/>
      <c r="F217" s="34">
        <f>F218</f>
        <v>0</v>
      </c>
      <c r="G217" s="34">
        <f>G218</f>
        <v>0</v>
      </c>
      <c r="H217" s="34">
        <f>H218</f>
        <v>0</v>
      </c>
      <c r="I217" s="27"/>
    </row>
    <row r="218" spans="1:12" ht="25.5" hidden="1">
      <c r="A218" s="33" t="s">
        <v>28</v>
      </c>
      <c r="B218" s="19" t="s">
        <v>259</v>
      </c>
      <c r="C218" s="54" t="s">
        <v>248</v>
      </c>
      <c r="D218" s="54" t="s">
        <v>100</v>
      </c>
      <c r="E218" s="54" t="s">
        <v>29</v>
      </c>
      <c r="F218" s="34"/>
      <c r="G218" s="34"/>
      <c r="H218" s="34"/>
      <c r="I218" s="27"/>
    </row>
    <row r="219" spans="1:12" ht="25.5" hidden="1">
      <c r="A219" s="43" t="s">
        <v>260</v>
      </c>
      <c r="B219" s="19" t="s">
        <v>261</v>
      </c>
      <c r="C219" s="54"/>
      <c r="D219" s="54"/>
      <c r="E219" s="54"/>
      <c r="F219" s="34">
        <f t="shared" ref="F219:H220" si="10">F220</f>
        <v>0</v>
      </c>
      <c r="G219" s="34">
        <f t="shared" si="10"/>
        <v>0</v>
      </c>
      <c r="H219" s="34">
        <f t="shared" si="10"/>
        <v>0</v>
      </c>
      <c r="I219" s="27" t="e">
        <f>H219-#REF!</f>
        <v>#REF!</v>
      </c>
    </row>
    <row r="220" spans="1:12" ht="25.5" hidden="1">
      <c r="A220" s="43" t="s">
        <v>262</v>
      </c>
      <c r="B220" s="19" t="s">
        <v>263</v>
      </c>
      <c r="C220" s="54" t="s">
        <v>248</v>
      </c>
      <c r="D220" s="54" t="s">
        <v>100</v>
      </c>
      <c r="E220" s="54"/>
      <c r="F220" s="34">
        <f t="shared" si="10"/>
        <v>0</v>
      </c>
      <c r="G220" s="34">
        <f t="shared" si="10"/>
        <v>0</v>
      </c>
      <c r="H220" s="34">
        <f t="shared" si="10"/>
        <v>0</v>
      </c>
      <c r="I220" s="27" t="e">
        <f>H220-#REF!</f>
        <v>#REF!</v>
      </c>
    </row>
    <row r="221" spans="1:12" hidden="1">
      <c r="A221" s="43" t="s">
        <v>242</v>
      </c>
      <c r="B221" s="19" t="s">
        <v>263</v>
      </c>
      <c r="C221" s="54" t="s">
        <v>248</v>
      </c>
      <c r="D221" s="54" t="s">
        <v>100</v>
      </c>
      <c r="E221" s="54" t="s">
        <v>237</v>
      </c>
      <c r="F221" s="34">
        <v>0</v>
      </c>
      <c r="G221" s="34">
        <v>0</v>
      </c>
      <c r="H221" s="34">
        <v>0</v>
      </c>
      <c r="I221" s="27" t="e">
        <f>H221-#REF!</f>
        <v>#REF!</v>
      </c>
    </row>
    <row r="222" spans="1:12">
      <c r="A222" s="50" t="s">
        <v>264</v>
      </c>
      <c r="B222" s="51" t="s">
        <v>265</v>
      </c>
      <c r="C222" s="52"/>
      <c r="D222" s="52"/>
      <c r="E222" s="52"/>
      <c r="F222" s="57">
        <f>F223+F315</f>
        <v>327918.89999999997</v>
      </c>
      <c r="G222" s="57">
        <f>G223+G315</f>
        <v>365331.39999999997</v>
      </c>
      <c r="H222" s="57">
        <f>H223+H315</f>
        <v>361203.5</v>
      </c>
      <c r="I222" s="27" t="e">
        <f>H222-#REF!</f>
        <v>#REF!</v>
      </c>
    </row>
    <row r="223" spans="1:12" ht="25.5">
      <c r="A223" s="85" t="s">
        <v>266</v>
      </c>
      <c r="B223" s="29" t="s">
        <v>267</v>
      </c>
      <c r="C223" s="30"/>
      <c r="D223" s="30"/>
      <c r="E223" s="30"/>
      <c r="F223" s="31">
        <f>F224+F233+F258+F267+F275+F284+F292+F303+F309+F306+F299+F312</f>
        <v>322946.39999999997</v>
      </c>
      <c r="G223" s="31">
        <f>G224+G233+G258+G267+G275+G284+G292+G303+G309+G306+G299+G312</f>
        <v>360328.89999999997</v>
      </c>
      <c r="H223" s="31">
        <f>H224+H233+H258+H267+H275+H284+H292+H303+H309+H306+H299+H312</f>
        <v>356201</v>
      </c>
      <c r="I223" s="27" t="e">
        <f>H223-#REF!</f>
        <v>#REF!</v>
      </c>
    </row>
    <row r="224" spans="1:12" ht="25.5">
      <c r="A224" s="86" t="s">
        <v>268</v>
      </c>
      <c r="B224" s="29" t="s">
        <v>269</v>
      </c>
      <c r="C224" s="30" t="s">
        <v>87</v>
      </c>
      <c r="D224" s="30" t="s">
        <v>22</v>
      </c>
      <c r="E224" s="30"/>
      <c r="F224" s="31">
        <f>F225+F227+F231+F229</f>
        <v>90215</v>
      </c>
      <c r="G224" s="31">
        <f>G225+G227+G231+G229</f>
        <v>99998.5</v>
      </c>
      <c r="H224" s="31">
        <f>H225+H227+H231+H229</f>
        <v>102753.20000000001</v>
      </c>
      <c r="I224" s="27" t="e">
        <f>H224-#REF!</f>
        <v>#REF!</v>
      </c>
      <c r="K224" s="39"/>
      <c r="L224" s="39"/>
    </row>
    <row r="225" spans="1:14" ht="25.5">
      <c r="A225" s="86" t="s">
        <v>270</v>
      </c>
      <c r="B225" s="29" t="s">
        <v>271</v>
      </c>
      <c r="C225" s="30" t="s">
        <v>87</v>
      </c>
      <c r="D225" s="30" t="s">
        <v>22</v>
      </c>
      <c r="E225" s="30"/>
      <c r="F225" s="31">
        <f>F226</f>
        <v>67221.2</v>
      </c>
      <c r="G225" s="31">
        <f>G226</f>
        <v>71258.7</v>
      </c>
      <c r="H225" s="31">
        <f>H226</f>
        <v>74513.400000000009</v>
      </c>
      <c r="I225" s="27" t="e">
        <f>H225-#REF!</f>
        <v>#REF!</v>
      </c>
      <c r="K225" s="39"/>
      <c r="L225" s="39"/>
      <c r="M225" s="39"/>
    </row>
    <row r="226" spans="1:14">
      <c r="A226" s="87" t="s">
        <v>40</v>
      </c>
      <c r="B226" s="29" t="s">
        <v>271</v>
      </c>
      <c r="C226" s="30" t="s">
        <v>87</v>
      </c>
      <c r="D226" s="30" t="s">
        <v>22</v>
      </c>
      <c r="E226" s="30" t="s">
        <v>41</v>
      </c>
      <c r="F226" s="31">
        <f>50193.2+16268.5+759.5</f>
        <v>67221.2</v>
      </c>
      <c r="G226" s="31">
        <f>54286.4+16214.5+757.8</f>
        <v>71258.7</v>
      </c>
      <c r="H226" s="31">
        <f>57541.1+16214.5+757.8</f>
        <v>74513.400000000009</v>
      </c>
      <c r="I226" s="27" t="e">
        <f>H226-#REF!</f>
        <v>#REF!</v>
      </c>
      <c r="J226" s="39"/>
      <c r="K226" s="39"/>
      <c r="L226" s="39"/>
    </row>
    <row r="227" spans="1:14">
      <c r="A227" s="86" t="s">
        <v>272</v>
      </c>
      <c r="B227" s="29" t="s">
        <v>273</v>
      </c>
      <c r="C227" s="30" t="s">
        <v>87</v>
      </c>
      <c r="D227" s="30" t="s">
        <v>22</v>
      </c>
      <c r="E227" s="30"/>
      <c r="F227" s="31">
        <f>F228</f>
        <v>22630.5</v>
      </c>
      <c r="G227" s="31">
        <f>G228</f>
        <v>28631.5</v>
      </c>
      <c r="H227" s="31">
        <f>H228</f>
        <v>28131.5</v>
      </c>
      <c r="I227" s="27" t="e">
        <f>H227-#REF!</f>
        <v>#REF!</v>
      </c>
    </row>
    <row r="228" spans="1:14">
      <c r="A228" s="87" t="s">
        <v>40</v>
      </c>
      <c r="B228" s="29" t="s">
        <v>273</v>
      </c>
      <c r="C228" s="30" t="s">
        <v>87</v>
      </c>
      <c r="D228" s="30" t="s">
        <v>22</v>
      </c>
      <c r="E228" s="30" t="s">
        <v>41</v>
      </c>
      <c r="F228" s="31">
        <f>28631.5+599-6600</f>
        <v>22630.5</v>
      </c>
      <c r="G228" s="31">
        <f>28631.5</f>
        <v>28631.5</v>
      </c>
      <c r="H228" s="31">
        <f>28631.5-500</f>
        <v>28131.5</v>
      </c>
      <c r="I228" s="27" t="e">
        <f>H228-#REF!</f>
        <v>#REF!</v>
      </c>
      <c r="J228" s="46"/>
    </row>
    <row r="229" spans="1:14" ht="51">
      <c r="A229" s="88" t="s">
        <v>274</v>
      </c>
      <c r="B229" s="19" t="s">
        <v>275</v>
      </c>
      <c r="C229" s="30" t="s">
        <v>87</v>
      </c>
      <c r="D229" s="30" t="s">
        <v>22</v>
      </c>
      <c r="E229" s="30"/>
      <c r="F229" s="31">
        <f>F230</f>
        <v>255</v>
      </c>
      <c r="G229" s="31">
        <f>G230</f>
        <v>0</v>
      </c>
      <c r="H229" s="31">
        <f>H230</f>
        <v>0</v>
      </c>
      <c r="I229" s="27"/>
      <c r="J229" s="46"/>
    </row>
    <row r="230" spans="1:14">
      <c r="A230" s="45" t="s">
        <v>40</v>
      </c>
      <c r="B230" s="19" t="s">
        <v>275</v>
      </c>
      <c r="C230" s="30" t="s">
        <v>87</v>
      </c>
      <c r="D230" s="30" t="s">
        <v>22</v>
      </c>
      <c r="E230" s="30" t="s">
        <v>41</v>
      </c>
      <c r="F230" s="31">
        <f>247.4+7.6</f>
        <v>255</v>
      </c>
      <c r="G230" s="31">
        <v>0</v>
      </c>
      <c r="H230" s="31">
        <v>0</v>
      </c>
      <c r="I230" s="27"/>
      <c r="J230" s="39"/>
    </row>
    <row r="231" spans="1:14" ht="51">
      <c r="A231" s="89" t="s">
        <v>276</v>
      </c>
      <c r="B231" s="19" t="s">
        <v>277</v>
      </c>
      <c r="C231" s="54" t="s">
        <v>87</v>
      </c>
      <c r="D231" s="54" t="s">
        <v>22</v>
      </c>
      <c r="E231" s="54"/>
      <c r="F231" s="34">
        <f>F232</f>
        <v>108.30000000000001</v>
      </c>
      <c r="G231" s="34">
        <f>G232</f>
        <v>108.30000000000001</v>
      </c>
      <c r="H231" s="34">
        <f>H232</f>
        <v>108.30000000000001</v>
      </c>
      <c r="I231" s="27" t="e">
        <f>H231-#REF!</f>
        <v>#REF!</v>
      </c>
      <c r="L231" s="39"/>
      <c r="M231" s="39"/>
      <c r="N231" s="90"/>
    </row>
    <row r="232" spans="1:14">
      <c r="A232" s="45" t="s">
        <v>40</v>
      </c>
      <c r="B232" s="19" t="s">
        <v>277</v>
      </c>
      <c r="C232" s="54" t="s">
        <v>87</v>
      </c>
      <c r="D232" s="54" t="s">
        <v>22</v>
      </c>
      <c r="E232" s="54" t="s">
        <v>41</v>
      </c>
      <c r="F232" s="34">
        <f>90.2+18.1</f>
        <v>108.30000000000001</v>
      </c>
      <c r="G232" s="34">
        <f>90.2+18.1</f>
        <v>108.30000000000001</v>
      </c>
      <c r="H232" s="34">
        <f>90.2+18.1</f>
        <v>108.30000000000001</v>
      </c>
      <c r="I232" s="27" t="e">
        <f>H232-#REF!</f>
        <v>#REF!</v>
      </c>
    </row>
    <row r="233" spans="1:14" ht="38.25">
      <c r="A233" s="64" t="s">
        <v>278</v>
      </c>
      <c r="B233" s="19" t="s">
        <v>279</v>
      </c>
      <c r="C233" s="54"/>
      <c r="D233" s="54"/>
      <c r="E233" s="54"/>
      <c r="F233" s="34">
        <f>F236+F239+F242+F234+F256+F244+F254+F250+F246+F248+F252</f>
        <v>208072.3</v>
      </c>
      <c r="G233" s="34">
        <f>G236+G239+G242+G234+G256+G244+G254+G250+G246+G248+G252</f>
        <v>233478.1</v>
      </c>
      <c r="H233" s="34">
        <f>H236+H239+H242+H234+H256+H244+H254+H250+H246+H248+H252</f>
        <v>226031.1</v>
      </c>
      <c r="I233" s="27" t="e">
        <f>H233-#REF!</f>
        <v>#REF!</v>
      </c>
    </row>
    <row r="234" spans="1:14" ht="89.25">
      <c r="A234" s="91" t="s">
        <v>280</v>
      </c>
      <c r="B234" s="19" t="s">
        <v>281</v>
      </c>
      <c r="C234" s="54" t="s">
        <v>87</v>
      </c>
      <c r="D234" s="54" t="s">
        <v>160</v>
      </c>
      <c r="E234" s="54"/>
      <c r="F234" s="34">
        <f>F235</f>
        <v>7726.1</v>
      </c>
      <c r="G234" s="34">
        <f>G235</f>
        <v>7834.2</v>
      </c>
      <c r="H234" s="34">
        <f>H235</f>
        <v>7873.3</v>
      </c>
      <c r="I234" s="27" t="e">
        <f>H234-#REF!</f>
        <v>#REF!</v>
      </c>
      <c r="J234" s="46"/>
    </row>
    <row r="235" spans="1:14">
      <c r="A235" s="43" t="s">
        <v>40</v>
      </c>
      <c r="B235" s="19" t="s">
        <v>281</v>
      </c>
      <c r="C235" s="54" t="s">
        <v>87</v>
      </c>
      <c r="D235" s="54" t="s">
        <v>160</v>
      </c>
      <c r="E235" s="54" t="s">
        <v>41</v>
      </c>
      <c r="F235" s="34">
        <f>7726.1</f>
        <v>7726.1</v>
      </c>
      <c r="G235" s="34">
        <f>7834.2</f>
        <v>7834.2</v>
      </c>
      <c r="H235" s="34">
        <f>7873.3</f>
        <v>7873.3</v>
      </c>
      <c r="I235" s="27" t="e">
        <f>H235-#REF!</f>
        <v>#REF!</v>
      </c>
    </row>
    <row r="236" spans="1:14" ht="25.5">
      <c r="A236" s="91" t="s">
        <v>270</v>
      </c>
      <c r="B236" s="19" t="s">
        <v>282</v>
      </c>
      <c r="C236" s="54"/>
      <c r="D236" s="54"/>
      <c r="E236" s="54"/>
      <c r="F236" s="34">
        <f>F237+F238</f>
        <v>125532.5</v>
      </c>
      <c r="G236" s="34">
        <f>G237+G238</f>
        <v>133877</v>
      </c>
      <c r="H236" s="34">
        <f>H237+H238</f>
        <v>144192.30000000002</v>
      </c>
      <c r="I236" s="27" t="e">
        <f>H236-#REF!</f>
        <v>#REF!</v>
      </c>
    </row>
    <row r="237" spans="1:14">
      <c r="A237" s="43" t="s">
        <v>40</v>
      </c>
      <c r="B237" s="19" t="s">
        <v>282</v>
      </c>
      <c r="C237" s="54" t="s">
        <v>87</v>
      </c>
      <c r="D237" s="54" t="s">
        <v>160</v>
      </c>
      <c r="E237" s="54" t="s">
        <v>41</v>
      </c>
      <c r="F237" s="34">
        <f>105004+16807.6+1635.4+2085.5</f>
        <v>125532.5</v>
      </c>
      <c r="G237" s="34">
        <f>114252.9+17192+1038+1394.1</f>
        <v>133877</v>
      </c>
      <c r="H237" s="34">
        <f>124568.2+17192+1038+1394.1</f>
        <v>144192.30000000002</v>
      </c>
      <c r="I237" s="27" t="e">
        <f>H237-#REF!</f>
        <v>#REF!</v>
      </c>
    </row>
    <row r="238" spans="1:14" ht="25.5">
      <c r="A238" s="58" t="s">
        <v>28</v>
      </c>
      <c r="B238" s="19" t="s">
        <v>282</v>
      </c>
      <c r="C238" s="54" t="s">
        <v>87</v>
      </c>
      <c r="D238" s="54" t="s">
        <v>88</v>
      </c>
      <c r="E238" s="54" t="s">
        <v>29</v>
      </c>
      <c r="F238" s="34"/>
      <c r="G238" s="34"/>
      <c r="H238" s="34"/>
      <c r="I238" s="27" t="e">
        <f>H238-#REF!</f>
        <v>#REF!</v>
      </c>
    </row>
    <row r="239" spans="1:14">
      <c r="A239" s="91" t="s">
        <v>283</v>
      </c>
      <c r="B239" s="19" t="s">
        <v>284</v>
      </c>
      <c r="C239" s="54" t="s">
        <v>87</v>
      </c>
      <c r="D239" s="54" t="s">
        <v>160</v>
      </c>
      <c r="E239" s="54"/>
      <c r="F239" s="34">
        <f>F240+F241</f>
        <v>51878.100000000006</v>
      </c>
      <c r="G239" s="34">
        <f>G240+G241</f>
        <v>67334.100000000006</v>
      </c>
      <c r="H239" s="34">
        <f>H240+H241</f>
        <v>66834.100000000006</v>
      </c>
      <c r="I239" s="27" t="e">
        <f>H239-#REF!</f>
        <v>#REF!</v>
      </c>
    </row>
    <row r="240" spans="1:14">
      <c r="A240" s="43" t="s">
        <v>40</v>
      </c>
      <c r="B240" s="19" t="s">
        <v>284</v>
      </c>
      <c r="C240" s="54" t="s">
        <v>87</v>
      </c>
      <c r="D240" s="54" t="s">
        <v>160</v>
      </c>
      <c r="E240" s="54" t="s">
        <v>41</v>
      </c>
      <c r="F240" s="34">
        <f>69114.1-17250+14</f>
        <v>51878.100000000006</v>
      </c>
      <c r="G240" s="34">
        <f>69114.1-1700-80</f>
        <v>67334.100000000006</v>
      </c>
      <c r="H240" s="34">
        <f>69114.1-2200-80</f>
        <v>66834.100000000006</v>
      </c>
      <c r="I240" s="27" t="e">
        <f>H240-#REF!</f>
        <v>#REF!</v>
      </c>
    </row>
    <row r="241" spans="1:12" hidden="1">
      <c r="A241" s="43" t="s">
        <v>40</v>
      </c>
      <c r="B241" s="19" t="s">
        <v>284</v>
      </c>
      <c r="C241" s="54" t="s">
        <v>87</v>
      </c>
      <c r="D241" s="54" t="s">
        <v>160</v>
      </c>
      <c r="E241" s="54" t="s">
        <v>285</v>
      </c>
      <c r="F241" s="34">
        <v>0</v>
      </c>
      <c r="G241" s="34">
        <v>0</v>
      </c>
      <c r="H241" s="34">
        <v>0</v>
      </c>
      <c r="I241" s="27" t="e">
        <f>H241-#REF!</f>
        <v>#REF!</v>
      </c>
    </row>
    <row r="242" spans="1:12" ht="25.5" hidden="1">
      <c r="A242" s="43" t="s">
        <v>163</v>
      </c>
      <c r="B242" s="19" t="s">
        <v>286</v>
      </c>
      <c r="C242" s="54" t="s">
        <v>87</v>
      </c>
      <c r="D242" s="54" t="s">
        <v>160</v>
      </c>
      <c r="E242" s="54"/>
      <c r="F242" s="34">
        <f>F243</f>
        <v>0</v>
      </c>
      <c r="G242" s="34">
        <f>G243</f>
        <v>0</v>
      </c>
      <c r="H242" s="34">
        <f>H243</f>
        <v>0</v>
      </c>
      <c r="I242" s="27" t="e">
        <f>H242-#REF!</f>
        <v>#REF!</v>
      </c>
    </row>
    <row r="243" spans="1:12" ht="12" hidden="1" customHeight="1">
      <c r="A243" s="43" t="s">
        <v>84</v>
      </c>
      <c r="B243" s="19" t="s">
        <v>286</v>
      </c>
      <c r="C243" s="54" t="s">
        <v>87</v>
      </c>
      <c r="D243" s="54" t="s">
        <v>160</v>
      </c>
      <c r="E243" s="54" t="s">
        <v>41</v>
      </c>
      <c r="F243" s="34">
        <v>0</v>
      </c>
      <c r="G243" s="34">
        <v>0</v>
      </c>
      <c r="H243" s="34">
        <v>0</v>
      </c>
      <c r="I243" s="27" t="e">
        <f>H243-#REF!</f>
        <v>#REF!</v>
      </c>
    </row>
    <row r="244" spans="1:12" ht="38.25">
      <c r="A244" s="43" t="s">
        <v>287</v>
      </c>
      <c r="B244" s="19" t="s">
        <v>288</v>
      </c>
      <c r="C244" s="54" t="s">
        <v>87</v>
      </c>
      <c r="D244" s="54" t="s">
        <v>160</v>
      </c>
      <c r="E244" s="54"/>
      <c r="F244" s="34">
        <f>F245</f>
        <v>6125.5</v>
      </c>
      <c r="G244" s="34">
        <f>G245</f>
        <v>5987.2</v>
      </c>
      <c r="H244" s="34">
        <f>H245</f>
        <v>5817.0999999999995</v>
      </c>
      <c r="I244" s="27" t="e">
        <f>H244-#REF!</f>
        <v>#REF!</v>
      </c>
    </row>
    <row r="245" spans="1:12">
      <c r="A245" s="92" t="s">
        <v>40</v>
      </c>
      <c r="B245" s="19" t="s">
        <v>288</v>
      </c>
      <c r="C245" s="54" t="s">
        <v>87</v>
      </c>
      <c r="D245" s="54" t="s">
        <v>160</v>
      </c>
      <c r="E245" s="54" t="s">
        <v>41</v>
      </c>
      <c r="F245" s="34">
        <f>6003+122.5</f>
        <v>6125.5</v>
      </c>
      <c r="G245" s="34">
        <f>5867.5+119.7</f>
        <v>5987.2</v>
      </c>
      <c r="H245" s="34">
        <f>5700.7+116.4</f>
        <v>5817.0999999999995</v>
      </c>
      <c r="I245" s="27" t="e">
        <f>H245-#REF!</f>
        <v>#REF!</v>
      </c>
    </row>
    <row r="246" spans="1:12" ht="17.25" customHeight="1">
      <c r="A246" s="93" t="s">
        <v>289</v>
      </c>
      <c r="B246" s="19" t="s">
        <v>290</v>
      </c>
      <c r="C246" s="54" t="s">
        <v>87</v>
      </c>
      <c r="D246" s="54" t="s">
        <v>160</v>
      </c>
      <c r="E246" s="54"/>
      <c r="F246" s="34">
        <f>F247</f>
        <v>15130.8</v>
      </c>
      <c r="G246" s="34">
        <f>G247</f>
        <v>12297</v>
      </c>
      <c r="H246" s="34">
        <f>H247</f>
        <v>0</v>
      </c>
      <c r="I246" s="27"/>
    </row>
    <row r="247" spans="1:12">
      <c r="A247" s="92" t="s">
        <v>40</v>
      </c>
      <c r="B247" s="19" t="s">
        <v>290</v>
      </c>
      <c r="C247" s="54" t="s">
        <v>87</v>
      </c>
      <c r="D247" s="54" t="s">
        <v>160</v>
      </c>
      <c r="E247" s="54" t="s">
        <v>41</v>
      </c>
      <c r="F247" s="34">
        <f>15127.8+3</f>
        <v>15130.8</v>
      </c>
      <c r="G247" s="34">
        <f>12294.5+2.5</f>
        <v>12297</v>
      </c>
      <c r="H247" s="34">
        <v>0</v>
      </c>
      <c r="I247" s="27"/>
    </row>
    <row r="248" spans="1:12" ht="63.75">
      <c r="A248" s="94" t="s">
        <v>291</v>
      </c>
      <c r="B248" s="19" t="s">
        <v>292</v>
      </c>
      <c r="C248" s="54" t="s">
        <v>87</v>
      </c>
      <c r="D248" s="54" t="s">
        <v>160</v>
      </c>
      <c r="E248" s="54"/>
      <c r="F248" s="34">
        <f>F249</f>
        <v>0</v>
      </c>
      <c r="G248" s="34">
        <f>G249</f>
        <v>2000.4</v>
      </c>
      <c r="H248" s="34">
        <f>H249</f>
        <v>0</v>
      </c>
      <c r="I248" s="46" t="s">
        <v>293</v>
      </c>
      <c r="J248" s="46"/>
    </row>
    <row r="249" spans="1:12">
      <c r="A249" s="92" t="s">
        <v>40</v>
      </c>
      <c r="B249" s="19" t="s">
        <v>292</v>
      </c>
      <c r="C249" s="54" t="s">
        <v>87</v>
      </c>
      <c r="D249" s="54" t="s">
        <v>160</v>
      </c>
      <c r="E249" s="54" t="s">
        <v>41</v>
      </c>
      <c r="F249" s="34">
        <f>0</f>
        <v>0</v>
      </c>
      <c r="G249" s="34">
        <f>2000+0.4</f>
        <v>2000.4</v>
      </c>
      <c r="H249" s="34">
        <v>0</v>
      </c>
      <c r="I249" s="46"/>
    </row>
    <row r="250" spans="1:12" ht="51">
      <c r="A250" s="93" t="s">
        <v>294</v>
      </c>
      <c r="B250" s="19" t="s">
        <v>295</v>
      </c>
      <c r="C250" s="54" t="s">
        <v>87</v>
      </c>
      <c r="D250" s="54" t="s">
        <v>160</v>
      </c>
      <c r="E250" s="54"/>
      <c r="F250" s="34">
        <f>F251</f>
        <v>0</v>
      </c>
      <c r="G250" s="34">
        <f>G251</f>
        <v>2833.9</v>
      </c>
      <c r="H250" s="34">
        <f>H251</f>
        <v>0</v>
      </c>
      <c r="I250" s="27"/>
    </row>
    <row r="251" spans="1:12">
      <c r="A251" s="43" t="s">
        <v>40</v>
      </c>
      <c r="B251" s="19" t="s">
        <v>295</v>
      </c>
      <c r="C251" s="54" t="s">
        <v>87</v>
      </c>
      <c r="D251" s="54" t="s">
        <v>160</v>
      </c>
      <c r="E251" s="54" t="s">
        <v>41</v>
      </c>
      <c r="F251" s="34">
        <v>0</v>
      </c>
      <c r="G251" s="34">
        <f>2833.3+0.6</f>
        <v>2833.9</v>
      </c>
      <c r="H251" s="34">
        <v>0</v>
      </c>
      <c r="I251" s="27"/>
    </row>
    <row r="252" spans="1:12" ht="51">
      <c r="A252" s="88" t="s">
        <v>274</v>
      </c>
      <c r="B252" s="19" t="s">
        <v>296</v>
      </c>
      <c r="C252" s="54" t="s">
        <v>87</v>
      </c>
      <c r="D252" s="54" t="s">
        <v>160</v>
      </c>
      <c r="E252" s="54"/>
      <c r="F252" s="31">
        <f>F253</f>
        <v>365</v>
      </c>
      <c r="G252" s="31">
        <f>G253</f>
        <v>0</v>
      </c>
      <c r="H252" s="31">
        <f>H253</f>
        <v>0</v>
      </c>
      <c r="I252" s="27"/>
      <c r="J252" s="46"/>
      <c r="L252" s="39"/>
    </row>
    <row r="253" spans="1:12">
      <c r="A253" s="45" t="s">
        <v>40</v>
      </c>
      <c r="B253" s="19" t="s">
        <v>296</v>
      </c>
      <c r="C253" s="54" t="s">
        <v>87</v>
      </c>
      <c r="D253" s="54" t="s">
        <v>160</v>
      </c>
      <c r="E253" s="54" t="s">
        <v>41</v>
      </c>
      <c r="F253" s="31">
        <f>354+11</f>
        <v>365</v>
      </c>
      <c r="G253" s="31">
        <v>0</v>
      </c>
      <c r="H253" s="31">
        <v>0</v>
      </c>
      <c r="I253" s="27"/>
    </row>
    <row r="254" spans="1:12" ht="30" hidden="1" customHeight="1">
      <c r="A254" s="89" t="s">
        <v>297</v>
      </c>
      <c r="B254" s="19" t="s">
        <v>298</v>
      </c>
      <c r="C254" s="54" t="s">
        <v>87</v>
      </c>
      <c r="D254" s="54" t="s">
        <v>160</v>
      </c>
      <c r="E254" s="54"/>
      <c r="F254" s="34">
        <f>F255</f>
        <v>0</v>
      </c>
      <c r="G254" s="34">
        <f>G255</f>
        <v>0</v>
      </c>
      <c r="H254" s="34">
        <f>H255</f>
        <v>0</v>
      </c>
      <c r="I254" s="27" t="e">
        <f>H254-#REF!</f>
        <v>#REF!</v>
      </c>
    </row>
    <row r="255" spans="1:12" hidden="1">
      <c r="A255" s="45" t="s">
        <v>40</v>
      </c>
      <c r="B255" s="19" t="s">
        <v>298</v>
      </c>
      <c r="C255" s="54" t="s">
        <v>87</v>
      </c>
      <c r="D255" s="54" t="s">
        <v>160</v>
      </c>
      <c r="E255" s="54" t="s">
        <v>41</v>
      </c>
      <c r="F255" s="34"/>
      <c r="G255" s="34"/>
      <c r="H255" s="34"/>
      <c r="I255" s="27" t="e">
        <f>H255-#REF!</f>
        <v>#REF!</v>
      </c>
    </row>
    <row r="256" spans="1:12" ht="51">
      <c r="A256" s="89" t="s">
        <v>276</v>
      </c>
      <c r="B256" s="19" t="s">
        <v>299</v>
      </c>
      <c r="C256" s="54" t="s">
        <v>87</v>
      </c>
      <c r="D256" s="54" t="s">
        <v>160</v>
      </c>
      <c r="E256" s="54"/>
      <c r="F256" s="34">
        <f>F257</f>
        <v>1314.3</v>
      </c>
      <c r="G256" s="34">
        <f>G257</f>
        <v>1314.3</v>
      </c>
      <c r="H256" s="34">
        <f>H257</f>
        <v>1314.3</v>
      </c>
      <c r="I256" s="27" t="e">
        <f>H256-#REF!</f>
        <v>#REF!</v>
      </c>
    </row>
    <row r="257" spans="1:9">
      <c r="A257" s="45" t="s">
        <v>40</v>
      </c>
      <c r="B257" s="19" t="s">
        <v>299</v>
      </c>
      <c r="C257" s="54" t="s">
        <v>87</v>
      </c>
      <c r="D257" s="54" t="s">
        <v>160</v>
      </c>
      <c r="E257" s="54" t="s">
        <v>41</v>
      </c>
      <c r="F257" s="34">
        <f>1095.3+219</f>
        <v>1314.3</v>
      </c>
      <c r="G257" s="34">
        <f>1095.3+219</f>
        <v>1314.3</v>
      </c>
      <c r="H257" s="34">
        <f>1095.3+219</f>
        <v>1314.3</v>
      </c>
      <c r="I257" s="27" t="e">
        <f>H257-#REF!</f>
        <v>#REF!</v>
      </c>
    </row>
    <row r="258" spans="1:9" ht="25.5">
      <c r="A258" s="43" t="s">
        <v>210</v>
      </c>
      <c r="B258" s="19" t="s">
        <v>300</v>
      </c>
      <c r="C258" s="54" t="s">
        <v>87</v>
      </c>
      <c r="D258" s="54" t="s">
        <v>36</v>
      </c>
      <c r="E258" s="54"/>
      <c r="F258" s="34">
        <f>F259+F263+F261+F265</f>
        <v>17460.699999999997</v>
      </c>
      <c r="G258" s="34">
        <f>G259+G263+G261+G265</f>
        <v>19273.900000000001</v>
      </c>
      <c r="H258" s="34">
        <f>H259+H263+H261+H265</f>
        <v>19982.3</v>
      </c>
      <c r="I258" s="27" t="e">
        <f>H258-#REF!</f>
        <v>#REF!</v>
      </c>
    </row>
    <row r="259" spans="1:9">
      <c r="A259" s="64" t="s">
        <v>212</v>
      </c>
      <c r="B259" s="19" t="s">
        <v>301</v>
      </c>
      <c r="C259" s="54" t="s">
        <v>87</v>
      </c>
      <c r="D259" s="54" t="s">
        <v>36</v>
      </c>
      <c r="E259" s="54"/>
      <c r="F259" s="34">
        <f>F260</f>
        <v>2015.099999999999</v>
      </c>
      <c r="G259" s="34">
        <f>G260</f>
        <v>1834.8000000000011</v>
      </c>
      <c r="H259" s="34">
        <f>H260</f>
        <v>1537.3999999999996</v>
      </c>
      <c r="I259" s="27" t="e">
        <f>H259-#REF!</f>
        <v>#REF!</v>
      </c>
    </row>
    <row r="260" spans="1:9">
      <c r="A260" s="43" t="s">
        <v>40</v>
      </c>
      <c r="B260" s="19" t="s">
        <v>301</v>
      </c>
      <c r="C260" s="54" t="s">
        <v>87</v>
      </c>
      <c r="D260" s="54" t="s">
        <v>36</v>
      </c>
      <c r="E260" s="54" t="s">
        <v>41</v>
      </c>
      <c r="F260" s="34">
        <f>16371.8-14215.6-141.1</f>
        <v>2015.099999999999</v>
      </c>
      <c r="G260" s="34">
        <f>17073.9-15239.1</f>
        <v>1834.8000000000011</v>
      </c>
      <c r="H260" s="34">
        <f>17782.3-16244.9</f>
        <v>1537.3999999999996</v>
      </c>
      <c r="I260" s="27" t="e">
        <f>H260-#REF!</f>
        <v>#REF!</v>
      </c>
    </row>
    <row r="261" spans="1:9" ht="25.5">
      <c r="A261" s="43" t="s">
        <v>163</v>
      </c>
      <c r="B261" s="19" t="s">
        <v>302</v>
      </c>
      <c r="C261" s="54" t="s">
        <v>87</v>
      </c>
      <c r="D261" s="54" t="s">
        <v>36</v>
      </c>
      <c r="E261" s="54"/>
      <c r="F261" s="34">
        <f>F262</f>
        <v>14215.6</v>
      </c>
      <c r="G261" s="34">
        <f>G262</f>
        <v>15239.1</v>
      </c>
      <c r="H261" s="34">
        <f>H262</f>
        <v>16244.9</v>
      </c>
      <c r="I261" s="27" t="e">
        <f>H261-#REF!</f>
        <v>#REF!</v>
      </c>
    </row>
    <row r="262" spans="1:9">
      <c r="A262" s="43" t="s">
        <v>84</v>
      </c>
      <c r="B262" s="19" t="s">
        <v>302</v>
      </c>
      <c r="C262" s="54" t="s">
        <v>87</v>
      </c>
      <c r="D262" s="54" t="s">
        <v>36</v>
      </c>
      <c r="E262" s="54" t="s">
        <v>41</v>
      </c>
      <c r="F262" s="34">
        <v>14215.6</v>
      </c>
      <c r="G262" s="34">
        <v>15239.1</v>
      </c>
      <c r="H262" s="34">
        <v>16244.9</v>
      </c>
      <c r="I262" s="27" t="e">
        <f>H262-#REF!</f>
        <v>#REF!</v>
      </c>
    </row>
    <row r="263" spans="1:9" ht="38.25" hidden="1">
      <c r="A263" s="95" t="s">
        <v>303</v>
      </c>
      <c r="B263" s="19" t="s">
        <v>304</v>
      </c>
      <c r="C263" s="54" t="s">
        <v>87</v>
      </c>
      <c r="D263" s="54" t="s">
        <v>36</v>
      </c>
      <c r="E263" s="54"/>
      <c r="F263" s="34">
        <f>F264</f>
        <v>0</v>
      </c>
      <c r="G263" s="34">
        <f>G264</f>
        <v>0</v>
      </c>
      <c r="H263" s="34">
        <f>H264</f>
        <v>0</v>
      </c>
      <c r="I263" s="27" t="e">
        <f>H263-#REF!</f>
        <v>#REF!</v>
      </c>
    </row>
    <row r="264" spans="1:9" ht="39.75" hidden="1" customHeight="1">
      <c r="A264" s="95" t="s">
        <v>66</v>
      </c>
      <c r="B264" s="19" t="s">
        <v>304</v>
      </c>
      <c r="C264" s="54" t="s">
        <v>87</v>
      </c>
      <c r="D264" s="54" t="s">
        <v>36</v>
      </c>
      <c r="E264" s="54" t="s">
        <v>62</v>
      </c>
      <c r="F264" s="34"/>
      <c r="G264" s="34"/>
      <c r="H264" s="34"/>
      <c r="I264" s="27" t="e">
        <f>H264-#REF!</f>
        <v>#REF!</v>
      </c>
    </row>
    <row r="265" spans="1:9" ht="25.5" customHeight="1">
      <c r="A265" s="95" t="s">
        <v>305</v>
      </c>
      <c r="B265" s="19" t="s">
        <v>306</v>
      </c>
      <c r="C265" s="54" t="s">
        <v>87</v>
      </c>
      <c r="D265" s="54" t="s">
        <v>36</v>
      </c>
      <c r="E265" s="54"/>
      <c r="F265" s="34">
        <f>F266</f>
        <v>1230</v>
      </c>
      <c r="G265" s="34">
        <f>G266</f>
        <v>2200</v>
      </c>
      <c r="H265" s="34">
        <f>H266</f>
        <v>2200</v>
      </c>
      <c r="I265" s="27"/>
    </row>
    <row r="266" spans="1:9" ht="17.25" customHeight="1">
      <c r="A266" s="43" t="s">
        <v>40</v>
      </c>
      <c r="B266" s="19" t="s">
        <v>306</v>
      </c>
      <c r="C266" s="54" t="s">
        <v>87</v>
      </c>
      <c r="D266" s="54" t="s">
        <v>36</v>
      </c>
      <c r="E266" s="54" t="s">
        <v>41</v>
      </c>
      <c r="F266" s="34">
        <f>2200-970</f>
        <v>1230</v>
      </c>
      <c r="G266" s="34">
        <v>2200</v>
      </c>
      <c r="H266" s="34">
        <v>2200</v>
      </c>
      <c r="I266" s="27"/>
    </row>
    <row r="267" spans="1:9" ht="38.25">
      <c r="A267" s="55" t="s">
        <v>307</v>
      </c>
      <c r="B267" s="19" t="s">
        <v>308</v>
      </c>
      <c r="C267" s="54"/>
      <c r="D267" s="54"/>
      <c r="E267" s="54"/>
      <c r="F267" s="34">
        <f>F268</f>
        <v>5805.6</v>
      </c>
      <c r="G267" s="34">
        <f>G268</f>
        <v>5805.6</v>
      </c>
      <c r="H267" s="34">
        <f>H268</f>
        <v>5805.6</v>
      </c>
      <c r="I267" s="27" t="e">
        <f>H267-#REF!</f>
        <v>#REF!</v>
      </c>
    </row>
    <row r="268" spans="1:9" ht="51">
      <c r="A268" s="91" t="s">
        <v>309</v>
      </c>
      <c r="B268" s="19" t="s">
        <v>310</v>
      </c>
      <c r="C268" s="54"/>
      <c r="D268" s="54"/>
      <c r="E268" s="54"/>
      <c r="F268" s="34">
        <f>F270+F271+F272+F274+F273+F269</f>
        <v>5805.6</v>
      </c>
      <c r="G268" s="34">
        <f>G270+G271+G272+G274+G273+G269</f>
        <v>5805.6</v>
      </c>
      <c r="H268" s="34">
        <f>H270+H271+H272+H274+H273+H269</f>
        <v>5805.6</v>
      </c>
      <c r="I268" s="27" t="e">
        <f>H268-#REF!</f>
        <v>#REF!</v>
      </c>
    </row>
    <row r="269" spans="1:9" hidden="1">
      <c r="A269" s="43" t="s">
        <v>40</v>
      </c>
      <c r="B269" s="19" t="s">
        <v>310</v>
      </c>
      <c r="C269" s="30" t="s">
        <v>87</v>
      </c>
      <c r="D269" s="30" t="s">
        <v>22</v>
      </c>
      <c r="E269" s="54" t="s">
        <v>41</v>
      </c>
      <c r="F269" s="34">
        <v>0</v>
      </c>
      <c r="G269" s="34">
        <v>0</v>
      </c>
      <c r="H269" s="34">
        <v>0</v>
      </c>
      <c r="I269" s="27" t="e">
        <f>H269-#REF!</f>
        <v>#REF!</v>
      </c>
    </row>
    <row r="270" spans="1:9">
      <c r="A270" s="43" t="s">
        <v>40</v>
      </c>
      <c r="B270" s="19" t="s">
        <v>310</v>
      </c>
      <c r="C270" s="54" t="s">
        <v>87</v>
      </c>
      <c r="D270" s="54" t="s">
        <v>160</v>
      </c>
      <c r="E270" s="54" t="s">
        <v>41</v>
      </c>
      <c r="F270" s="34">
        <f>407.1+3693.3</f>
        <v>4100.4000000000005</v>
      </c>
      <c r="G270" s="34">
        <f>407.1+3693.3</f>
        <v>4100.4000000000005</v>
      </c>
      <c r="H270" s="34">
        <f>407.1+3693.3</f>
        <v>4100.4000000000005</v>
      </c>
      <c r="I270" s="27" t="e">
        <f>H270-#REF!</f>
        <v>#REF!</v>
      </c>
    </row>
    <row r="271" spans="1:9" ht="25.5" hidden="1">
      <c r="A271" s="43" t="s">
        <v>38</v>
      </c>
      <c r="B271" s="19" t="s">
        <v>310</v>
      </c>
      <c r="C271" s="54" t="s">
        <v>87</v>
      </c>
      <c r="D271" s="54" t="s">
        <v>88</v>
      </c>
      <c r="E271" s="54" t="s">
        <v>39</v>
      </c>
      <c r="F271" s="34"/>
      <c r="G271" s="34"/>
      <c r="H271" s="34"/>
      <c r="I271" s="27" t="e">
        <f>H271-#REF!</f>
        <v>#REF!</v>
      </c>
    </row>
    <row r="272" spans="1:9">
      <c r="A272" s="43" t="s">
        <v>44</v>
      </c>
      <c r="B272" s="19" t="s">
        <v>310</v>
      </c>
      <c r="C272" s="54" t="s">
        <v>35</v>
      </c>
      <c r="D272" s="54" t="s">
        <v>36</v>
      </c>
      <c r="E272" s="54" t="s">
        <v>45</v>
      </c>
      <c r="F272" s="34">
        <v>1705.2</v>
      </c>
      <c r="G272" s="34">
        <v>1705.2</v>
      </c>
      <c r="H272" s="34">
        <v>1705.2</v>
      </c>
      <c r="I272" s="27" t="e">
        <f>H272-#REF!</f>
        <v>#REF!</v>
      </c>
    </row>
    <row r="273" spans="1:9" ht="25.5" hidden="1">
      <c r="A273" s="96" t="s">
        <v>28</v>
      </c>
      <c r="B273" s="19" t="s">
        <v>310</v>
      </c>
      <c r="C273" s="54" t="s">
        <v>35</v>
      </c>
      <c r="D273" s="54" t="s">
        <v>23</v>
      </c>
      <c r="E273" s="54" t="s">
        <v>29</v>
      </c>
      <c r="F273" s="34">
        <f>9-9</f>
        <v>0</v>
      </c>
      <c r="G273" s="34">
        <f>9-9</f>
        <v>0</v>
      </c>
      <c r="H273" s="34">
        <f>9-9</f>
        <v>0</v>
      </c>
      <c r="I273" s="27" t="e">
        <f>H273-#REF!</f>
        <v>#REF!</v>
      </c>
    </row>
    <row r="274" spans="1:9" ht="25.5" hidden="1">
      <c r="A274" s="43" t="s">
        <v>38</v>
      </c>
      <c r="B274" s="19" t="s">
        <v>310</v>
      </c>
      <c r="C274" s="54" t="s">
        <v>35</v>
      </c>
      <c r="D274" s="54" t="s">
        <v>23</v>
      </c>
      <c r="E274" s="54" t="s">
        <v>41</v>
      </c>
      <c r="F274" s="34"/>
      <c r="G274" s="34"/>
      <c r="H274" s="34"/>
      <c r="I274" s="27" t="e">
        <f>H274-#REF!</f>
        <v>#REF!</v>
      </c>
    </row>
    <row r="275" spans="1:9" ht="38.25">
      <c r="A275" s="43" t="s">
        <v>311</v>
      </c>
      <c r="B275" s="19" t="s">
        <v>312</v>
      </c>
      <c r="C275" s="54"/>
      <c r="D275" s="54"/>
      <c r="E275" s="54"/>
      <c r="F275" s="34">
        <f>F276+F278+F280+F282</f>
        <v>240</v>
      </c>
      <c r="G275" s="34">
        <f>G276+G278+G280+G282</f>
        <v>240</v>
      </c>
      <c r="H275" s="34">
        <f>H276+H278+H280+H282</f>
        <v>240</v>
      </c>
      <c r="I275" s="27" t="e">
        <f>H275-#REF!</f>
        <v>#REF!</v>
      </c>
    </row>
    <row r="276" spans="1:9" hidden="1">
      <c r="A276" s="91" t="s">
        <v>272</v>
      </c>
      <c r="B276" s="19" t="s">
        <v>313</v>
      </c>
      <c r="C276" s="54" t="s">
        <v>87</v>
      </c>
      <c r="D276" s="54" t="s">
        <v>22</v>
      </c>
      <c r="E276" s="54"/>
      <c r="F276" s="34">
        <f>F277</f>
        <v>0</v>
      </c>
      <c r="G276" s="34">
        <f>G277</f>
        <v>0</v>
      </c>
      <c r="H276" s="34">
        <f>H277</f>
        <v>0</v>
      </c>
      <c r="I276" s="27" t="e">
        <f>H276-#REF!</f>
        <v>#REF!</v>
      </c>
    </row>
    <row r="277" spans="1:9" hidden="1">
      <c r="A277" s="43" t="s">
        <v>40</v>
      </c>
      <c r="B277" s="19" t="s">
        <v>313</v>
      </c>
      <c r="C277" s="54" t="s">
        <v>87</v>
      </c>
      <c r="D277" s="54" t="s">
        <v>22</v>
      </c>
      <c r="E277" s="54" t="s">
        <v>41</v>
      </c>
      <c r="F277" s="34">
        <v>0</v>
      </c>
      <c r="G277" s="34">
        <v>0</v>
      </c>
      <c r="H277" s="34">
        <v>0</v>
      </c>
      <c r="I277" s="27" t="e">
        <f>H277-#REF!</f>
        <v>#REF!</v>
      </c>
    </row>
    <row r="278" spans="1:9" hidden="1">
      <c r="A278" s="91" t="s">
        <v>283</v>
      </c>
      <c r="B278" s="19" t="s">
        <v>314</v>
      </c>
      <c r="C278" s="54" t="s">
        <v>87</v>
      </c>
      <c r="D278" s="54" t="s">
        <v>160</v>
      </c>
      <c r="E278" s="54"/>
      <c r="F278" s="34">
        <f>F279</f>
        <v>0</v>
      </c>
      <c r="G278" s="34">
        <f>G279</f>
        <v>0</v>
      </c>
      <c r="H278" s="34">
        <f>H279</f>
        <v>0</v>
      </c>
      <c r="I278" s="27" t="e">
        <f>H278-#REF!</f>
        <v>#REF!</v>
      </c>
    </row>
    <row r="279" spans="1:9" hidden="1">
      <c r="A279" s="43" t="s">
        <v>40</v>
      </c>
      <c r="B279" s="19" t="s">
        <v>314</v>
      </c>
      <c r="C279" s="54" t="s">
        <v>87</v>
      </c>
      <c r="D279" s="54" t="s">
        <v>160</v>
      </c>
      <c r="E279" s="54" t="s">
        <v>41</v>
      </c>
      <c r="F279" s="34">
        <v>0</v>
      </c>
      <c r="G279" s="34">
        <v>0</v>
      </c>
      <c r="H279" s="34">
        <v>0</v>
      </c>
      <c r="I279" s="27" t="e">
        <f>H279-#REF!</f>
        <v>#REF!</v>
      </c>
    </row>
    <row r="280" spans="1:9" hidden="1">
      <c r="A280" s="64" t="s">
        <v>212</v>
      </c>
      <c r="B280" s="19" t="s">
        <v>315</v>
      </c>
      <c r="C280" s="54" t="s">
        <v>87</v>
      </c>
      <c r="D280" s="54" t="s">
        <v>36</v>
      </c>
      <c r="E280" s="54"/>
      <c r="F280" s="34">
        <f>F281</f>
        <v>0</v>
      </c>
      <c r="G280" s="34">
        <f>G281</f>
        <v>0</v>
      </c>
      <c r="H280" s="34">
        <f>H281</f>
        <v>0</v>
      </c>
      <c r="I280" s="27" t="e">
        <f>H280-#REF!</f>
        <v>#REF!</v>
      </c>
    </row>
    <row r="281" spans="1:9" hidden="1">
      <c r="A281" s="43" t="s">
        <v>40</v>
      </c>
      <c r="B281" s="19" t="s">
        <v>315</v>
      </c>
      <c r="C281" s="54" t="s">
        <v>87</v>
      </c>
      <c r="D281" s="54" t="s">
        <v>36</v>
      </c>
      <c r="E281" s="54" t="s">
        <v>41</v>
      </c>
      <c r="F281" s="34"/>
      <c r="G281" s="34"/>
      <c r="H281" s="34"/>
      <c r="I281" s="27" t="e">
        <f>H281-#REF!</f>
        <v>#REF!</v>
      </c>
    </row>
    <row r="282" spans="1:9">
      <c r="A282" s="58" t="s">
        <v>161</v>
      </c>
      <c r="B282" s="19" t="s">
        <v>316</v>
      </c>
      <c r="C282" s="54" t="s">
        <v>87</v>
      </c>
      <c r="D282" s="54" t="s">
        <v>88</v>
      </c>
      <c r="E282" s="54"/>
      <c r="F282" s="34">
        <f>F283</f>
        <v>240</v>
      </c>
      <c r="G282" s="34">
        <f>G283</f>
        <v>240</v>
      </c>
      <c r="H282" s="34">
        <f>H283</f>
        <v>240</v>
      </c>
      <c r="I282" s="27" t="e">
        <f>H282-#REF!</f>
        <v>#REF!</v>
      </c>
    </row>
    <row r="283" spans="1:9" ht="25.5">
      <c r="A283" s="58" t="s">
        <v>28</v>
      </c>
      <c r="B283" s="19" t="s">
        <v>316</v>
      </c>
      <c r="C283" s="54" t="s">
        <v>87</v>
      </c>
      <c r="D283" s="54" t="s">
        <v>88</v>
      </c>
      <c r="E283" s="54" t="s">
        <v>29</v>
      </c>
      <c r="F283" s="34">
        <v>240</v>
      </c>
      <c r="G283" s="34">
        <v>240</v>
      </c>
      <c r="H283" s="34">
        <v>240</v>
      </c>
      <c r="I283" s="27" t="e">
        <f>H283-#REF!</f>
        <v>#REF!</v>
      </c>
    </row>
    <row r="284" spans="1:9" ht="25.5">
      <c r="A284" s="43" t="s">
        <v>317</v>
      </c>
      <c r="B284" s="19" t="s">
        <v>318</v>
      </c>
      <c r="C284" s="60"/>
      <c r="D284" s="60"/>
      <c r="E284" s="60"/>
      <c r="F284" s="34">
        <f>F285+F287+F289</f>
        <v>370</v>
      </c>
      <c r="G284" s="34">
        <f>G285+G287+G289</f>
        <v>150</v>
      </c>
      <c r="H284" s="34">
        <f>H285+H287+H289</f>
        <v>150</v>
      </c>
      <c r="I284" s="27" t="e">
        <f>H284-#REF!</f>
        <v>#REF!</v>
      </c>
    </row>
    <row r="285" spans="1:9">
      <c r="A285" s="91" t="s">
        <v>283</v>
      </c>
      <c r="B285" s="19" t="s">
        <v>319</v>
      </c>
      <c r="C285" s="54" t="s">
        <v>87</v>
      </c>
      <c r="D285" s="54" t="s">
        <v>160</v>
      </c>
      <c r="E285" s="54"/>
      <c r="F285" s="34">
        <f>F286</f>
        <v>50</v>
      </c>
      <c r="G285" s="34">
        <f>G286</f>
        <v>50</v>
      </c>
      <c r="H285" s="34">
        <f>H286</f>
        <v>50</v>
      </c>
      <c r="I285" s="27" t="e">
        <f>H285-#REF!</f>
        <v>#REF!</v>
      </c>
    </row>
    <row r="286" spans="1:9">
      <c r="A286" s="43" t="s">
        <v>40</v>
      </c>
      <c r="B286" s="19" t="s">
        <v>319</v>
      </c>
      <c r="C286" s="54" t="s">
        <v>87</v>
      </c>
      <c r="D286" s="54" t="s">
        <v>160</v>
      </c>
      <c r="E286" s="54" t="s">
        <v>41</v>
      </c>
      <c r="F286" s="34">
        <v>50</v>
      </c>
      <c r="G286" s="34">
        <v>50</v>
      </c>
      <c r="H286" s="34">
        <v>50</v>
      </c>
      <c r="I286" s="27" t="e">
        <f>H286-#REF!</f>
        <v>#REF!</v>
      </c>
    </row>
    <row r="287" spans="1:9">
      <c r="A287" s="64" t="s">
        <v>212</v>
      </c>
      <c r="B287" s="19" t="s">
        <v>320</v>
      </c>
      <c r="C287" s="54" t="s">
        <v>87</v>
      </c>
      <c r="D287" s="54" t="s">
        <v>36</v>
      </c>
      <c r="E287" s="54"/>
      <c r="F287" s="34">
        <f>F288</f>
        <v>50</v>
      </c>
      <c r="G287" s="34">
        <f>G288</f>
        <v>50</v>
      </c>
      <c r="H287" s="34">
        <f>H288</f>
        <v>50</v>
      </c>
      <c r="I287" s="27" t="e">
        <f>H287-#REF!</f>
        <v>#REF!</v>
      </c>
    </row>
    <row r="288" spans="1:9">
      <c r="A288" s="43" t="s">
        <v>40</v>
      </c>
      <c r="B288" s="19" t="s">
        <v>320</v>
      </c>
      <c r="C288" s="54" t="s">
        <v>87</v>
      </c>
      <c r="D288" s="54" t="s">
        <v>36</v>
      </c>
      <c r="E288" s="54" t="s">
        <v>41</v>
      </c>
      <c r="F288" s="34">
        <v>50</v>
      </c>
      <c r="G288" s="34">
        <v>50</v>
      </c>
      <c r="H288" s="34">
        <v>50</v>
      </c>
      <c r="I288" s="27" t="e">
        <f>H288-#REF!</f>
        <v>#REF!</v>
      </c>
    </row>
    <row r="289" spans="1:10">
      <c r="A289" s="64" t="s">
        <v>321</v>
      </c>
      <c r="B289" s="19" t="s">
        <v>322</v>
      </c>
      <c r="C289" s="54" t="s">
        <v>87</v>
      </c>
      <c r="D289" s="54" t="s">
        <v>88</v>
      </c>
      <c r="E289" s="54"/>
      <c r="F289" s="34">
        <f>F290+F291</f>
        <v>270</v>
      </c>
      <c r="G289" s="34">
        <f>G290+G291</f>
        <v>50</v>
      </c>
      <c r="H289" s="34">
        <f>H290+H291</f>
        <v>50</v>
      </c>
      <c r="I289" s="27" t="e">
        <f>H289-#REF!</f>
        <v>#REF!</v>
      </c>
    </row>
    <row r="290" spans="1:10">
      <c r="A290" s="58" t="s">
        <v>26</v>
      </c>
      <c r="B290" s="19" t="s">
        <v>322</v>
      </c>
      <c r="C290" s="54" t="s">
        <v>87</v>
      </c>
      <c r="D290" s="54" t="s">
        <v>88</v>
      </c>
      <c r="E290" s="54" t="s">
        <v>27</v>
      </c>
      <c r="F290" s="34">
        <v>66</v>
      </c>
      <c r="G290" s="34">
        <v>30</v>
      </c>
      <c r="H290" s="34">
        <v>30</v>
      </c>
      <c r="I290" s="27" t="e">
        <f>H290-#REF!</f>
        <v>#REF!</v>
      </c>
    </row>
    <row r="291" spans="1:10" ht="25.5">
      <c r="A291" s="58" t="s">
        <v>28</v>
      </c>
      <c r="B291" s="19" t="s">
        <v>322</v>
      </c>
      <c r="C291" s="54" t="s">
        <v>87</v>
      </c>
      <c r="D291" s="54" t="s">
        <v>88</v>
      </c>
      <c r="E291" s="54" t="s">
        <v>29</v>
      </c>
      <c r="F291" s="34">
        <v>204</v>
      </c>
      <c r="G291" s="34">
        <v>20</v>
      </c>
      <c r="H291" s="34">
        <v>20</v>
      </c>
      <c r="I291" s="27" t="e">
        <f>H291-#REF!</f>
        <v>#REF!</v>
      </c>
    </row>
    <row r="292" spans="1:10" ht="25.5">
      <c r="A292" s="43" t="s">
        <v>323</v>
      </c>
      <c r="B292" s="19" t="s">
        <v>324</v>
      </c>
      <c r="C292" s="54"/>
      <c r="D292" s="54"/>
      <c r="E292" s="54"/>
      <c r="F292" s="34">
        <f>F293+F295+F297</f>
        <v>0</v>
      </c>
      <c r="G292" s="34">
        <f>G293+G295+G297</f>
        <v>600</v>
      </c>
      <c r="H292" s="34">
        <f>H293+H295+H297</f>
        <v>600</v>
      </c>
      <c r="I292" s="27" t="e">
        <f>H292-#REF!</f>
        <v>#REF!</v>
      </c>
    </row>
    <row r="293" spans="1:10">
      <c r="A293" s="91" t="s">
        <v>283</v>
      </c>
      <c r="B293" s="19" t="s">
        <v>325</v>
      </c>
      <c r="C293" s="54" t="s">
        <v>87</v>
      </c>
      <c r="D293" s="54" t="s">
        <v>88</v>
      </c>
      <c r="E293" s="54"/>
      <c r="F293" s="34">
        <f>F294</f>
        <v>0</v>
      </c>
      <c r="G293" s="34">
        <f>G294</f>
        <v>388</v>
      </c>
      <c r="H293" s="34">
        <f>H294</f>
        <v>388</v>
      </c>
      <c r="I293" s="27" t="e">
        <f>H293-#REF!</f>
        <v>#REF!</v>
      </c>
    </row>
    <row r="294" spans="1:10">
      <c r="A294" s="43" t="s">
        <v>40</v>
      </c>
      <c r="B294" s="19" t="s">
        <v>325</v>
      </c>
      <c r="C294" s="54" t="s">
        <v>87</v>
      </c>
      <c r="D294" s="54" t="s">
        <v>88</v>
      </c>
      <c r="E294" s="54" t="s">
        <v>41</v>
      </c>
      <c r="F294" s="34">
        <f>388-388</f>
        <v>0</v>
      </c>
      <c r="G294" s="34">
        <v>388</v>
      </c>
      <c r="H294" s="34">
        <v>388</v>
      </c>
      <c r="I294" s="27" t="e">
        <f>H294-#REF!</f>
        <v>#REF!</v>
      </c>
    </row>
    <row r="295" spans="1:10">
      <c r="A295" s="91" t="s">
        <v>272</v>
      </c>
      <c r="B295" s="19" t="s">
        <v>326</v>
      </c>
      <c r="C295" s="54" t="s">
        <v>87</v>
      </c>
      <c r="D295" s="54" t="s">
        <v>88</v>
      </c>
      <c r="E295" s="54"/>
      <c r="F295" s="34">
        <f>F296</f>
        <v>0</v>
      </c>
      <c r="G295" s="34">
        <f>G296</f>
        <v>82</v>
      </c>
      <c r="H295" s="34">
        <f>H296</f>
        <v>82</v>
      </c>
      <c r="I295" s="27" t="e">
        <f>H295-#REF!</f>
        <v>#REF!</v>
      </c>
    </row>
    <row r="296" spans="1:10">
      <c r="A296" s="43" t="s">
        <v>40</v>
      </c>
      <c r="B296" s="19" t="s">
        <v>326</v>
      </c>
      <c r="C296" s="54" t="s">
        <v>87</v>
      </c>
      <c r="D296" s="54" t="s">
        <v>88</v>
      </c>
      <c r="E296" s="54" t="s">
        <v>41</v>
      </c>
      <c r="F296" s="34">
        <f>82-82</f>
        <v>0</v>
      </c>
      <c r="G296" s="34">
        <v>82</v>
      </c>
      <c r="H296" s="34">
        <v>82</v>
      </c>
      <c r="I296" s="27" t="e">
        <f>H296-#REF!</f>
        <v>#REF!</v>
      </c>
    </row>
    <row r="297" spans="1:10">
      <c r="A297" s="64" t="s">
        <v>212</v>
      </c>
      <c r="B297" s="19" t="s">
        <v>327</v>
      </c>
      <c r="C297" s="54" t="s">
        <v>87</v>
      </c>
      <c r="D297" s="54" t="s">
        <v>88</v>
      </c>
      <c r="E297" s="54"/>
      <c r="F297" s="34">
        <f>F298</f>
        <v>0</v>
      </c>
      <c r="G297" s="34">
        <f>G298</f>
        <v>130</v>
      </c>
      <c r="H297" s="34">
        <f>H298</f>
        <v>130</v>
      </c>
      <c r="I297" s="27" t="e">
        <f>H297-#REF!</f>
        <v>#REF!</v>
      </c>
    </row>
    <row r="298" spans="1:10">
      <c r="A298" s="43" t="s">
        <v>40</v>
      </c>
      <c r="B298" s="19" t="s">
        <v>327</v>
      </c>
      <c r="C298" s="54" t="s">
        <v>87</v>
      </c>
      <c r="D298" s="54" t="s">
        <v>88</v>
      </c>
      <c r="E298" s="54" t="s">
        <v>41</v>
      </c>
      <c r="F298" s="34">
        <f>130-130</f>
        <v>0</v>
      </c>
      <c r="G298" s="34">
        <v>130</v>
      </c>
      <c r="H298" s="34">
        <v>130</v>
      </c>
      <c r="I298" s="27" t="e">
        <f>H298-#REF!</f>
        <v>#REF!</v>
      </c>
    </row>
    <row r="299" spans="1:10" ht="25.5" hidden="1">
      <c r="A299" s="78" t="s">
        <v>328</v>
      </c>
      <c r="B299" s="19" t="s">
        <v>329</v>
      </c>
      <c r="C299" s="54" t="s">
        <v>87</v>
      </c>
      <c r="D299" s="54" t="s">
        <v>160</v>
      </c>
      <c r="E299" s="54"/>
      <c r="F299" s="34">
        <f>F300</f>
        <v>0</v>
      </c>
      <c r="G299" s="34">
        <f>G301</f>
        <v>0</v>
      </c>
      <c r="H299" s="34">
        <f>H301</f>
        <v>0</v>
      </c>
      <c r="I299" s="27" t="e">
        <f>H299-#REF!</f>
        <v>#REF!</v>
      </c>
    </row>
    <row r="300" spans="1:10" ht="38.25" hidden="1">
      <c r="A300" s="78" t="s">
        <v>330</v>
      </c>
      <c r="B300" s="19" t="s">
        <v>331</v>
      </c>
      <c r="C300" s="54" t="s">
        <v>87</v>
      </c>
      <c r="D300" s="54" t="s">
        <v>160</v>
      </c>
      <c r="E300" s="54"/>
      <c r="F300" s="34">
        <f>F301+F302</f>
        <v>0</v>
      </c>
      <c r="G300" s="34">
        <f>G301</f>
        <v>0</v>
      </c>
      <c r="H300" s="34">
        <f>H301</f>
        <v>0</v>
      </c>
      <c r="I300" s="27" t="e">
        <f>H300-#REF!</f>
        <v>#REF!</v>
      </c>
    </row>
    <row r="301" spans="1:10" ht="17.25" hidden="1" customHeight="1">
      <c r="A301" s="43" t="s">
        <v>332</v>
      </c>
      <c r="B301" s="19" t="s">
        <v>331</v>
      </c>
      <c r="C301" s="54" t="s">
        <v>87</v>
      </c>
      <c r="D301" s="54" t="s">
        <v>160</v>
      </c>
      <c r="E301" s="54" t="s">
        <v>237</v>
      </c>
      <c r="F301" s="34"/>
      <c r="G301" s="34"/>
      <c r="H301" s="34"/>
      <c r="I301" s="27" t="e">
        <f>H301-#REF!</f>
        <v>#REF!</v>
      </c>
      <c r="J301" s="46"/>
    </row>
    <row r="302" spans="1:10" hidden="1">
      <c r="A302" s="43" t="s">
        <v>40</v>
      </c>
      <c r="B302" s="19" t="s">
        <v>331</v>
      </c>
      <c r="C302" s="54" t="s">
        <v>87</v>
      </c>
      <c r="D302" s="54" t="s">
        <v>160</v>
      </c>
      <c r="E302" s="54" t="s">
        <v>41</v>
      </c>
      <c r="F302" s="34"/>
      <c r="G302" s="34"/>
      <c r="H302" s="34"/>
      <c r="I302" s="27" t="e">
        <f>H302-#REF!</f>
        <v>#REF!</v>
      </c>
    </row>
    <row r="303" spans="1:10" ht="25.5" hidden="1">
      <c r="A303" s="43" t="s">
        <v>333</v>
      </c>
      <c r="B303" s="19" t="s">
        <v>334</v>
      </c>
      <c r="C303" s="54"/>
      <c r="D303" s="54"/>
      <c r="E303" s="54"/>
      <c r="F303" s="34">
        <f t="shared" ref="F303:H304" si="11">F304</f>
        <v>0</v>
      </c>
      <c r="G303" s="34">
        <f t="shared" si="11"/>
        <v>0</v>
      </c>
      <c r="H303" s="34">
        <f t="shared" si="11"/>
        <v>0</v>
      </c>
      <c r="I303" s="27" t="e">
        <f>H303-#REF!</f>
        <v>#REF!</v>
      </c>
    </row>
    <row r="304" spans="1:10" ht="51" hidden="1">
      <c r="A304" s="43" t="s">
        <v>335</v>
      </c>
      <c r="B304" s="19" t="s">
        <v>336</v>
      </c>
      <c r="C304" s="54" t="s">
        <v>87</v>
      </c>
      <c r="D304" s="54" t="s">
        <v>160</v>
      </c>
      <c r="E304" s="54"/>
      <c r="F304" s="34">
        <f t="shared" si="11"/>
        <v>0</v>
      </c>
      <c r="G304" s="34">
        <f t="shared" si="11"/>
        <v>0</v>
      </c>
      <c r="H304" s="34">
        <f t="shared" si="11"/>
        <v>0</v>
      </c>
      <c r="I304" s="27" t="e">
        <f>H304-#REF!</f>
        <v>#REF!</v>
      </c>
    </row>
    <row r="305" spans="1:9" hidden="1">
      <c r="A305" s="43" t="s">
        <v>84</v>
      </c>
      <c r="B305" s="19" t="s">
        <v>336</v>
      </c>
      <c r="C305" s="54" t="s">
        <v>87</v>
      </c>
      <c r="D305" s="54" t="s">
        <v>160</v>
      </c>
      <c r="E305" s="54" t="s">
        <v>29</v>
      </c>
      <c r="F305" s="34"/>
      <c r="G305" s="34"/>
      <c r="H305" s="34"/>
      <c r="I305" s="27" t="e">
        <f>H305-#REF!</f>
        <v>#REF!</v>
      </c>
    </row>
    <row r="306" spans="1:9" ht="25.5" hidden="1">
      <c r="A306" s="43" t="s">
        <v>337</v>
      </c>
      <c r="B306" s="19" t="s">
        <v>338</v>
      </c>
      <c r="C306" s="54"/>
      <c r="D306" s="54"/>
      <c r="E306" s="54"/>
      <c r="F306" s="34">
        <f t="shared" ref="F306:H307" si="12">F307</f>
        <v>0</v>
      </c>
      <c r="G306" s="34">
        <f t="shared" si="12"/>
        <v>0</v>
      </c>
      <c r="H306" s="34">
        <f t="shared" si="12"/>
        <v>0</v>
      </c>
      <c r="I306" s="27" t="e">
        <f>H306-#REF!</f>
        <v>#REF!</v>
      </c>
    </row>
    <row r="307" spans="1:9" ht="38.25" hidden="1">
      <c r="A307" s="89" t="s">
        <v>339</v>
      </c>
      <c r="B307" s="19" t="s">
        <v>340</v>
      </c>
      <c r="C307" s="54" t="s">
        <v>87</v>
      </c>
      <c r="D307" s="54" t="s">
        <v>160</v>
      </c>
      <c r="E307" s="54"/>
      <c r="F307" s="34">
        <f t="shared" si="12"/>
        <v>0</v>
      </c>
      <c r="G307" s="34">
        <f t="shared" si="12"/>
        <v>0</v>
      </c>
      <c r="H307" s="34">
        <f t="shared" si="12"/>
        <v>0</v>
      </c>
      <c r="I307" s="27" t="e">
        <f>H307-#REF!</f>
        <v>#REF!</v>
      </c>
    </row>
    <row r="308" spans="1:9" hidden="1">
      <c r="A308" s="43" t="s">
        <v>84</v>
      </c>
      <c r="B308" s="19" t="s">
        <v>340</v>
      </c>
      <c r="C308" s="54" t="s">
        <v>87</v>
      </c>
      <c r="D308" s="54" t="s">
        <v>160</v>
      </c>
      <c r="E308" s="54" t="s">
        <v>41</v>
      </c>
      <c r="F308" s="34">
        <v>0</v>
      </c>
      <c r="G308" s="34">
        <v>0</v>
      </c>
      <c r="H308" s="34">
        <v>0</v>
      </c>
      <c r="I308" s="27" t="e">
        <f>H308-#REF!</f>
        <v>#REF!</v>
      </c>
    </row>
    <row r="309" spans="1:9" ht="25.5" hidden="1">
      <c r="A309" s="43" t="s">
        <v>341</v>
      </c>
      <c r="B309" s="19" t="s">
        <v>342</v>
      </c>
      <c r="C309" s="54"/>
      <c r="D309" s="54"/>
      <c r="E309" s="54"/>
      <c r="F309" s="34">
        <f t="shared" ref="F309:H310" si="13">F310</f>
        <v>0</v>
      </c>
      <c r="G309" s="34">
        <f t="shared" si="13"/>
        <v>0</v>
      </c>
      <c r="H309" s="34">
        <f t="shared" si="13"/>
        <v>0</v>
      </c>
      <c r="I309" s="27" t="e">
        <f>H309-#REF!</f>
        <v>#REF!</v>
      </c>
    </row>
    <row r="310" spans="1:9" ht="38.25" hidden="1">
      <c r="A310" s="43" t="s">
        <v>343</v>
      </c>
      <c r="B310" s="19" t="s">
        <v>344</v>
      </c>
      <c r="C310" s="54" t="s">
        <v>87</v>
      </c>
      <c r="D310" s="54" t="s">
        <v>160</v>
      </c>
      <c r="E310" s="54"/>
      <c r="F310" s="34">
        <f t="shared" si="13"/>
        <v>0</v>
      </c>
      <c r="G310" s="34">
        <f t="shared" si="13"/>
        <v>0</v>
      </c>
      <c r="H310" s="34">
        <f t="shared" si="13"/>
        <v>0</v>
      </c>
      <c r="I310" s="27" t="e">
        <f>H310-#REF!</f>
        <v>#REF!</v>
      </c>
    </row>
    <row r="311" spans="1:9" hidden="1">
      <c r="A311" s="43" t="s">
        <v>84</v>
      </c>
      <c r="B311" s="19" t="s">
        <v>344</v>
      </c>
      <c r="C311" s="54" t="s">
        <v>87</v>
      </c>
      <c r="D311" s="54" t="s">
        <v>160</v>
      </c>
      <c r="E311" s="54" t="s">
        <v>29</v>
      </c>
      <c r="F311" s="34"/>
      <c r="G311" s="34"/>
      <c r="H311" s="34"/>
      <c r="I311" s="27" t="e">
        <f>H311-#REF!</f>
        <v>#REF!</v>
      </c>
    </row>
    <row r="312" spans="1:9" ht="24.75" customHeight="1">
      <c r="A312" s="45" t="s">
        <v>345</v>
      </c>
      <c r="B312" s="19" t="s">
        <v>346</v>
      </c>
      <c r="C312" s="49"/>
      <c r="D312" s="54"/>
      <c r="E312" s="54"/>
      <c r="F312" s="34">
        <f t="shared" ref="F312:H313" si="14">F313</f>
        <v>782.8</v>
      </c>
      <c r="G312" s="34">
        <f t="shared" si="14"/>
        <v>782.8</v>
      </c>
      <c r="H312" s="34">
        <f t="shared" si="14"/>
        <v>638.79999999999995</v>
      </c>
      <c r="I312" s="27"/>
    </row>
    <row r="313" spans="1:9" ht="38.25">
      <c r="A313" s="45" t="s">
        <v>347</v>
      </c>
      <c r="B313" s="19" t="s">
        <v>348</v>
      </c>
      <c r="C313" s="54" t="s">
        <v>87</v>
      </c>
      <c r="D313" s="54" t="s">
        <v>160</v>
      </c>
      <c r="E313" s="54"/>
      <c r="F313" s="34">
        <f t="shared" si="14"/>
        <v>782.8</v>
      </c>
      <c r="G313" s="34">
        <f t="shared" si="14"/>
        <v>782.8</v>
      </c>
      <c r="H313" s="34">
        <f t="shared" si="14"/>
        <v>638.79999999999995</v>
      </c>
      <c r="I313" s="27"/>
    </row>
    <row r="314" spans="1:9">
      <c r="A314" s="45" t="s">
        <v>84</v>
      </c>
      <c r="B314" s="19" t="s">
        <v>348</v>
      </c>
      <c r="C314" s="54" t="s">
        <v>87</v>
      </c>
      <c r="D314" s="54" t="s">
        <v>160</v>
      </c>
      <c r="E314" s="54" t="s">
        <v>41</v>
      </c>
      <c r="F314" s="34">
        <f>782.8</f>
        <v>782.8</v>
      </c>
      <c r="G314" s="34">
        <f>782.8</f>
        <v>782.8</v>
      </c>
      <c r="H314" s="34">
        <f>638.8</f>
        <v>638.79999999999995</v>
      </c>
      <c r="I314" s="27"/>
    </row>
    <row r="315" spans="1:9" ht="15.75" customHeight="1">
      <c r="A315" s="33" t="s">
        <v>349</v>
      </c>
      <c r="B315" s="19" t="s">
        <v>350</v>
      </c>
      <c r="C315" s="54"/>
      <c r="D315" s="54"/>
      <c r="E315" s="54"/>
      <c r="F315" s="34">
        <f>F316+F323</f>
        <v>4972.5</v>
      </c>
      <c r="G315" s="34">
        <f>G316+G323</f>
        <v>5002.5</v>
      </c>
      <c r="H315" s="34">
        <f>H316+H323</f>
        <v>5002.5</v>
      </c>
      <c r="I315" s="27" t="e">
        <f>H315-#REF!</f>
        <v>#REF!</v>
      </c>
    </row>
    <row r="316" spans="1:9" ht="12" customHeight="1">
      <c r="A316" s="64" t="s">
        <v>351</v>
      </c>
      <c r="B316" s="19" t="s">
        <v>352</v>
      </c>
      <c r="C316" s="54" t="s">
        <v>87</v>
      </c>
      <c r="D316" s="54" t="s">
        <v>88</v>
      </c>
      <c r="E316" s="54"/>
      <c r="F316" s="34">
        <f>F317+F321</f>
        <v>4444</v>
      </c>
      <c r="G316" s="34">
        <f>G317+G321</f>
        <v>4474</v>
      </c>
      <c r="H316" s="34">
        <f>H317+H321</f>
        <v>4474</v>
      </c>
      <c r="I316" s="27" t="e">
        <f>H316-#REF!</f>
        <v>#REF!</v>
      </c>
    </row>
    <row r="317" spans="1:9">
      <c r="A317" s="64" t="s">
        <v>321</v>
      </c>
      <c r="B317" s="19" t="s">
        <v>353</v>
      </c>
      <c r="C317" s="54" t="s">
        <v>87</v>
      </c>
      <c r="D317" s="54" t="s">
        <v>88</v>
      </c>
      <c r="E317" s="54"/>
      <c r="F317" s="34">
        <f>F318+F319+F320</f>
        <v>4444</v>
      </c>
      <c r="G317" s="34">
        <f>G318+G319+G320</f>
        <v>4474</v>
      </c>
      <c r="H317" s="34">
        <f>H318+H319+H320</f>
        <v>4474</v>
      </c>
      <c r="I317" s="27" t="e">
        <f>H317-#REF!</f>
        <v>#REF!</v>
      </c>
    </row>
    <row r="318" spans="1:9">
      <c r="A318" s="58" t="s">
        <v>26</v>
      </c>
      <c r="B318" s="19" t="s">
        <v>353</v>
      </c>
      <c r="C318" s="54" t="s">
        <v>87</v>
      </c>
      <c r="D318" s="54" t="s">
        <v>88</v>
      </c>
      <c r="E318" s="54" t="s">
        <v>27</v>
      </c>
      <c r="F318" s="34">
        <f>4000.5+22</f>
        <v>4022.5</v>
      </c>
      <c r="G318" s="34">
        <f>4000.5+22</f>
        <v>4022.5</v>
      </c>
      <c r="H318" s="34">
        <f>4000.5+22</f>
        <v>4022.5</v>
      </c>
      <c r="I318" s="27" t="e">
        <f>H318-#REF!</f>
        <v>#REF!</v>
      </c>
    </row>
    <row r="319" spans="1:9" ht="25.5">
      <c r="A319" s="58" t="s">
        <v>28</v>
      </c>
      <c r="B319" s="19" t="s">
        <v>353</v>
      </c>
      <c r="C319" s="54" t="s">
        <v>87</v>
      </c>
      <c r="D319" s="54" t="s">
        <v>88</v>
      </c>
      <c r="E319" s="54" t="s">
        <v>29</v>
      </c>
      <c r="F319" s="34">
        <f>451.5-30</f>
        <v>421.5</v>
      </c>
      <c r="G319" s="34">
        <v>451.5</v>
      </c>
      <c r="H319" s="34">
        <v>451.5</v>
      </c>
      <c r="I319" s="27" t="e">
        <f>H319-#REF!</f>
        <v>#REF!</v>
      </c>
    </row>
    <row r="320" spans="1:9" hidden="1">
      <c r="A320" s="33" t="s">
        <v>151</v>
      </c>
      <c r="B320" s="19" t="s">
        <v>353</v>
      </c>
      <c r="C320" s="54" t="s">
        <v>87</v>
      </c>
      <c r="D320" s="54" t="s">
        <v>88</v>
      </c>
      <c r="E320" s="54" t="s">
        <v>113</v>
      </c>
      <c r="F320" s="34">
        <v>0</v>
      </c>
      <c r="G320" s="34">
        <v>0</v>
      </c>
      <c r="H320" s="34">
        <v>0</v>
      </c>
      <c r="I320" s="27"/>
    </row>
    <row r="321" spans="1:9" ht="102" hidden="1">
      <c r="A321" s="70" t="s">
        <v>176</v>
      </c>
      <c r="B321" s="19" t="s">
        <v>354</v>
      </c>
      <c r="C321" s="54" t="s">
        <v>87</v>
      </c>
      <c r="D321" s="54" t="s">
        <v>88</v>
      </c>
      <c r="E321" s="54"/>
      <c r="F321" s="34">
        <f>F322</f>
        <v>0</v>
      </c>
      <c r="G321" s="34">
        <f>G322</f>
        <v>0</v>
      </c>
      <c r="H321" s="34">
        <f>H322</f>
        <v>0</v>
      </c>
      <c r="I321" s="27" t="e">
        <f>H321-#REF!</f>
        <v>#REF!</v>
      </c>
    </row>
    <row r="322" spans="1:9" hidden="1">
      <c r="A322" s="70" t="s">
        <v>26</v>
      </c>
      <c r="B322" s="19" t="s">
        <v>354</v>
      </c>
      <c r="C322" s="54" t="s">
        <v>87</v>
      </c>
      <c r="D322" s="54" t="s">
        <v>88</v>
      </c>
      <c r="E322" s="54" t="s">
        <v>27</v>
      </c>
      <c r="F322" s="34"/>
      <c r="G322" s="34">
        <v>0</v>
      </c>
      <c r="H322" s="34">
        <v>0</v>
      </c>
      <c r="I322" s="27" t="e">
        <f>H322-#REF!</f>
        <v>#REF!</v>
      </c>
    </row>
    <row r="323" spans="1:9" ht="26.25" customHeight="1">
      <c r="A323" s="58" t="s">
        <v>355</v>
      </c>
      <c r="B323" s="19" t="s">
        <v>356</v>
      </c>
      <c r="C323" s="54" t="s">
        <v>87</v>
      </c>
      <c r="D323" s="54" t="s">
        <v>88</v>
      </c>
      <c r="E323" s="54"/>
      <c r="F323" s="34">
        <f t="shared" ref="F323:H324" si="15">F324</f>
        <v>528.5</v>
      </c>
      <c r="G323" s="34">
        <f t="shared" si="15"/>
        <v>528.5</v>
      </c>
      <c r="H323" s="34">
        <f t="shared" si="15"/>
        <v>528.5</v>
      </c>
      <c r="I323" s="27" t="e">
        <f>H323-#REF!</f>
        <v>#REF!</v>
      </c>
    </row>
    <row r="324" spans="1:9" ht="39.75" customHeight="1">
      <c r="A324" s="89" t="s">
        <v>357</v>
      </c>
      <c r="B324" s="19" t="s">
        <v>358</v>
      </c>
      <c r="C324" s="54" t="s">
        <v>87</v>
      </c>
      <c r="D324" s="54" t="s">
        <v>88</v>
      </c>
      <c r="E324" s="54"/>
      <c r="F324" s="34">
        <f t="shared" si="15"/>
        <v>528.5</v>
      </c>
      <c r="G324" s="34">
        <f t="shared" si="15"/>
        <v>528.5</v>
      </c>
      <c r="H324" s="34">
        <f t="shared" si="15"/>
        <v>528.5</v>
      </c>
      <c r="I324" s="27" t="e">
        <f>H324-#REF!</f>
        <v>#REF!</v>
      </c>
    </row>
    <row r="325" spans="1:9" ht="25.5">
      <c r="A325" s="58" t="s">
        <v>103</v>
      </c>
      <c r="B325" s="19" t="s">
        <v>358</v>
      </c>
      <c r="C325" s="54" t="s">
        <v>87</v>
      </c>
      <c r="D325" s="54" t="s">
        <v>88</v>
      </c>
      <c r="E325" s="54" t="s">
        <v>29</v>
      </c>
      <c r="F325" s="34">
        <f>523.2+5.3</f>
        <v>528.5</v>
      </c>
      <c r="G325" s="34">
        <f>523.2+5.3</f>
        <v>528.5</v>
      </c>
      <c r="H325" s="34">
        <f>523.2+5.3</f>
        <v>528.5</v>
      </c>
      <c r="I325" s="27" t="e">
        <f>H325-#REF!</f>
        <v>#REF!</v>
      </c>
    </row>
    <row r="326" spans="1:9" ht="25.5">
      <c r="A326" s="50" t="s">
        <v>359</v>
      </c>
      <c r="B326" s="51" t="s">
        <v>360</v>
      </c>
      <c r="C326" s="52"/>
      <c r="D326" s="52"/>
      <c r="E326" s="52"/>
      <c r="F326" s="57">
        <f>F327+F350+F372</f>
        <v>7988.5</v>
      </c>
      <c r="G326" s="57">
        <f>G327+G350+G372</f>
        <v>6463.3</v>
      </c>
      <c r="H326" s="57">
        <f>H327+H350+H372</f>
        <v>5713.3</v>
      </c>
      <c r="I326" s="27" t="e">
        <f>H326-#REF!</f>
        <v>#REF!</v>
      </c>
    </row>
    <row r="327" spans="1:9">
      <c r="A327" s="97" t="s">
        <v>361</v>
      </c>
      <c r="B327" s="19" t="s">
        <v>362</v>
      </c>
      <c r="C327" s="54"/>
      <c r="D327" s="54"/>
      <c r="E327" s="54"/>
      <c r="F327" s="34">
        <f>F328+F335+F346+F342+F332</f>
        <v>1431.4</v>
      </c>
      <c r="G327" s="34">
        <f>G328+G335+G346+G342+G332</f>
        <v>949.00000000000011</v>
      </c>
      <c r="H327" s="34">
        <f>H328+H335+H346+H342+H332</f>
        <v>949.00000000000011</v>
      </c>
      <c r="I327" s="27" t="e">
        <f>H327-#REF!</f>
        <v>#REF!</v>
      </c>
    </row>
    <row r="328" spans="1:9" ht="25.5">
      <c r="A328" s="97" t="s">
        <v>363</v>
      </c>
      <c r="B328" s="19" t="s">
        <v>364</v>
      </c>
      <c r="C328" s="54" t="s">
        <v>36</v>
      </c>
      <c r="D328" s="54" t="s">
        <v>83</v>
      </c>
      <c r="E328" s="54"/>
      <c r="F328" s="34">
        <f>F329</f>
        <v>11</v>
      </c>
      <c r="G328" s="34">
        <f>G329</f>
        <v>11</v>
      </c>
      <c r="H328" s="34">
        <f>H329</f>
        <v>11</v>
      </c>
      <c r="I328" s="27" t="e">
        <f>H328-#REF!</f>
        <v>#REF!</v>
      </c>
    </row>
    <row r="329" spans="1:9">
      <c r="A329" s="97" t="s">
        <v>365</v>
      </c>
      <c r="B329" s="19" t="s">
        <v>366</v>
      </c>
      <c r="C329" s="54" t="s">
        <v>36</v>
      </c>
      <c r="D329" s="54" t="s">
        <v>83</v>
      </c>
      <c r="E329" s="54"/>
      <c r="F329" s="34">
        <f>F331+F330</f>
        <v>11</v>
      </c>
      <c r="G329" s="34">
        <f>G331+G330</f>
        <v>11</v>
      </c>
      <c r="H329" s="34">
        <f>H331+H330</f>
        <v>11</v>
      </c>
      <c r="I329" s="27" t="e">
        <f>H329-#REF!</f>
        <v>#REF!</v>
      </c>
    </row>
    <row r="330" spans="1:9" ht="25.5">
      <c r="A330" s="58" t="s">
        <v>28</v>
      </c>
      <c r="B330" s="19" t="s">
        <v>366</v>
      </c>
      <c r="C330" s="54" t="s">
        <v>36</v>
      </c>
      <c r="D330" s="54" t="s">
        <v>83</v>
      </c>
      <c r="E330" s="54" t="s">
        <v>29</v>
      </c>
      <c r="F330" s="34">
        <v>6</v>
      </c>
      <c r="G330" s="34">
        <v>6</v>
      </c>
      <c r="H330" s="34">
        <v>6</v>
      </c>
      <c r="I330" s="27" t="e">
        <f>H330-#REF!</f>
        <v>#REF!</v>
      </c>
    </row>
    <row r="331" spans="1:9">
      <c r="A331" s="58" t="s">
        <v>367</v>
      </c>
      <c r="B331" s="19" t="s">
        <v>366</v>
      </c>
      <c r="C331" s="54" t="s">
        <v>36</v>
      </c>
      <c r="D331" s="54" t="s">
        <v>83</v>
      </c>
      <c r="E331" s="54" t="s">
        <v>368</v>
      </c>
      <c r="F331" s="34">
        <v>5</v>
      </c>
      <c r="G331" s="34">
        <v>5</v>
      </c>
      <c r="H331" s="34">
        <v>5</v>
      </c>
      <c r="I331" s="27" t="e">
        <f>H331-#REF!</f>
        <v>#REF!</v>
      </c>
    </row>
    <row r="332" spans="1:9" ht="25.5">
      <c r="A332" s="58" t="s">
        <v>369</v>
      </c>
      <c r="B332" s="19" t="s">
        <v>370</v>
      </c>
      <c r="C332" s="54" t="s">
        <v>36</v>
      </c>
      <c r="D332" s="54" t="s">
        <v>83</v>
      </c>
      <c r="E332" s="54"/>
      <c r="F332" s="34">
        <f t="shared" ref="F332:H333" si="16">F333</f>
        <v>10</v>
      </c>
      <c r="G332" s="34">
        <f t="shared" si="16"/>
        <v>10</v>
      </c>
      <c r="H332" s="34">
        <f t="shared" si="16"/>
        <v>10</v>
      </c>
      <c r="I332" s="27" t="e">
        <f>H332-#REF!</f>
        <v>#REF!</v>
      </c>
    </row>
    <row r="333" spans="1:9">
      <c r="A333" s="97" t="s">
        <v>365</v>
      </c>
      <c r="B333" s="19" t="s">
        <v>371</v>
      </c>
      <c r="C333" s="54" t="s">
        <v>36</v>
      </c>
      <c r="D333" s="54" t="s">
        <v>83</v>
      </c>
      <c r="E333" s="54"/>
      <c r="F333" s="34">
        <f t="shared" si="16"/>
        <v>10</v>
      </c>
      <c r="G333" s="34">
        <f t="shared" si="16"/>
        <v>10</v>
      </c>
      <c r="H333" s="34">
        <f t="shared" si="16"/>
        <v>10</v>
      </c>
      <c r="I333" s="27" t="e">
        <f>H333-#REF!</f>
        <v>#REF!</v>
      </c>
    </row>
    <row r="334" spans="1:9" ht="25.5">
      <c r="A334" s="58" t="s">
        <v>28</v>
      </c>
      <c r="B334" s="19" t="s">
        <v>371</v>
      </c>
      <c r="C334" s="54" t="s">
        <v>36</v>
      </c>
      <c r="D334" s="54" t="s">
        <v>83</v>
      </c>
      <c r="E334" s="54" t="s">
        <v>29</v>
      </c>
      <c r="F334" s="34">
        <v>10</v>
      </c>
      <c r="G334" s="34">
        <v>10</v>
      </c>
      <c r="H334" s="34">
        <v>10</v>
      </c>
      <c r="I334" s="27" t="e">
        <f>H334-#REF!</f>
        <v>#REF!</v>
      </c>
    </row>
    <row r="335" spans="1:9">
      <c r="A335" s="58" t="s">
        <v>372</v>
      </c>
      <c r="B335" s="19" t="s">
        <v>373</v>
      </c>
      <c r="C335" s="54" t="s">
        <v>36</v>
      </c>
      <c r="D335" s="54" t="s">
        <v>83</v>
      </c>
      <c r="E335" s="54"/>
      <c r="F335" s="34">
        <f>F336+F340+F338</f>
        <v>547.6</v>
      </c>
      <c r="G335" s="34">
        <f>G336+G340+G338</f>
        <v>65.2</v>
      </c>
      <c r="H335" s="34">
        <f>H336+H340+H338</f>
        <v>65.2</v>
      </c>
      <c r="I335" s="34" t="e">
        <f>I336+I340+I338</f>
        <v>#REF!</v>
      </c>
    </row>
    <row r="336" spans="1:9">
      <c r="A336" s="97" t="s">
        <v>365</v>
      </c>
      <c r="B336" s="19" t="s">
        <v>374</v>
      </c>
      <c r="C336" s="54" t="s">
        <v>36</v>
      </c>
      <c r="D336" s="54" t="s">
        <v>83</v>
      </c>
      <c r="E336" s="54"/>
      <c r="F336" s="34">
        <f>F337</f>
        <v>5</v>
      </c>
      <c r="G336" s="34">
        <f>G337</f>
        <v>5</v>
      </c>
      <c r="H336" s="34">
        <f>H337</f>
        <v>5</v>
      </c>
      <c r="I336" s="27" t="e">
        <f>H336-#REF!</f>
        <v>#REF!</v>
      </c>
    </row>
    <row r="337" spans="1:9">
      <c r="A337" s="58" t="s">
        <v>367</v>
      </c>
      <c r="B337" s="19" t="s">
        <v>374</v>
      </c>
      <c r="C337" s="54" t="s">
        <v>36</v>
      </c>
      <c r="D337" s="54" t="s">
        <v>83</v>
      </c>
      <c r="E337" s="54" t="s">
        <v>368</v>
      </c>
      <c r="F337" s="34">
        <v>5</v>
      </c>
      <c r="G337" s="34">
        <v>5</v>
      </c>
      <c r="H337" s="34">
        <v>5</v>
      </c>
      <c r="I337" s="27" t="e">
        <f>H337-#REF!</f>
        <v>#REF!</v>
      </c>
    </row>
    <row r="338" spans="1:9" ht="14.25" customHeight="1">
      <c r="A338" s="58" t="s">
        <v>375</v>
      </c>
      <c r="B338" s="19" t="s">
        <v>376</v>
      </c>
      <c r="C338" s="54" t="s">
        <v>36</v>
      </c>
      <c r="D338" s="54" t="s">
        <v>83</v>
      </c>
      <c r="E338" s="54"/>
      <c r="F338" s="34">
        <f>F339</f>
        <v>140</v>
      </c>
      <c r="G338" s="34">
        <f>G339</f>
        <v>0</v>
      </c>
      <c r="H338" s="34">
        <f>H339</f>
        <v>0</v>
      </c>
      <c r="I338" s="27"/>
    </row>
    <row r="339" spans="1:9" ht="25.5">
      <c r="A339" s="58" t="s">
        <v>28</v>
      </c>
      <c r="B339" s="19" t="s">
        <v>376</v>
      </c>
      <c r="C339" s="54" t="s">
        <v>36</v>
      </c>
      <c r="D339" s="54" t="s">
        <v>83</v>
      </c>
      <c r="E339" s="54" t="s">
        <v>29</v>
      </c>
      <c r="F339" s="34">
        <v>140</v>
      </c>
      <c r="G339" s="34">
        <v>0</v>
      </c>
      <c r="H339" s="34">
        <v>0</v>
      </c>
      <c r="I339" s="27"/>
    </row>
    <row r="340" spans="1:9" ht="25.5">
      <c r="A340" s="98" t="s">
        <v>377</v>
      </c>
      <c r="B340" s="19" t="s">
        <v>378</v>
      </c>
      <c r="C340" s="54" t="s">
        <v>36</v>
      </c>
      <c r="D340" s="54" t="s">
        <v>83</v>
      </c>
      <c r="E340" s="54"/>
      <c r="F340" s="34">
        <f>F341</f>
        <v>402.6</v>
      </c>
      <c r="G340" s="34">
        <f>G341</f>
        <v>60.2</v>
      </c>
      <c r="H340" s="34">
        <f>H341</f>
        <v>60.2</v>
      </c>
      <c r="I340" s="27" t="e">
        <f>H340-#REF!</f>
        <v>#REF!</v>
      </c>
    </row>
    <row r="341" spans="1:9" ht="25.5">
      <c r="A341" s="58" t="s">
        <v>28</v>
      </c>
      <c r="B341" s="19" t="s">
        <v>378</v>
      </c>
      <c r="C341" s="54" t="s">
        <v>36</v>
      </c>
      <c r="D341" s="54" t="s">
        <v>83</v>
      </c>
      <c r="E341" s="54" t="s">
        <v>29</v>
      </c>
      <c r="F341" s="34">
        <f>77.9+4.1+365.6-45</f>
        <v>402.6</v>
      </c>
      <c r="G341" s="34">
        <f>57.2+3</f>
        <v>60.2</v>
      </c>
      <c r="H341" s="34">
        <f>57.2+3</f>
        <v>60.2</v>
      </c>
      <c r="I341" s="27" t="e">
        <f>H341-#REF!</f>
        <v>#REF!</v>
      </c>
    </row>
    <row r="342" spans="1:9" ht="25.5">
      <c r="A342" s="33" t="s">
        <v>379</v>
      </c>
      <c r="B342" s="29" t="s">
        <v>380</v>
      </c>
      <c r="C342" s="30" t="s">
        <v>36</v>
      </c>
      <c r="D342" s="30" t="s">
        <v>83</v>
      </c>
      <c r="E342" s="30"/>
      <c r="F342" s="34">
        <f>F343</f>
        <v>10</v>
      </c>
      <c r="G342" s="34">
        <f>G343</f>
        <v>10</v>
      </c>
      <c r="H342" s="34">
        <f>H343</f>
        <v>10</v>
      </c>
      <c r="I342" s="27" t="e">
        <f>H342-#REF!</f>
        <v>#REF!</v>
      </c>
    </row>
    <row r="343" spans="1:9">
      <c r="A343" s="97" t="s">
        <v>365</v>
      </c>
      <c r="B343" s="29" t="s">
        <v>381</v>
      </c>
      <c r="C343" s="30" t="s">
        <v>36</v>
      </c>
      <c r="D343" s="30" t="s">
        <v>83</v>
      </c>
      <c r="E343" s="30"/>
      <c r="F343" s="34">
        <f>F344+F345</f>
        <v>10</v>
      </c>
      <c r="G343" s="34">
        <f>G344+G345</f>
        <v>10</v>
      </c>
      <c r="H343" s="34">
        <f>H344+H345</f>
        <v>10</v>
      </c>
      <c r="I343" s="27" t="e">
        <f>H343-#REF!</f>
        <v>#REF!</v>
      </c>
    </row>
    <row r="344" spans="1:9" ht="25.5">
      <c r="A344" s="38" t="s">
        <v>28</v>
      </c>
      <c r="B344" s="29" t="s">
        <v>381</v>
      </c>
      <c r="C344" s="30" t="s">
        <v>36</v>
      </c>
      <c r="D344" s="30" t="s">
        <v>83</v>
      </c>
      <c r="E344" s="30" t="s">
        <v>29</v>
      </c>
      <c r="F344" s="34">
        <v>10</v>
      </c>
      <c r="G344" s="34">
        <v>10</v>
      </c>
      <c r="H344" s="34">
        <v>10</v>
      </c>
      <c r="I344" s="27" t="e">
        <f>H344-#REF!</f>
        <v>#REF!</v>
      </c>
    </row>
    <row r="345" spans="1:9" hidden="1">
      <c r="A345" s="38" t="s">
        <v>151</v>
      </c>
      <c r="B345" s="29" t="s">
        <v>381</v>
      </c>
      <c r="C345" s="30" t="s">
        <v>36</v>
      </c>
      <c r="D345" s="30" t="s">
        <v>83</v>
      </c>
      <c r="E345" s="30" t="s">
        <v>113</v>
      </c>
      <c r="F345" s="34">
        <v>0</v>
      </c>
      <c r="G345" s="34">
        <v>0</v>
      </c>
      <c r="H345" s="34">
        <v>0</v>
      </c>
      <c r="I345" s="27" t="e">
        <f>H345-#REF!</f>
        <v>#REF!</v>
      </c>
    </row>
    <row r="346" spans="1:9" ht="25.5">
      <c r="A346" s="38" t="s">
        <v>382</v>
      </c>
      <c r="B346" s="29" t="s">
        <v>383</v>
      </c>
      <c r="C346" s="54" t="s">
        <v>22</v>
      </c>
      <c r="D346" s="54" t="s">
        <v>23</v>
      </c>
      <c r="E346" s="54"/>
      <c r="F346" s="34">
        <f>F347</f>
        <v>852.80000000000007</v>
      </c>
      <c r="G346" s="34">
        <f>G347</f>
        <v>852.80000000000007</v>
      </c>
      <c r="H346" s="34">
        <f>H347</f>
        <v>852.80000000000007</v>
      </c>
      <c r="I346" s="27" t="e">
        <f>H346-#REF!</f>
        <v>#REF!</v>
      </c>
    </row>
    <row r="347" spans="1:9" ht="63.75">
      <c r="A347" s="38" t="s">
        <v>384</v>
      </c>
      <c r="B347" s="29" t="s">
        <v>385</v>
      </c>
      <c r="C347" s="54" t="s">
        <v>22</v>
      </c>
      <c r="D347" s="54" t="s">
        <v>23</v>
      </c>
      <c r="E347" s="54"/>
      <c r="F347" s="34">
        <f>F348+F349</f>
        <v>852.80000000000007</v>
      </c>
      <c r="G347" s="34">
        <f>G348+G349</f>
        <v>852.80000000000007</v>
      </c>
      <c r="H347" s="34">
        <f>H348+H349</f>
        <v>852.80000000000007</v>
      </c>
      <c r="I347" s="27" t="e">
        <f>H347-#REF!</f>
        <v>#REF!</v>
      </c>
    </row>
    <row r="348" spans="1:9">
      <c r="A348" s="38" t="s">
        <v>26</v>
      </c>
      <c r="B348" s="29" t="s">
        <v>385</v>
      </c>
      <c r="C348" s="54" t="s">
        <v>22</v>
      </c>
      <c r="D348" s="54" t="s">
        <v>23</v>
      </c>
      <c r="E348" s="54" t="s">
        <v>27</v>
      </c>
      <c r="F348" s="34">
        <v>673.7</v>
      </c>
      <c r="G348" s="34">
        <v>673.7</v>
      </c>
      <c r="H348" s="34">
        <v>673.7</v>
      </c>
      <c r="I348" s="27" t="e">
        <f>H348-#REF!</f>
        <v>#REF!</v>
      </c>
    </row>
    <row r="349" spans="1:9" ht="25.5">
      <c r="A349" s="38" t="s">
        <v>28</v>
      </c>
      <c r="B349" s="29" t="s">
        <v>385</v>
      </c>
      <c r="C349" s="54" t="s">
        <v>22</v>
      </c>
      <c r="D349" s="54" t="s">
        <v>23</v>
      </c>
      <c r="E349" s="54" t="s">
        <v>29</v>
      </c>
      <c r="F349" s="34">
        <v>179.1</v>
      </c>
      <c r="G349" s="34">
        <v>179.1</v>
      </c>
      <c r="H349" s="34">
        <v>179.1</v>
      </c>
      <c r="I349" s="27" t="e">
        <f>H349-#REF!</f>
        <v>#REF!</v>
      </c>
    </row>
    <row r="350" spans="1:9" ht="25.5">
      <c r="A350" s="38" t="s">
        <v>386</v>
      </c>
      <c r="B350" s="19" t="s">
        <v>387</v>
      </c>
      <c r="C350" s="54" t="s">
        <v>36</v>
      </c>
      <c r="D350" s="54" t="s">
        <v>88</v>
      </c>
      <c r="E350" s="54"/>
      <c r="F350" s="34">
        <f>F351+F355+F358+F362+F365</f>
        <v>6554.6</v>
      </c>
      <c r="G350" s="34">
        <f>G351+G355+G358+G362+G365</f>
        <v>5511.8</v>
      </c>
      <c r="H350" s="34">
        <f>H351+H355+H358+H362+H365</f>
        <v>4761.8</v>
      </c>
      <c r="I350" s="27" t="e">
        <f>H350-#REF!</f>
        <v>#REF!</v>
      </c>
    </row>
    <row r="351" spans="1:9">
      <c r="A351" s="64" t="s">
        <v>388</v>
      </c>
      <c r="B351" s="19" t="s">
        <v>389</v>
      </c>
      <c r="C351" s="54" t="s">
        <v>36</v>
      </c>
      <c r="D351" s="54" t="s">
        <v>88</v>
      </c>
      <c r="E351" s="54"/>
      <c r="F351" s="34">
        <f>F352</f>
        <v>3621.8</v>
      </c>
      <c r="G351" s="34">
        <f>G352</f>
        <v>3621.8</v>
      </c>
      <c r="H351" s="34">
        <f>H352</f>
        <v>3621.8</v>
      </c>
      <c r="I351" s="27" t="e">
        <f>H351-#REF!</f>
        <v>#REF!</v>
      </c>
    </row>
    <row r="352" spans="1:9" ht="25.5">
      <c r="A352" s="97" t="s">
        <v>390</v>
      </c>
      <c r="B352" s="19" t="s">
        <v>391</v>
      </c>
      <c r="C352" s="54" t="s">
        <v>36</v>
      </c>
      <c r="D352" s="54" t="s">
        <v>88</v>
      </c>
      <c r="E352" s="54"/>
      <c r="F352" s="34">
        <f>F353+F354</f>
        <v>3621.8</v>
      </c>
      <c r="G352" s="34">
        <f>G353+G354</f>
        <v>3621.8</v>
      </c>
      <c r="H352" s="34">
        <f>H353+H354</f>
        <v>3621.8</v>
      </c>
      <c r="I352" s="27" t="e">
        <f>H352-#REF!</f>
        <v>#REF!</v>
      </c>
    </row>
    <row r="353" spans="1:9">
      <c r="A353" s="33" t="s">
        <v>26</v>
      </c>
      <c r="B353" s="19" t="s">
        <v>391</v>
      </c>
      <c r="C353" s="54" t="s">
        <v>36</v>
      </c>
      <c r="D353" s="54" t="s">
        <v>88</v>
      </c>
      <c r="E353" s="54" t="s">
        <v>27</v>
      </c>
      <c r="F353" s="34">
        <f>3563.8+30</f>
        <v>3593.8</v>
      </c>
      <c r="G353" s="34">
        <f>3563.8+30</f>
        <v>3593.8</v>
      </c>
      <c r="H353" s="34">
        <f>3563.8+30</f>
        <v>3593.8</v>
      </c>
      <c r="I353" s="27" t="e">
        <f>H353-#REF!</f>
        <v>#REF!</v>
      </c>
    </row>
    <row r="354" spans="1:9" ht="25.5">
      <c r="A354" s="33" t="s">
        <v>28</v>
      </c>
      <c r="B354" s="19" t="s">
        <v>391</v>
      </c>
      <c r="C354" s="54" t="s">
        <v>36</v>
      </c>
      <c r="D354" s="54" t="s">
        <v>88</v>
      </c>
      <c r="E354" s="54" t="s">
        <v>29</v>
      </c>
      <c r="F354" s="34">
        <v>28</v>
      </c>
      <c r="G354" s="34">
        <v>28</v>
      </c>
      <c r="H354" s="34">
        <v>28</v>
      </c>
      <c r="I354" s="27" t="e">
        <f>H354-#REF!</f>
        <v>#REF!</v>
      </c>
    </row>
    <row r="355" spans="1:9" ht="25.5">
      <c r="A355" s="33" t="s">
        <v>392</v>
      </c>
      <c r="B355" s="19" t="s">
        <v>393</v>
      </c>
      <c r="C355" s="54" t="s">
        <v>36</v>
      </c>
      <c r="D355" s="54" t="s">
        <v>88</v>
      </c>
      <c r="E355" s="54"/>
      <c r="F355" s="34">
        <f t="shared" ref="F355:H356" si="17">F356</f>
        <v>130</v>
      </c>
      <c r="G355" s="34">
        <f t="shared" si="17"/>
        <v>130</v>
      </c>
      <c r="H355" s="34">
        <f t="shared" si="17"/>
        <v>130</v>
      </c>
      <c r="I355" s="27" t="e">
        <f>H355-#REF!</f>
        <v>#REF!</v>
      </c>
    </row>
    <row r="356" spans="1:9" ht="25.5">
      <c r="A356" s="97" t="s">
        <v>390</v>
      </c>
      <c r="B356" s="19" t="s">
        <v>394</v>
      </c>
      <c r="C356" s="54" t="s">
        <v>36</v>
      </c>
      <c r="D356" s="54" t="s">
        <v>88</v>
      </c>
      <c r="E356" s="54"/>
      <c r="F356" s="34">
        <f t="shared" si="17"/>
        <v>130</v>
      </c>
      <c r="G356" s="34">
        <f t="shared" si="17"/>
        <v>130</v>
      </c>
      <c r="H356" s="34">
        <f t="shared" si="17"/>
        <v>130</v>
      </c>
      <c r="I356" s="27" t="e">
        <f>H356-#REF!</f>
        <v>#REF!</v>
      </c>
    </row>
    <row r="357" spans="1:9" ht="25.5">
      <c r="A357" s="33" t="s">
        <v>28</v>
      </c>
      <c r="B357" s="19" t="s">
        <v>394</v>
      </c>
      <c r="C357" s="54" t="s">
        <v>36</v>
      </c>
      <c r="D357" s="54" t="s">
        <v>88</v>
      </c>
      <c r="E357" s="54" t="s">
        <v>29</v>
      </c>
      <c r="F357" s="34">
        <v>130</v>
      </c>
      <c r="G357" s="34">
        <v>130</v>
      </c>
      <c r="H357" s="34">
        <v>130</v>
      </c>
      <c r="I357" s="27" t="e">
        <f>H357-#REF!</f>
        <v>#REF!</v>
      </c>
    </row>
    <row r="358" spans="1:9" ht="25.5">
      <c r="A358" s="64" t="s">
        <v>395</v>
      </c>
      <c r="B358" s="19" t="s">
        <v>396</v>
      </c>
      <c r="C358" s="54" t="s">
        <v>36</v>
      </c>
      <c r="D358" s="54" t="s">
        <v>88</v>
      </c>
      <c r="E358" s="54"/>
      <c r="F358" s="34">
        <f>F359</f>
        <v>1100</v>
      </c>
      <c r="G358" s="34">
        <f>G359</f>
        <v>900</v>
      </c>
      <c r="H358" s="34">
        <f>H359</f>
        <v>700</v>
      </c>
      <c r="I358" s="27" t="e">
        <f>H358-#REF!</f>
        <v>#REF!</v>
      </c>
    </row>
    <row r="359" spans="1:9" ht="25.5">
      <c r="A359" s="97" t="s">
        <v>390</v>
      </c>
      <c r="B359" s="19" t="s">
        <v>397</v>
      </c>
      <c r="C359" s="54" t="s">
        <v>36</v>
      </c>
      <c r="D359" s="54" t="s">
        <v>88</v>
      </c>
      <c r="E359" s="54"/>
      <c r="F359" s="34">
        <f>F360+F361</f>
        <v>1100</v>
      </c>
      <c r="G359" s="34">
        <f>G360+G361</f>
        <v>900</v>
      </c>
      <c r="H359" s="34">
        <f>H360+H361</f>
        <v>700</v>
      </c>
      <c r="I359" s="27" t="e">
        <f>H359-#REF!</f>
        <v>#REF!</v>
      </c>
    </row>
    <row r="360" spans="1:9" ht="25.5">
      <c r="A360" s="33" t="s">
        <v>28</v>
      </c>
      <c r="B360" s="19" t="s">
        <v>397</v>
      </c>
      <c r="C360" s="54" t="s">
        <v>36</v>
      </c>
      <c r="D360" s="54" t="s">
        <v>88</v>
      </c>
      <c r="E360" s="54" t="s">
        <v>29</v>
      </c>
      <c r="F360" s="34">
        <v>1095</v>
      </c>
      <c r="G360" s="34">
        <f>1095-200</f>
        <v>895</v>
      </c>
      <c r="H360" s="34">
        <v>700</v>
      </c>
      <c r="I360" s="27" t="e">
        <f>H360-#REF!</f>
        <v>#REF!</v>
      </c>
    </row>
    <row r="361" spans="1:9">
      <c r="A361" s="33" t="s">
        <v>151</v>
      </c>
      <c r="B361" s="19" t="s">
        <v>397</v>
      </c>
      <c r="C361" s="54" t="s">
        <v>36</v>
      </c>
      <c r="D361" s="54" t="s">
        <v>88</v>
      </c>
      <c r="E361" s="54" t="s">
        <v>113</v>
      </c>
      <c r="F361" s="34">
        <v>5</v>
      </c>
      <c r="G361" s="34">
        <v>5</v>
      </c>
      <c r="H361" s="34">
        <v>0</v>
      </c>
      <c r="I361" s="27" t="e">
        <f>H361-#REF!</f>
        <v>#REF!</v>
      </c>
    </row>
    <row r="362" spans="1:9" ht="25.5">
      <c r="A362" s="99" t="s">
        <v>398</v>
      </c>
      <c r="B362" s="19" t="s">
        <v>399</v>
      </c>
      <c r="C362" s="54" t="s">
        <v>36</v>
      </c>
      <c r="D362" s="54" t="s">
        <v>88</v>
      </c>
      <c r="E362" s="54"/>
      <c r="F362" s="34">
        <f t="shared" ref="F362:H363" si="18">F363</f>
        <v>150</v>
      </c>
      <c r="G362" s="34">
        <f t="shared" si="18"/>
        <v>150</v>
      </c>
      <c r="H362" s="34">
        <f t="shared" si="18"/>
        <v>150</v>
      </c>
      <c r="I362" s="27" t="e">
        <f>H362-#REF!</f>
        <v>#REF!</v>
      </c>
    </row>
    <row r="363" spans="1:9" ht="51">
      <c r="A363" s="75" t="s">
        <v>400</v>
      </c>
      <c r="B363" s="19" t="s">
        <v>401</v>
      </c>
      <c r="C363" s="54" t="s">
        <v>36</v>
      </c>
      <c r="D363" s="54" t="s">
        <v>88</v>
      </c>
      <c r="E363" s="54"/>
      <c r="F363" s="34">
        <f t="shared" si="18"/>
        <v>150</v>
      </c>
      <c r="G363" s="34">
        <f t="shared" si="18"/>
        <v>150</v>
      </c>
      <c r="H363" s="34">
        <f t="shared" si="18"/>
        <v>150</v>
      </c>
      <c r="I363" s="27" t="e">
        <f>H363-#REF!</f>
        <v>#REF!</v>
      </c>
    </row>
    <row r="364" spans="1:9" ht="25.5">
      <c r="A364" s="99" t="s">
        <v>28</v>
      </c>
      <c r="B364" s="19" t="s">
        <v>401</v>
      </c>
      <c r="C364" s="54" t="s">
        <v>36</v>
      </c>
      <c r="D364" s="54" t="s">
        <v>88</v>
      </c>
      <c r="E364" s="54" t="s">
        <v>29</v>
      </c>
      <c r="F364" s="34">
        <v>150</v>
      </c>
      <c r="G364" s="34">
        <v>150</v>
      </c>
      <c r="H364" s="34">
        <v>150</v>
      </c>
      <c r="I364" s="27" t="e">
        <f>H364-#REF!</f>
        <v>#REF!</v>
      </c>
    </row>
    <row r="365" spans="1:9" ht="25.5">
      <c r="A365" s="99" t="s">
        <v>402</v>
      </c>
      <c r="B365" s="19" t="s">
        <v>403</v>
      </c>
      <c r="C365" s="54" t="s">
        <v>36</v>
      </c>
      <c r="D365" s="54" t="s">
        <v>88</v>
      </c>
      <c r="E365" s="54"/>
      <c r="F365" s="34">
        <f>F366+F370+F368</f>
        <v>1552.8000000000002</v>
      </c>
      <c r="G365" s="34">
        <f>G366+G370+G368</f>
        <v>710</v>
      </c>
      <c r="H365" s="34">
        <f>H366+H370+H368</f>
        <v>160</v>
      </c>
      <c r="I365" s="27" t="e">
        <f>H365-#REF!</f>
        <v>#REF!</v>
      </c>
    </row>
    <row r="366" spans="1:9">
      <c r="A366" s="99" t="s">
        <v>404</v>
      </c>
      <c r="B366" s="19" t="s">
        <v>405</v>
      </c>
      <c r="C366" s="54" t="s">
        <v>36</v>
      </c>
      <c r="D366" s="54" t="s">
        <v>88</v>
      </c>
      <c r="E366" s="54"/>
      <c r="F366" s="34">
        <f>F367</f>
        <v>160</v>
      </c>
      <c r="G366" s="34">
        <f>G367</f>
        <v>160</v>
      </c>
      <c r="H366" s="34">
        <f>H367</f>
        <v>160</v>
      </c>
      <c r="I366" s="27" t="e">
        <f>H366-#REF!</f>
        <v>#REF!</v>
      </c>
    </row>
    <row r="367" spans="1:9" ht="25.5">
      <c r="A367" s="99" t="s">
        <v>28</v>
      </c>
      <c r="B367" s="19" t="s">
        <v>405</v>
      </c>
      <c r="C367" s="54" t="s">
        <v>36</v>
      </c>
      <c r="D367" s="54" t="s">
        <v>88</v>
      </c>
      <c r="E367" s="54" t="s">
        <v>29</v>
      </c>
      <c r="F367" s="34">
        <v>160</v>
      </c>
      <c r="G367" s="34">
        <v>160</v>
      </c>
      <c r="H367" s="34">
        <v>160</v>
      </c>
      <c r="I367" s="27" t="e">
        <f>H367-#REF!</f>
        <v>#REF!</v>
      </c>
    </row>
    <row r="368" spans="1:9" ht="25.5">
      <c r="A368" s="99" t="s">
        <v>406</v>
      </c>
      <c r="B368" s="19" t="s">
        <v>407</v>
      </c>
      <c r="C368" s="54" t="s">
        <v>36</v>
      </c>
      <c r="D368" s="54" t="s">
        <v>88</v>
      </c>
      <c r="E368" s="54"/>
      <c r="F368" s="34">
        <f>F369</f>
        <v>100</v>
      </c>
      <c r="G368" s="34">
        <f>G369</f>
        <v>550</v>
      </c>
      <c r="H368" s="34">
        <f>H369</f>
        <v>0</v>
      </c>
      <c r="I368" s="27"/>
    </row>
    <row r="369" spans="1:9" ht="25.5">
      <c r="A369" s="99" t="s">
        <v>28</v>
      </c>
      <c r="B369" s="19" t="s">
        <v>407</v>
      </c>
      <c r="C369" s="54" t="s">
        <v>36</v>
      </c>
      <c r="D369" s="54" t="s">
        <v>88</v>
      </c>
      <c r="E369" s="54" t="s">
        <v>29</v>
      </c>
      <c r="F369" s="34">
        <f>550-450</f>
        <v>100</v>
      </c>
      <c r="G369" s="34">
        <f>450+100</f>
        <v>550</v>
      </c>
      <c r="H369" s="34">
        <v>0</v>
      </c>
      <c r="I369" s="27"/>
    </row>
    <row r="370" spans="1:9">
      <c r="A370" s="99" t="s">
        <v>408</v>
      </c>
      <c r="B370" s="19" t="s">
        <v>409</v>
      </c>
      <c r="C370" s="54" t="s">
        <v>36</v>
      </c>
      <c r="D370" s="54" t="s">
        <v>35</v>
      </c>
      <c r="E370" s="54"/>
      <c r="F370" s="34">
        <f>F371</f>
        <v>1292.8000000000002</v>
      </c>
      <c r="G370" s="34">
        <f>G371</f>
        <v>0</v>
      </c>
      <c r="H370" s="34">
        <f>H371</f>
        <v>0</v>
      </c>
      <c r="I370" s="27" t="e">
        <f>H370-#REF!</f>
        <v>#REF!</v>
      </c>
    </row>
    <row r="371" spans="1:9" ht="25.5">
      <c r="A371" s="99" t="s">
        <v>28</v>
      </c>
      <c r="B371" s="19" t="s">
        <v>409</v>
      </c>
      <c r="C371" s="54" t="s">
        <v>36</v>
      </c>
      <c r="D371" s="54" t="s">
        <v>35</v>
      </c>
      <c r="E371" s="54" t="s">
        <v>29</v>
      </c>
      <c r="F371" s="34">
        <f>679.3+661.1+900+602.4-1550</f>
        <v>1292.8000000000002</v>
      </c>
      <c r="G371" s="34">
        <v>0</v>
      </c>
      <c r="H371" s="34">
        <v>0</v>
      </c>
      <c r="I371" s="27" t="e">
        <f>H371-#REF!</f>
        <v>#REF!</v>
      </c>
    </row>
    <row r="372" spans="1:9" ht="38.25">
      <c r="A372" s="38" t="s">
        <v>410</v>
      </c>
      <c r="B372" s="19" t="s">
        <v>411</v>
      </c>
      <c r="C372" s="54" t="s">
        <v>22</v>
      </c>
      <c r="D372" s="54" t="s">
        <v>52</v>
      </c>
      <c r="E372" s="54"/>
      <c r="F372" s="34">
        <f t="shared" ref="F372:H374" si="19">F373</f>
        <v>2.5</v>
      </c>
      <c r="G372" s="34">
        <f t="shared" si="19"/>
        <v>2.5</v>
      </c>
      <c r="H372" s="34">
        <f t="shared" si="19"/>
        <v>2.5</v>
      </c>
      <c r="I372" s="27" t="e">
        <f>H372-#REF!</f>
        <v>#REF!</v>
      </c>
    </row>
    <row r="373" spans="1:9" ht="38.25">
      <c r="A373" s="99" t="s">
        <v>412</v>
      </c>
      <c r="B373" s="19" t="s">
        <v>413</v>
      </c>
      <c r="C373" s="54" t="s">
        <v>22</v>
      </c>
      <c r="D373" s="54" t="s">
        <v>52</v>
      </c>
      <c r="E373" s="54"/>
      <c r="F373" s="34">
        <f t="shared" si="19"/>
        <v>2.5</v>
      </c>
      <c r="G373" s="34">
        <f t="shared" si="19"/>
        <v>2.5</v>
      </c>
      <c r="H373" s="34">
        <f t="shared" si="19"/>
        <v>2.5</v>
      </c>
      <c r="I373" s="27" t="e">
        <f>H373-#REF!</f>
        <v>#REF!</v>
      </c>
    </row>
    <row r="374" spans="1:9" ht="51">
      <c r="A374" s="99" t="s">
        <v>414</v>
      </c>
      <c r="B374" s="19" t="s">
        <v>415</v>
      </c>
      <c r="C374" s="54" t="s">
        <v>22</v>
      </c>
      <c r="D374" s="54" t="s">
        <v>52</v>
      </c>
      <c r="E374" s="54"/>
      <c r="F374" s="34">
        <f t="shared" si="19"/>
        <v>2.5</v>
      </c>
      <c r="G374" s="34">
        <f t="shared" si="19"/>
        <v>2.5</v>
      </c>
      <c r="H374" s="34">
        <f t="shared" si="19"/>
        <v>2.5</v>
      </c>
      <c r="I374" s="27" t="e">
        <f>H374-#REF!</f>
        <v>#REF!</v>
      </c>
    </row>
    <row r="375" spans="1:9" ht="25.5">
      <c r="A375" s="33" t="s">
        <v>28</v>
      </c>
      <c r="B375" s="19" t="s">
        <v>415</v>
      </c>
      <c r="C375" s="54" t="s">
        <v>22</v>
      </c>
      <c r="D375" s="54" t="s">
        <v>52</v>
      </c>
      <c r="E375" s="54" t="s">
        <v>29</v>
      </c>
      <c r="F375" s="34">
        <v>2.5</v>
      </c>
      <c r="G375" s="34">
        <v>2.5</v>
      </c>
      <c r="H375" s="34">
        <v>2.5</v>
      </c>
      <c r="I375" s="27" t="e">
        <f>H375-#REF!</f>
        <v>#REF!</v>
      </c>
    </row>
    <row r="376" spans="1:9" ht="25.5">
      <c r="A376" s="50" t="s">
        <v>416</v>
      </c>
      <c r="B376" s="51" t="s">
        <v>417</v>
      </c>
      <c r="C376" s="52"/>
      <c r="D376" s="52"/>
      <c r="E376" s="52"/>
      <c r="F376" s="57">
        <f>F377+F381+F391+F395</f>
        <v>16028.699999999999</v>
      </c>
      <c r="G376" s="57">
        <f>G377+G381+G391+G395</f>
        <v>2675.7</v>
      </c>
      <c r="H376" s="57">
        <f>H377+H381+H391+H395</f>
        <v>2674.2999999999997</v>
      </c>
      <c r="I376" s="27" t="e">
        <f>H376-#REF!</f>
        <v>#REF!</v>
      </c>
    </row>
    <row r="377" spans="1:9" ht="25.5">
      <c r="A377" s="64" t="s">
        <v>418</v>
      </c>
      <c r="B377" s="19" t="s">
        <v>419</v>
      </c>
      <c r="C377" s="54" t="s">
        <v>46</v>
      </c>
      <c r="D377" s="54" t="s">
        <v>100</v>
      </c>
      <c r="E377" s="54"/>
      <c r="F377" s="34">
        <f>F378</f>
        <v>299.60000000000002</v>
      </c>
      <c r="G377" s="34">
        <f>G378</f>
        <v>299.60000000000002</v>
      </c>
      <c r="H377" s="34">
        <f>H378</f>
        <v>299.60000000000002</v>
      </c>
      <c r="I377" s="27" t="e">
        <f>H377-#REF!</f>
        <v>#REF!</v>
      </c>
    </row>
    <row r="378" spans="1:9">
      <c r="A378" s="100" t="s">
        <v>420</v>
      </c>
      <c r="B378" s="19" t="s">
        <v>421</v>
      </c>
      <c r="C378" s="54" t="s">
        <v>46</v>
      </c>
      <c r="D378" s="54" t="s">
        <v>100</v>
      </c>
      <c r="E378" s="54"/>
      <c r="F378" s="34">
        <f>F379+F380</f>
        <v>299.60000000000002</v>
      </c>
      <c r="G378" s="34">
        <f>G379+G380</f>
        <v>299.60000000000002</v>
      </c>
      <c r="H378" s="34">
        <f>H379+H380</f>
        <v>299.60000000000002</v>
      </c>
      <c r="I378" s="27" t="e">
        <f>H378-#REF!</f>
        <v>#REF!</v>
      </c>
    </row>
    <row r="379" spans="1:9" ht="25.5">
      <c r="A379" s="33" t="s">
        <v>28</v>
      </c>
      <c r="B379" s="19" t="s">
        <v>421</v>
      </c>
      <c r="C379" s="54" t="s">
        <v>46</v>
      </c>
      <c r="D379" s="54" t="s">
        <v>100</v>
      </c>
      <c r="E379" s="54" t="s">
        <v>29</v>
      </c>
      <c r="F379" s="34">
        <v>299</v>
      </c>
      <c r="G379" s="34">
        <v>299</v>
      </c>
      <c r="H379" s="34">
        <v>299</v>
      </c>
      <c r="I379" s="27" t="e">
        <f>H379-#REF!</f>
        <v>#REF!</v>
      </c>
    </row>
    <row r="380" spans="1:9">
      <c r="A380" s="33" t="s">
        <v>151</v>
      </c>
      <c r="B380" s="19" t="s">
        <v>421</v>
      </c>
      <c r="C380" s="54" t="s">
        <v>46</v>
      </c>
      <c r="D380" s="54" t="s">
        <v>100</v>
      </c>
      <c r="E380" s="54" t="s">
        <v>113</v>
      </c>
      <c r="F380" s="34">
        <v>0.6</v>
      </c>
      <c r="G380" s="34">
        <v>0.6</v>
      </c>
      <c r="H380" s="34">
        <v>0.6</v>
      </c>
      <c r="I380" s="27"/>
    </row>
    <row r="381" spans="1:9" ht="25.5">
      <c r="A381" s="33" t="s">
        <v>422</v>
      </c>
      <c r="B381" s="19" t="s">
        <v>423</v>
      </c>
      <c r="C381" s="54"/>
      <c r="D381" s="54"/>
      <c r="E381" s="54"/>
      <c r="F381" s="34">
        <f>F382+F384+F387+F389</f>
        <v>15643.099999999999</v>
      </c>
      <c r="G381" s="34">
        <f>G382+G384+G387+G389</f>
        <v>2320.1</v>
      </c>
      <c r="H381" s="34">
        <f>H382+H384+H387+H389</f>
        <v>2318.6999999999998</v>
      </c>
      <c r="I381" s="34" t="e">
        <f>I382+I384+I387+I389</f>
        <v>#REF!</v>
      </c>
    </row>
    <row r="382" spans="1:9">
      <c r="A382" s="100" t="s">
        <v>420</v>
      </c>
      <c r="B382" s="19" t="s">
        <v>424</v>
      </c>
      <c r="C382" s="54" t="s">
        <v>46</v>
      </c>
      <c r="D382" s="54" t="s">
        <v>100</v>
      </c>
      <c r="E382" s="54"/>
      <c r="F382" s="34">
        <f>F383</f>
        <v>3722</v>
      </c>
      <c r="G382" s="34">
        <f>G383</f>
        <v>2012</v>
      </c>
      <c r="H382" s="34">
        <f>H383</f>
        <v>2012</v>
      </c>
      <c r="I382" s="27" t="e">
        <f>H382-#REF!</f>
        <v>#REF!</v>
      </c>
    </row>
    <row r="383" spans="1:9" ht="25.5">
      <c r="A383" s="33" t="s">
        <v>28</v>
      </c>
      <c r="B383" s="19" t="s">
        <v>424</v>
      </c>
      <c r="C383" s="54" t="s">
        <v>46</v>
      </c>
      <c r="D383" s="54" t="s">
        <v>100</v>
      </c>
      <c r="E383" s="54" t="s">
        <v>29</v>
      </c>
      <c r="F383" s="34">
        <f>540+875+2307</f>
        <v>3722</v>
      </c>
      <c r="G383" s="34">
        <v>2012</v>
      </c>
      <c r="H383" s="34">
        <v>2012</v>
      </c>
      <c r="I383" s="27" t="e">
        <f>H383-#REF!</f>
        <v>#REF!</v>
      </c>
    </row>
    <row r="384" spans="1:9" ht="51">
      <c r="A384" s="59" t="s">
        <v>425</v>
      </c>
      <c r="B384" s="19" t="s">
        <v>426</v>
      </c>
      <c r="C384" s="54" t="s">
        <v>22</v>
      </c>
      <c r="D384" s="54" t="s">
        <v>23</v>
      </c>
      <c r="E384" s="54"/>
      <c r="F384" s="34">
        <f>F385+F386</f>
        <v>307.89999999999998</v>
      </c>
      <c r="G384" s="34">
        <f>G385+G386</f>
        <v>308.10000000000002</v>
      </c>
      <c r="H384" s="34">
        <f>H385+H386</f>
        <v>306.7</v>
      </c>
      <c r="I384" s="27" t="e">
        <f>H384-#REF!</f>
        <v>#REF!</v>
      </c>
    </row>
    <row r="385" spans="1:9">
      <c r="A385" s="33" t="s">
        <v>26</v>
      </c>
      <c r="B385" s="19" t="s">
        <v>426</v>
      </c>
      <c r="C385" s="54" t="s">
        <v>22</v>
      </c>
      <c r="D385" s="54" t="s">
        <v>23</v>
      </c>
      <c r="E385" s="54" t="s">
        <v>27</v>
      </c>
      <c r="F385" s="34">
        <v>252.5</v>
      </c>
      <c r="G385" s="34">
        <v>252.6</v>
      </c>
      <c r="H385" s="34">
        <v>251.5</v>
      </c>
      <c r="I385" s="27" t="e">
        <f>H385-#REF!</f>
        <v>#REF!</v>
      </c>
    </row>
    <row r="386" spans="1:9" ht="25.5">
      <c r="A386" s="33" t="s">
        <v>28</v>
      </c>
      <c r="B386" s="19" t="s">
        <v>426</v>
      </c>
      <c r="C386" s="54" t="s">
        <v>22</v>
      </c>
      <c r="D386" s="54" t="s">
        <v>23</v>
      </c>
      <c r="E386" s="54" t="s">
        <v>29</v>
      </c>
      <c r="F386" s="34">
        <v>55.4</v>
      </c>
      <c r="G386" s="34">
        <v>55.5</v>
      </c>
      <c r="H386" s="34">
        <v>55.2</v>
      </c>
      <c r="I386" s="27" t="e">
        <f>H386-#REF!</f>
        <v>#REF!</v>
      </c>
    </row>
    <row r="387" spans="1:9" ht="25.5" hidden="1">
      <c r="A387" s="101" t="s">
        <v>427</v>
      </c>
      <c r="B387" s="19" t="s">
        <v>428</v>
      </c>
      <c r="C387" s="102" t="s">
        <v>46</v>
      </c>
      <c r="D387" s="102" t="s">
        <v>100</v>
      </c>
      <c r="E387" s="54"/>
      <c r="F387" s="34">
        <f>F388</f>
        <v>0</v>
      </c>
      <c r="G387" s="34">
        <f>G388</f>
        <v>0</v>
      </c>
      <c r="H387" s="34">
        <f>H388</f>
        <v>0</v>
      </c>
      <c r="I387" s="27" t="e">
        <f>H387-#REF!</f>
        <v>#REF!</v>
      </c>
    </row>
    <row r="388" spans="1:9" ht="25.5" hidden="1">
      <c r="A388" s="64" t="s">
        <v>28</v>
      </c>
      <c r="B388" s="19" t="s">
        <v>428</v>
      </c>
      <c r="C388" s="102" t="s">
        <v>46</v>
      </c>
      <c r="D388" s="102" t="s">
        <v>100</v>
      </c>
      <c r="E388" s="54" t="s">
        <v>29</v>
      </c>
      <c r="F388" s="34"/>
      <c r="G388" s="34"/>
      <c r="H388" s="34"/>
      <c r="I388" s="27" t="e">
        <f>H388-#REF!</f>
        <v>#REF!</v>
      </c>
    </row>
    <row r="389" spans="1:9" ht="25.5">
      <c r="A389" s="91" t="s">
        <v>429</v>
      </c>
      <c r="B389" s="19" t="s">
        <v>430</v>
      </c>
      <c r="C389" s="102" t="s">
        <v>46</v>
      </c>
      <c r="D389" s="102" t="s">
        <v>100</v>
      </c>
      <c r="E389" s="54"/>
      <c r="F389" s="34">
        <f>F390</f>
        <v>11613.199999999999</v>
      </c>
      <c r="G389" s="34">
        <f>G390</f>
        <v>0</v>
      </c>
      <c r="H389" s="34">
        <f>H390</f>
        <v>0</v>
      </c>
      <c r="I389" s="27"/>
    </row>
    <row r="390" spans="1:9" ht="25.5">
      <c r="A390" s="64" t="s">
        <v>28</v>
      </c>
      <c r="B390" s="19" t="s">
        <v>430</v>
      </c>
      <c r="C390" s="102" t="s">
        <v>46</v>
      </c>
      <c r="D390" s="102" t="s">
        <v>100</v>
      </c>
      <c r="E390" s="54" t="s">
        <v>29</v>
      </c>
      <c r="F390" s="34">
        <f>11264.8+348.4</f>
        <v>11613.199999999999</v>
      </c>
      <c r="G390" s="34">
        <v>0</v>
      </c>
      <c r="H390" s="34">
        <v>0</v>
      </c>
      <c r="I390" s="27"/>
    </row>
    <row r="391" spans="1:9" ht="25.5">
      <c r="A391" s="59" t="s">
        <v>431</v>
      </c>
      <c r="B391" s="19" t="s">
        <v>432</v>
      </c>
      <c r="C391" s="54" t="s">
        <v>46</v>
      </c>
      <c r="D391" s="54" t="s">
        <v>100</v>
      </c>
      <c r="E391" s="54"/>
      <c r="F391" s="34">
        <f>F392</f>
        <v>56</v>
      </c>
      <c r="G391" s="34">
        <f>G392</f>
        <v>56</v>
      </c>
      <c r="H391" s="34">
        <f>H392</f>
        <v>56</v>
      </c>
      <c r="I391" s="27" t="e">
        <f>H391-#REF!</f>
        <v>#REF!</v>
      </c>
    </row>
    <row r="392" spans="1:9">
      <c r="A392" s="100" t="s">
        <v>420</v>
      </c>
      <c r="B392" s="19" t="s">
        <v>433</v>
      </c>
      <c r="C392" s="54" t="s">
        <v>46</v>
      </c>
      <c r="D392" s="54" t="s">
        <v>100</v>
      </c>
      <c r="E392" s="54"/>
      <c r="F392" s="34">
        <f>F393+F394</f>
        <v>56</v>
      </c>
      <c r="G392" s="34">
        <f>G393+G394</f>
        <v>56</v>
      </c>
      <c r="H392" s="34">
        <f>H393+H394</f>
        <v>56</v>
      </c>
      <c r="I392" s="27" t="e">
        <f>H392-#REF!</f>
        <v>#REF!</v>
      </c>
    </row>
    <row r="393" spans="1:9" ht="25.5" hidden="1">
      <c r="A393" s="33" t="s">
        <v>28</v>
      </c>
      <c r="B393" s="19" t="s">
        <v>433</v>
      </c>
      <c r="C393" s="54" t="s">
        <v>46</v>
      </c>
      <c r="D393" s="54" t="s">
        <v>100</v>
      </c>
      <c r="E393" s="54" t="s">
        <v>29</v>
      </c>
      <c r="F393" s="34">
        <v>0</v>
      </c>
      <c r="G393" s="34">
        <v>0</v>
      </c>
      <c r="H393" s="34">
        <v>0</v>
      </c>
      <c r="I393" s="27" t="e">
        <f>H393-#REF!</f>
        <v>#REF!</v>
      </c>
    </row>
    <row r="394" spans="1:9">
      <c r="A394" s="43" t="s">
        <v>40</v>
      </c>
      <c r="B394" s="19" t="s">
        <v>433</v>
      </c>
      <c r="C394" s="54" t="s">
        <v>46</v>
      </c>
      <c r="D394" s="54" t="s">
        <v>100</v>
      </c>
      <c r="E394" s="54" t="s">
        <v>41</v>
      </c>
      <c r="F394" s="34">
        <f>26+30</f>
        <v>56</v>
      </c>
      <c r="G394" s="34">
        <f>26+30</f>
        <v>56</v>
      </c>
      <c r="H394" s="34">
        <f>26+30</f>
        <v>56</v>
      </c>
      <c r="I394" s="27" t="e">
        <f>H394-#REF!</f>
        <v>#REF!</v>
      </c>
    </row>
    <row r="395" spans="1:9" ht="25.5">
      <c r="A395" s="59" t="s">
        <v>434</v>
      </c>
      <c r="B395" s="19" t="s">
        <v>435</v>
      </c>
      <c r="C395" s="54" t="s">
        <v>46</v>
      </c>
      <c r="D395" s="54" t="s">
        <v>100</v>
      </c>
      <c r="E395" s="54"/>
      <c r="F395" s="34">
        <f t="shared" ref="F395:H396" si="20">F396</f>
        <v>30</v>
      </c>
      <c r="G395" s="34">
        <f t="shared" si="20"/>
        <v>0</v>
      </c>
      <c r="H395" s="34">
        <f t="shared" si="20"/>
        <v>0</v>
      </c>
      <c r="I395" s="27" t="e">
        <f>H395-#REF!</f>
        <v>#REF!</v>
      </c>
    </row>
    <row r="396" spans="1:9">
      <c r="A396" s="100" t="s">
        <v>420</v>
      </c>
      <c r="B396" s="19" t="s">
        <v>436</v>
      </c>
      <c r="C396" s="54" t="s">
        <v>46</v>
      </c>
      <c r="D396" s="54" t="s">
        <v>100</v>
      </c>
      <c r="E396" s="54"/>
      <c r="F396" s="34">
        <f t="shared" si="20"/>
        <v>30</v>
      </c>
      <c r="G396" s="34">
        <f t="shared" si="20"/>
        <v>0</v>
      </c>
      <c r="H396" s="34">
        <f t="shared" si="20"/>
        <v>0</v>
      </c>
      <c r="I396" s="27" t="e">
        <f>H396-#REF!</f>
        <v>#REF!</v>
      </c>
    </row>
    <row r="397" spans="1:9" ht="25.5">
      <c r="A397" s="33" t="s">
        <v>103</v>
      </c>
      <c r="B397" s="19" t="s">
        <v>436</v>
      </c>
      <c r="C397" s="54" t="s">
        <v>46</v>
      </c>
      <c r="D397" s="54" t="s">
        <v>100</v>
      </c>
      <c r="E397" s="54" t="s">
        <v>29</v>
      </c>
      <c r="F397" s="34">
        <v>30</v>
      </c>
      <c r="G397" s="34">
        <v>0</v>
      </c>
      <c r="H397" s="34">
        <v>0</v>
      </c>
      <c r="I397" s="27" t="e">
        <f>H397-#REF!</f>
        <v>#REF!</v>
      </c>
    </row>
    <row r="398" spans="1:9">
      <c r="A398" s="50" t="s">
        <v>437</v>
      </c>
      <c r="B398" s="51" t="s">
        <v>438</v>
      </c>
      <c r="C398" s="52"/>
      <c r="D398" s="52"/>
      <c r="E398" s="52"/>
      <c r="F398" s="57">
        <f>F399+F412</f>
        <v>56773.3</v>
      </c>
      <c r="G398" s="57">
        <f>G399+G412</f>
        <v>19181.300000000003</v>
      </c>
      <c r="H398" s="57">
        <f>H399+H412</f>
        <v>19825.300000000003</v>
      </c>
      <c r="I398" s="27" t="e">
        <f>H398-#REF!</f>
        <v>#REF!</v>
      </c>
    </row>
    <row r="399" spans="1:9">
      <c r="A399" s="33" t="s">
        <v>439</v>
      </c>
      <c r="B399" s="19" t="s">
        <v>440</v>
      </c>
      <c r="C399" s="54"/>
      <c r="D399" s="54"/>
      <c r="E399" s="54"/>
      <c r="F399" s="34">
        <f>F400+F407</f>
        <v>52795.4</v>
      </c>
      <c r="G399" s="34">
        <f>G400+G407</f>
        <v>15203.400000000001</v>
      </c>
      <c r="H399" s="34">
        <f>H400+H407</f>
        <v>15847.400000000001</v>
      </c>
      <c r="I399" s="27" t="e">
        <f>H399-#REF!</f>
        <v>#REF!</v>
      </c>
    </row>
    <row r="400" spans="1:9" ht="25.5">
      <c r="A400" s="33" t="s">
        <v>441</v>
      </c>
      <c r="B400" s="19" t="s">
        <v>442</v>
      </c>
      <c r="C400" s="54" t="s">
        <v>23</v>
      </c>
      <c r="D400" s="54" t="s">
        <v>88</v>
      </c>
      <c r="E400" s="54"/>
      <c r="F400" s="34">
        <f>F401+F403+F405</f>
        <v>44052.800000000003</v>
      </c>
      <c r="G400" s="34">
        <f>G401+G403+G405</f>
        <v>4031.3</v>
      </c>
      <c r="H400" s="34">
        <f>H401+H403+H405</f>
        <v>4031.3</v>
      </c>
      <c r="I400" s="27" t="e">
        <f>H400-#REF!</f>
        <v>#REF!</v>
      </c>
    </row>
    <row r="401" spans="1:9" ht="25.5">
      <c r="A401" s="55" t="s">
        <v>443</v>
      </c>
      <c r="B401" s="19" t="s">
        <v>444</v>
      </c>
      <c r="C401" s="54" t="s">
        <v>23</v>
      </c>
      <c r="D401" s="54" t="s">
        <v>88</v>
      </c>
      <c r="E401" s="54"/>
      <c r="F401" s="34">
        <f>F402</f>
        <v>3140</v>
      </c>
      <c r="G401" s="34">
        <f>G402</f>
        <v>2500</v>
      </c>
      <c r="H401" s="34">
        <f>H402</f>
        <v>2500</v>
      </c>
      <c r="I401" s="27" t="e">
        <f>H401-#REF!</f>
        <v>#REF!</v>
      </c>
    </row>
    <row r="402" spans="1:9" ht="25.5">
      <c r="A402" s="33" t="s">
        <v>103</v>
      </c>
      <c r="B402" s="19" t="s">
        <v>444</v>
      </c>
      <c r="C402" s="54" t="s">
        <v>23</v>
      </c>
      <c r="D402" s="54" t="s">
        <v>88</v>
      </c>
      <c r="E402" s="54" t="s">
        <v>29</v>
      </c>
      <c r="F402" s="34">
        <f>540+100+2500</f>
        <v>3140</v>
      </c>
      <c r="G402" s="34">
        <v>2500</v>
      </c>
      <c r="H402" s="34">
        <v>2500</v>
      </c>
      <c r="I402" s="27" t="e">
        <f>H402-#REF!</f>
        <v>#REF!</v>
      </c>
    </row>
    <row r="403" spans="1:9" ht="25.5">
      <c r="A403" s="64" t="s">
        <v>445</v>
      </c>
      <c r="B403" s="19" t="s">
        <v>446</v>
      </c>
      <c r="C403" s="54" t="s">
        <v>23</v>
      </c>
      <c r="D403" s="54" t="s">
        <v>88</v>
      </c>
      <c r="E403" s="54"/>
      <c r="F403" s="34">
        <f>F404</f>
        <v>40209.300000000003</v>
      </c>
      <c r="G403" s="34">
        <f>G404</f>
        <v>827.8</v>
      </c>
      <c r="H403" s="34">
        <f>H404</f>
        <v>827.8</v>
      </c>
      <c r="I403" s="27" t="e">
        <f>H403-#REF!</f>
        <v>#REF!</v>
      </c>
    </row>
    <row r="404" spans="1:9" ht="25.5">
      <c r="A404" s="33" t="s">
        <v>28</v>
      </c>
      <c r="B404" s="19" t="s">
        <v>446</v>
      </c>
      <c r="C404" s="54" t="s">
        <v>23</v>
      </c>
      <c r="D404" s="54" t="s">
        <v>88</v>
      </c>
      <c r="E404" s="54" t="s">
        <v>29</v>
      </c>
      <c r="F404" s="34">
        <f>39003+1206.3</f>
        <v>40209.300000000003</v>
      </c>
      <c r="G404" s="34">
        <f>803+24.8</f>
        <v>827.8</v>
      </c>
      <c r="H404" s="34">
        <f>803+24.8</f>
        <v>827.8</v>
      </c>
      <c r="I404" s="27" t="e">
        <f>H404-#REF!</f>
        <v>#REF!</v>
      </c>
    </row>
    <row r="405" spans="1:9" ht="39.75" customHeight="1">
      <c r="A405" s="103" t="s">
        <v>447</v>
      </c>
      <c r="B405" s="19" t="s">
        <v>448</v>
      </c>
      <c r="C405" s="54" t="s">
        <v>23</v>
      </c>
      <c r="D405" s="54" t="s">
        <v>88</v>
      </c>
      <c r="E405" s="54"/>
      <c r="F405" s="34">
        <f>F406</f>
        <v>703.5</v>
      </c>
      <c r="G405" s="34">
        <f>G406</f>
        <v>703.5</v>
      </c>
      <c r="H405" s="34">
        <f>H406</f>
        <v>703.5</v>
      </c>
      <c r="I405" s="27" t="e">
        <f>H405-#REF!</f>
        <v>#REF!</v>
      </c>
    </row>
    <row r="406" spans="1:9" ht="25.5">
      <c r="A406" s="33" t="s">
        <v>28</v>
      </c>
      <c r="B406" s="19" t="s">
        <v>448</v>
      </c>
      <c r="C406" s="54" t="s">
        <v>23</v>
      </c>
      <c r="D406" s="54" t="s">
        <v>88</v>
      </c>
      <c r="E406" s="54" t="s">
        <v>29</v>
      </c>
      <c r="F406" s="34">
        <f>682.4+21.1</f>
        <v>703.5</v>
      </c>
      <c r="G406" s="34">
        <f>682.4+21.1</f>
        <v>703.5</v>
      </c>
      <c r="H406" s="34">
        <f>682.4+21.1</f>
        <v>703.5</v>
      </c>
      <c r="I406" s="27" t="e">
        <f>H406-#REF!</f>
        <v>#REF!</v>
      </c>
    </row>
    <row r="407" spans="1:9" ht="25.5">
      <c r="A407" s="33" t="s">
        <v>449</v>
      </c>
      <c r="B407" s="19" t="s">
        <v>450</v>
      </c>
      <c r="C407" s="54" t="s">
        <v>23</v>
      </c>
      <c r="D407" s="54" t="s">
        <v>88</v>
      </c>
      <c r="E407" s="54"/>
      <c r="F407" s="34">
        <f>F408+F410</f>
        <v>8742.6</v>
      </c>
      <c r="G407" s="34">
        <f>G408+G410</f>
        <v>11172.1</v>
      </c>
      <c r="H407" s="34">
        <f>H408+H410</f>
        <v>11816.1</v>
      </c>
      <c r="I407" s="27" t="e">
        <f>H407-#REF!</f>
        <v>#REF!</v>
      </c>
    </row>
    <row r="408" spans="1:9" ht="27.75" customHeight="1">
      <c r="A408" s="35" t="s">
        <v>451</v>
      </c>
      <c r="B408" s="19" t="s">
        <v>452</v>
      </c>
      <c r="C408" s="54" t="s">
        <v>23</v>
      </c>
      <c r="D408" s="54" t="s">
        <v>88</v>
      </c>
      <c r="E408" s="54"/>
      <c r="F408" s="34">
        <f>F409</f>
        <v>8742.6</v>
      </c>
      <c r="G408" s="34">
        <f>G409</f>
        <v>11172.1</v>
      </c>
      <c r="H408" s="34">
        <f>H409</f>
        <v>11816.1</v>
      </c>
      <c r="I408" s="27" t="e">
        <f>H408-#REF!</f>
        <v>#REF!</v>
      </c>
    </row>
    <row r="409" spans="1:9" ht="25.5">
      <c r="A409" s="33" t="s">
        <v>28</v>
      </c>
      <c r="B409" s="19" t="s">
        <v>452</v>
      </c>
      <c r="C409" s="54" t="s">
        <v>23</v>
      </c>
      <c r="D409" s="54" t="s">
        <v>88</v>
      </c>
      <c r="E409" s="54" t="s">
        <v>29</v>
      </c>
      <c r="F409" s="34">
        <v>8742.6</v>
      </c>
      <c r="G409" s="34">
        <v>11172.1</v>
      </c>
      <c r="H409" s="34">
        <v>11816.1</v>
      </c>
      <c r="I409" s="27" t="e">
        <f>H409-#REF!</f>
        <v>#REF!</v>
      </c>
    </row>
    <row r="410" spans="1:9" ht="63.75" hidden="1">
      <c r="A410" s="64" t="s">
        <v>453</v>
      </c>
      <c r="B410" s="19" t="s">
        <v>454</v>
      </c>
      <c r="C410" s="54" t="s">
        <v>23</v>
      </c>
      <c r="D410" s="54" t="s">
        <v>88</v>
      </c>
      <c r="E410" s="54"/>
      <c r="F410" s="34">
        <f>F411</f>
        <v>0</v>
      </c>
      <c r="G410" s="34">
        <f>G411</f>
        <v>0</v>
      </c>
      <c r="H410" s="34">
        <f>H411</f>
        <v>0</v>
      </c>
      <c r="I410" s="27" t="e">
        <f>H410-#REF!</f>
        <v>#REF!</v>
      </c>
    </row>
    <row r="411" spans="1:9" ht="25.5" hidden="1">
      <c r="A411" s="33" t="s">
        <v>103</v>
      </c>
      <c r="B411" s="19" t="s">
        <v>454</v>
      </c>
      <c r="C411" s="54" t="s">
        <v>23</v>
      </c>
      <c r="D411" s="54" t="s">
        <v>88</v>
      </c>
      <c r="E411" s="54" t="s">
        <v>29</v>
      </c>
      <c r="F411" s="34">
        <v>0</v>
      </c>
      <c r="G411" s="34">
        <v>0</v>
      </c>
      <c r="H411" s="34">
        <v>0</v>
      </c>
      <c r="I411" s="27" t="e">
        <f>H411-#REF!</f>
        <v>#REF!</v>
      </c>
    </row>
    <row r="412" spans="1:9">
      <c r="A412" s="33" t="s">
        <v>455</v>
      </c>
      <c r="B412" s="19" t="s">
        <v>456</v>
      </c>
      <c r="C412" s="54"/>
      <c r="D412" s="54"/>
      <c r="E412" s="54"/>
      <c r="F412" s="34">
        <f>F413</f>
        <v>3977.9</v>
      </c>
      <c r="G412" s="34">
        <f>G413</f>
        <v>3977.9</v>
      </c>
      <c r="H412" s="34">
        <f>H413</f>
        <v>3977.9</v>
      </c>
      <c r="I412" s="27" t="e">
        <f>H412-#REF!</f>
        <v>#REF!</v>
      </c>
    </row>
    <row r="413" spans="1:9" ht="25.5">
      <c r="A413" s="55" t="s">
        <v>457</v>
      </c>
      <c r="B413" s="19" t="s">
        <v>458</v>
      </c>
      <c r="C413" s="54" t="s">
        <v>23</v>
      </c>
      <c r="D413" s="54" t="s">
        <v>183</v>
      </c>
      <c r="E413" s="54"/>
      <c r="F413" s="34">
        <f>F416+F414</f>
        <v>3977.9</v>
      </c>
      <c r="G413" s="34">
        <f>G416+G414</f>
        <v>3977.9</v>
      </c>
      <c r="H413" s="34">
        <f>H416+H414</f>
        <v>3977.9</v>
      </c>
      <c r="I413" s="27" t="e">
        <f>H413-#REF!</f>
        <v>#REF!</v>
      </c>
    </row>
    <row r="414" spans="1:9" hidden="1">
      <c r="A414" s="47" t="s">
        <v>459</v>
      </c>
      <c r="B414" s="19" t="s">
        <v>460</v>
      </c>
      <c r="C414" s="54" t="s">
        <v>23</v>
      </c>
      <c r="D414" s="54" t="s">
        <v>183</v>
      </c>
      <c r="E414" s="54"/>
      <c r="F414" s="34">
        <f>F415</f>
        <v>0</v>
      </c>
      <c r="G414" s="34">
        <f>G415</f>
        <v>0</v>
      </c>
      <c r="H414" s="34">
        <f>H415</f>
        <v>0</v>
      </c>
      <c r="I414" s="27" t="e">
        <f>H414-#REF!</f>
        <v>#REF!</v>
      </c>
    </row>
    <row r="415" spans="1:9" ht="42" hidden="1" customHeight="1">
      <c r="A415" s="73" t="s">
        <v>461</v>
      </c>
      <c r="B415" s="19" t="s">
        <v>460</v>
      </c>
      <c r="C415" s="54" t="s">
        <v>23</v>
      </c>
      <c r="D415" s="54" t="s">
        <v>183</v>
      </c>
      <c r="E415" s="54" t="s">
        <v>462</v>
      </c>
      <c r="F415" s="34">
        <v>0</v>
      </c>
      <c r="G415" s="34">
        <v>0</v>
      </c>
      <c r="H415" s="34">
        <v>0</v>
      </c>
      <c r="I415" s="27" t="e">
        <f>H415-#REF!</f>
        <v>#REF!</v>
      </c>
    </row>
    <row r="416" spans="1:9" ht="25.5">
      <c r="A416" s="55" t="s">
        <v>463</v>
      </c>
      <c r="B416" s="19" t="s">
        <v>464</v>
      </c>
      <c r="C416" s="54" t="s">
        <v>23</v>
      </c>
      <c r="D416" s="54" t="s">
        <v>183</v>
      </c>
      <c r="E416" s="54"/>
      <c r="F416" s="34">
        <f>F417</f>
        <v>3977.9</v>
      </c>
      <c r="G416" s="34">
        <f>G417</f>
        <v>3977.9</v>
      </c>
      <c r="H416" s="34">
        <f>H417</f>
        <v>3977.9</v>
      </c>
      <c r="I416" s="27" t="e">
        <f>H416-#REF!</f>
        <v>#REF!</v>
      </c>
    </row>
    <row r="417" spans="1:10" ht="25.5">
      <c r="A417" s="33" t="s">
        <v>28</v>
      </c>
      <c r="B417" s="19" t="s">
        <v>464</v>
      </c>
      <c r="C417" s="54" t="s">
        <v>23</v>
      </c>
      <c r="D417" s="54" t="s">
        <v>183</v>
      </c>
      <c r="E417" s="54" t="s">
        <v>29</v>
      </c>
      <c r="F417" s="34">
        <f>3818.8+159.1</f>
        <v>3977.9</v>
      </c>
      <c r="G417" s="34">
        <f>3818.8+159.1</f>
        <v>3977.9</v>
      </c>
      <c r="H417" s="34">
        <f>3818.8+159.1</f>
        <v>3977.9</v>
      </c>
      <c r="I417" s="27" t="e">
        <f>H417-#REF!</f>
        <v>#REF!</v>
      </c>
    </row>
    <row r="418" spans="1:10" ht="25.5">
      <c r="A418" s="50" t="s">
        <v>465</v>
      </c>
      <c r="B418" s="51" t="s">
        <v>466</v>
      </c>
      <c r="C418" s="52"/>
      <c r="D418" s="52"/>
      <c r="E418" s="52"/>
      <c r="F418" s="57">
        <f>F419+F437</f>
        <v>31243.1</v>
      </c>
      <c r="G418" s="57">
        <f>G419+G437</f>
        <v>2330</v>
      </c>
      <c r="H418" s="57">
        <f>H419+H437</f>
        <v>2330</v>
      </c>
      <c r="I418" s="27" t="e">
        <f>H418-#REF!</f>
        <v>#REF!</v>
      </c>
      <c r="J418" s="62"/>
    </row>
    <row r="419" spans="1:10" ht="25.5">
      <c r="A419" s="33" t="s">
        <v>467</v>
      </c>
      <c r="B419" s="19" t="s">
        <v>468</v>
      </c>
      <c r="C419" s="54"/>
      <c r="D419" s="54"/>
      <c r="E419" s="54"/>
      <c r="F419" s="34">
        <f>F420+F425+F434</f>
        <v>16315.1</v>
      </c>
      <c r="G419" s="34">
        <f>G420+G425+G434</f>
        <v>2330</v>
      </c>
      <c r="H419" s="34">
        <f>H420+H425+H434</f>
        <v>2330</v>
      </c>
      <c r="I419" s="27" t="e">
        <f>H419-#REF!</f>
        <v>#REF!</v>
      </c>
    </row>
    <row r="420" spans="1:10" ht="25.5">
      <c r="A420" s="33" t="s">
        <v>469</v>
      </c>
      <c r="B420" s="19" t="s">
        <v>470</v>
      </c>
      <c r="C420" s="54"/>
      <c r="D420" s="54"/>
      <c r="E420" s="54"/>
      <c r="F420" s="34">
        <f>F421</f>
        <v>3030</v>
      </c>
      <c r="G420" s="34">
        <f>G421</f>
        <v>1830</v>
      </c>
      <c r="H420" s="34">
        <f>H421</f>
        <v>1830</v>
      </c>
      <c r="I420" s="27" t="e">
        <f>H420-#REF!</f>
        <v>#REF!</v>
      </c>
    </row>
    <row r="421" spans="1:10">
      <c r="A421" s="64" t="s">
        <v>471</v>
      </c>
      <c r="B421" s="19" t="s">
        <v>472</v>
      </c>
      <c r="C421" s="54"/>
      <c r="D421" s="54"/>
      <c r="E421" s="54"/>
      <c r="F421" s="34">
        <f>F423+F422+F424</f>
        <v>3030</v>
      </c>
      <c r="G421" s="34">
        <f>G423+G422+G424</f>
        <v>1830</v>
      </c>
      <c r="H421" s="34">
        <f>H423+H422+H424</f>
        <v>1830</v>
      </c>
      <c r="I421" s="27" t="e">
        <f>H421-#REF!</f>
        <v>#REF!</v>
      </c>
    </row>
    <row r="422" spans="1:10" ht="25.5" hidden="1">
      <c r="A422" s="33" t="s">
        <v>28</v>
      </c>
      <c r="B422" s="19" t="s">
        <v>472</v>
      </c>
      <c r="C422" s="54" t="s">
        <v>100</v>
      </c>
      <c r="D422" s="54" t="s">
        <v>22</v>
      </c>
      <c r="E422" s="54" t="s">
        <v>29</v>
      </c>
      <c r="F422" s="34">
        <v>0</v>
      </c>
      <c r="G422" s="34">
        <v>0</v>
      </c>
      <c r="H422" s="34">
        <v>0</v>
      </c>
      <c r="I422" s="27" t="e">
        <f>H422-#REF!</f>
        <v>#REF!</v>
      </c>
    </row>
    <row r="423" spans="1:10" ht="25.5">
      <c r="A423" s="33" t="s">
        <v>28</v>
      </c>
      <c r="B423" s="19" t="s">
        <v>472</v>
      </c>
      <c r="C423" s="54" t="s">
        <v>100</v>
      </c>
      <c r="D423" s="54" t="s">
        <v>160</v>
      </c>
      <c r="E423" s="54" t="s">
        <v>29</v>
      </c>
      <c r="F423" s="34">
        <f>1200+160+120+600+650+300</f>
        <v>3030</v>
      </c>
      <c r="G423" s="34">
        <v>1830</v>
      </c>
      <c r="H423" s="34">
        <v>1830</v>
      </c>
      <c r="I423" s="27" t="e">
        <f>H423-#REF!</f>
        <v>#REF!</v>
      </c>
    </row>
    <row r="424" spans="1:10" ht="15" hidden="1" customHeight="1">
      <c r="A424" s="33" t="s">
        <v>332</v>
      </c>
      <c r="B424" s="19" t="s">
        <v>472</v>
      </c>
      <c r="C424" s="54" t="s">
        <v>100</v>
      </c>
      <c r="D424" s="54" t="s">
        <v>160</v>
      </c>
      <c r="E424" s="54" t="s">
        <v>237</v>
      </c>
      <c r="F424" s="34">
        <f>2000-2000</f>
        <v>0</v>
      </c>
      <c r="G424" s="34">
        <v>0</v>
      </c>
      <c r="H424" s="34">
        <v>0</v>
      </c>
      <c r="I424" s="27" t="e">
        <f>H424-#REF!</f>
        <v>#REF!</v>
      </c>
    </row>
    <row r="425" spans="1:10" ht="25.5">
      <c r="A425" s="63" t="s">
        <v>473</v>
      </c>
      <c r="B425" s="19" t="s">
        <v>474</v>
      </c>
      <c r="C425" s="54" t="s">
        <v>100</v>
      </c>
      <c r="D425" s="54" t="s">
        <v>160</v>
      </c>
      <c r="E425" s="54"/>
      <c r="F425" s="34">
        <f>F426+F430+F432</f>
        <v>13285.1</v>
      </c>
      <c r="G425" s="34">
        <f>G426+G430+G432</f>
        <v>500</v>
      </c>
      <c r="H425" s="34">
        <f>H426+H430+H432</f>
        <v>500</v>
      </c>
      <c r="I425" s="27" t="e">
        <f>H425-#REF!</f>
        <v>#REF!</v>
      </c>
    </row>
    <row r="426" spans="1:10">
      <c r="A426" s="64" t="s">
        <v>471</v>
      </c>
      <c r="B426" s="19" t="s">
        <v>475</v>
      </c>
      <c r="C426" s="54" t="s">
        <v>100</v>
      </c>
      <c r="D426" s="54" t="s">
        <v>160</v>
      </c>
      <c r="E426" s="54"/>
      <c r="F426" s="34">
        <f>F427+F428+F429</f>
        <v>8875.1</v>
      </c>
      <c r="G426" s="34">
        <f>G427+G428+G429</f>
        <v>500</v>
      </c>
      <c r="H426" s="34">
        <f>H427+H428+H429</f>
        <v>500</v>
      </c>
      <c r="I426" s="27" t="e">
        <f>H426-#REF!</f>
        <v>#REF!</v>
      </c>
    </row>
    <row r="427" spans="1:10" ht="25.5">
      <c r="A427" s="33" t="s">
        <v>28</v>
      </c>
      <c r="B427" s="19" t="s">
        <v>475</v>
      </c>
      <c r="C427" s="54" t="s">
        <v>100</v>
      </c>
      <c r="D427" s="54" t="s">
        <v>160</v>
      </c>
      <c r="E427" s="54" t="s">
        <v>29</v>
      </c>
      <c r="F427" s="34">
        <f>300+150+800+140+600+6760+645-600-150</f>
        <v>8645</v>
      </c>
      <c r="G427" s="34">
        <v>500</v>
      </c>
      <c r="H427" s="34">
        <v>500</v>
      </c>
      <c r="I427" s="27" t="e">
        <f>H427-#REF!</f>
        <v>#REF!</v>
      </c>
    </row>
    <row r="428" spans="1:10" hidden="1">
      <c r="A428" s="92" t="s">
        <v>242</v>
      </c>
      <c r="B428" s="19" t="s">
        <v>475</v>
      </c>
      <c r="C428" s="54" t="s">
        <v>100</v>
      </c>
      <c r="D428" s="54" t="s">
        <v>160</v>
      </c>
      <c r="E428" s="54" t="s">
        <v>237</v>
      </c>
      <c r="F428" s="34">
        <v>0</v>
      </c>
      <c r="G428" s="34">
        <f>2550.8-2550.8</f>
        <v>0</v>
      </c>
      <c r="H428" s="34">
        <v>0</v>
      </c>
      <c r="I428" s="27" t="e">
        <f>H428-#REF!</f>
        <v>#REF!</v>
      </c>
    </row>
    <row r="429" spans="1:10" ht="27.75" customHeight="1">
      <c r="A429" s="95" t="s">
        <v>476</v>
      </c>
      <c r="B429" s="19" t="s">
        <v>475</v>
      </c>
      <c r="C429" s="54" t="s">
        <v>100</v>
      </c>
      <c r="D429" s="54" t="s">
        <v>160</v>
      </c>
      <c r="E429" s="54" t="s">
        <v>239</v>
      </c>
      <c r="F429" s="34">
        <v>230.1</v>
      </c>
      <c r="G429" s="34">
        <v>0</v>
      </c>
      <c r="H429" s="34">
        <v>0</v>
      </c>
      <c r="I429" s="27"/>
    </row>
    <row r="430" spans="1:10" ht="25.5" customHeight="1">
      <c r="A430" s="95" t="s">
        <v>477</v>
      </c>
      <c r="B430" s="19" t="s">
        <v>478</v>
      </c>
      <c r="C430" s="54" t="s">
        <v>100</v>
      </c>
      <c r="D430" s="54" t="s">
        <v>160</v>
      </c>
      <c r="E430" s="54"/>
      <c r="F430" s="34">
        <f>F431</f>
        <v>3810</v>
      </c>
      <c r="G430" s="34">
        <f>G431</f>
        <v>0</v>
      </c>
      <c r="H430" s="34">
        <f>H431</f>
        <v>0</v>
      </c>
      <c r="I430" s="27"/>
    </row>
    <row r="431" spans="1:10" ht="27.75" customHeight="1">
      <c r="A431" s="33" t="s">
        <v>28</v>
      </c>
      <c r="B431" s="19" t="s">
        <v>478</v>
      </c>
      <c r="C431" s="54" t="s">
        <v>100</v>
      </c>
      <c r="D431" s="54" t="s">
        <v>160</v>
      </c>
      <c r="E431" s="54" t="s">
        <v>29</v>
      </c>
      <c r="F431" s="34">
        <f>3610+200</f>
        <v>3810</v>
      </c>
      <c r="G431" s="34">
        <v>0</v>
      </c>
      <c r="H431" s="34">
        <v>0</v>
      </c>
      <c r="I431" s="27"/>
    </row>
    <row r="432" spans="1:10" ht="27.75" customHeight="1">
      <c r="A432" s="104" t="s">
        <v>479</v>
      </c>
      <c r="B432" s="19" t="s">
        <v>480</v>
      </c>
      <c r="C432" s="54" t="s">
        <v>100</v>
      </c>
      <c r="D432" s="54" t="s">
        <v>160</v>
      </c>
      <c r="E432" s="54"/>
      <c r="F432" s="34">
        <f>F433</f>
        <v>600</v>
      </c>
      <c r="G432" s="34">
        <f>G433</f>
        <v>0</v>
      </c>
      <c r="H432" s="34">
        <f>H433</f>
        <v>0</v>
      </c>
      <c r="I432" s="27"/>
    </row>
    <row r="433" spans="1:9" ht="27.75" customHeight="1">
      <c r="A433" s="33" t="s">
        <v>28</v>
      </c>
      <c r="B433" s="19" t="s">
        <v>480</v>
      </c>
      <c r="C433" s="54" t="s">
        <v>100</v>
      </c>
      <c r="D433" s="54" t="s">
        <v>160</v>
      </c>
      <c r="E433" s="54" t="s">
        <v>29</v>
      </c>
      <c r="F433" s="34">
        <v>600</v>
      </c>
      <c r="G433" s="34">
        <v>0</v>
      </c>
      <c r="H433" s="34">
        <v>0</v>
      </c>
      <c r="I433" s="27"/>
    </row>
    <row r="434" spans="1:9" hidden="1">
      <c r="A434" s="63" t="s">
        <v>481</v>
      </c>
      <c r="B434" s="19" t="s">
        <v>482</v>
      </c>
      <c r="C434" s="54"/>
      <c r="D434" s="54"/>
      <c r="E434" s="54"/>
      <c r="F434" s="34">
        <f t="shared" ref="F434:H435" si="21">F435</f>
        <v>0</v>
      </c>
      <c r="G434" s="34">
        <f t="shared" si="21"/>
        <v>0</v>
      </c>
      <c r="H434" s="34">
        <f t="shared" si="21"/>
        <v>0</v>
      </c>
      <c r="I434" s="27" t="e">
        <f>H434-#REF!</f>
        <v>#REF!</v>
      </c>
    </row>
    <row r="435" spans="1:9" hidden="1">
      <c r="A435" s="43" t="s">
        <v>483</v>
      </c>
      <c r="B435" s="19" t="s">
        <v>484</v>
      </c>
      <c r="C435" s="54" t="s">
        <v>100</v>
      </c>
      <c r="D435" s="54" t="s">
        <v>160</v>
      </c>
      <c r="E435" s="54"/>
      <c r="F435" s="34">
        <f t="shared" si="21"/>
        <v>0</v>
      </c>
      <c r="G435" s="34">
        <f t="shared" si="21"/>
        <v>0</v>
      </c>
      <c r="H435" s="34">
        <f t="shared" si="21"/>
        <v>0</v>
      </c>
      <c r="I435" s="27" t="e">
        <f>H435-#REF!</f>
        <v>#REF!</v>
      </c>
    </row>
    <row r="436" spans="1:9" ht="25.5" hidden="1">
      <c r="A436" s="33" t="s">
        <v>28</v>
      </c>
      <c r="B436" s="19" t="s">
        <v>484</v>
      </c>
      <c r="C436" s="54" t="s">
        <v>100</v>
      </c>
      <c r="D436" s="54" t="s">
        <v>160</v>
      </c>
      <c r="E436" s="54" t="s">
        <v>29</v>
      </c>
      <c r="F436" s="34"/>
      <c r="G436" s="34"/>
      <c r="H436" s="34"/>
      <c r="I436" s="27" t="e">
        <f>H436-#REF!</f>
        <v>#REF!</v>
      </c>
    </row>
    <row r="437" spans="1:9" ht="25.5">
      <c r="A437" s="63" t="s">
        <v>485</v>
      </c>
      <c r="B437" s="19" t="s">
        <v>486</v>
      </c>
      <c r="C437" s="54"/>
      <c r="D437" s="54"/>
      <c r="E437" s="54"/>
      <c r="F437" s="34">
        <f>F438+F447</f>
        <v>14928</v>
      </c>
      <c r="G437" s="34">
        <f>G438+G447</f>
        <v>0</v>
      </c>
      <c r="H437" s="34">
        <f>H438+H447</f>
        <v>0</v>
      </c>
      <c r="I437" s="27" t="e">
        <f>H437-#REF!</f>
        <v>#REF!</v>
      </c>
    </row>
    <row r="438" spans="1:9" ht="25.5" hidden="1" customHeight="1">
      <c r="A438" s="33" t="s">
        <v>487</v>
      </c>
      <c r="B438" s="19" t="s">
        <v>488</v>
      </c>
      <c r="C438" s="54" t="s">
        <v>100</v>
      </c>
      <c r="D438" s="54" t="s">
        <v>160</v>
      </c>
      <c r="E438" s="54"/>
      <c r="F438" s="34">
        <f>F439+F441+F443+F445</f>
        <v>0</v>
      </c>
      <c r="G438" s="34">
        <f>G439+G441+G443+G445</f>
        <v>0</v>
      </c>
      <c r="H438" s="34">
        <f>H439+H441+H443+H445</f>
        <v>0</v>
      </c>
      <c r="I438" s="27" t="e">
        <f>H438-#REF!</f>
        <v>#REF!</v>
      </c>
    </row>
    <row r="439" spans="1:9" hidden="1">
      <c r="A439" s="64" t="s">
        <v>471</v>
      </c>
      <c r="B439" s="19" t="s">
        <v>489</v>
      </c>
      <c r="C439" s="54" t="s">
        <v>100</v>
      </c>
      <c r="D439" s="54" t="s">
        <v>160</v>
      </c>
      <c r="E439" s="54"/>
      <c r="F439" s="34">
        <f>F440</f>
        <v>0</v>
      </c>
      <c r="G439" s="34">
        <f>G440</f>
        <v>0</v>
      </c>
      <c r="H439" s="34">
        <f>H440</f>
        <v>0</v>
      </c>
      <c r="I439" s="27" t="e">
        <f>H439-#REF!</f>
        <v>#REF!</v>
      </c>
    </row>
    <row r="440" spans="1:9" hidden="1">
      <c r="A440" s="43" t="s">
        <v>242</v>
      </c>
      <c r="B440" s="19" t="s">
        <v>489</v>
      </c>
      <c r="C440" s="54" t="s">
        <v>100</v>
      </c>
      <c r="D440" s="54" t="s">
        <v>160</v>
      </c>
      <c r="E440" s="54" t="s">
        <v>237</v>
      </c>
      <c r="F440" s="34">
        <f>5500-5500</f>
        <v>0</v>
      </c>
      <c r="G440" s="34">
        <v>0</v>
      </c>
      <c r="H440" s="34">
        <v>0</v>
      </c>
      <c r="I440" s="27" t="e">
        <f>H440-#REF!</f>
        <v>#REF!</v>
      </c>
    </row>
    <row r="441" spans="1:9" ht="24.75" hidden="1" customHeight="1">
      <c r="A441" s="89" t="s">
        <v>490</v>
      </c>
      <c r="B441" s="19" t="s">
        <v>491</v>
      </c>
      <c r="C441" s="54" t="s">
        <v>100</v>
      </c>
      <c r="D441" s="54" t="s">
        <v>160</v>
      </c>
      <c r="E441" s="54"/>
      <c r="F441" s="34">
        <f>F442</f>
        <v>0</v>
      </c>
      <c r="G441" s="34">
        <f>G442</f>
        <v>0</v>
      </c>
      <c r="H441" s="34">
        <f>H442</f>
        <v>0</v>
      </c>
      <c r="I441" s="27" t="e">
        <f>H441-#REF!</f>
        <v>#REF!</v>
      </c>
    </row>
    <row r="442" spans="1:9" hidden="1">
      <c r="A442" s="43" t="s">
        <v>242</v>
      </c>
      <c r="B442" s="19" t="s">
        <v>491</v>
      </c>
      <c r="C442" s="54" t="s">
        <v>100</v>
      </c>
      <c r="D442" s="54" t="s">
        <v>160</v>
      </c>
      <c r="E442" s="54" t="s">
        <v>237</v>
      </c>
      <c r="F442" s="34"/>
      <c r="G442" s="34"/>
      <c r="H442" s="34"/>
      <c r="I442" s="27" t="e">
        <f>H442-#REF!</f>
        <v>#REF!</v>
      </c>
    </row>
    <row r="443" spans="1:9" ht="38.25" hidden="1">
      <c r="A443" s="92" t="s">
        <v>492</v>
      </c>
      <c r="B443" s="19" t="s">
        <v>493</v>
      </c>
      <c r="C443" s="54" t="s">
        <v>100</v>
      </c>
      <c r="D443" s="54" t="s">
        <v>160</v>
      </c>
      <c r="E443" s="54"/>
      <c r="F443" s="34">
        <f>F444</f>
        <v>0</v>
      </c>
      <c r="G443" s="34">
        <f>G444</f>
        <v>0</v>
      </c>
      <c r="H443" s="34">
        <f>H444</f>
        <v>0</v>
      </c>
      <c r="I443" s="27"/>
    </row>
    <row r="444" spans="1:9" hidden="1">
      <c r="A444" s="92" t="s">
        <v>242</v>
      </c>
      <c r="B444" s="19" t="s">
        <v>493</v>
      </c>
      <c r="C444" s="54" t="s">
        <v>100</v>
      </c>
      <c r="D444" s="54" t="s">
        <v>160</v>
      </c>
      <c r="E444" s="54" t="s">
        <v>237</v>
      </c>
      <c r="F444" s="34"/>
      <c r="G444" s="34"/>
      <c r="H444" s="34"/>
      <c r="I444" s="27"/>
    </row>
    <row r="445" spans="1:9" ht="24" hidden="1" customHeight="1">
      <c r="A445" s="105" t="s">
        <v>494</v>
      </c>
      <c r="B445" s="19" t="s">
        <v>495</v>
      </c>
      <c r="C445" s="54" t="s">
        <v>100</v>
      </c>
      <c r="D445" s="54" t="s">
        <v>160</v>
      </c>
      <c r="E445" s="54"/>
      <c r="F445" s="34">
        <f>F446</f>
        <v>0</v>
      </c>
      <c r="G445" s="34">
        <f>G446</f>
        <v>0</v>
      </c>
      <c r="H445" s="34">
        <f>H446</f>
        <v>0</v>
      </c>
      <c r="I445" s="27" t="e">
        <f>H445-#REF!</f>
        <v>#REF!</v>
      </c>
    </row>
    <row r="446" spans="1:9" hidden="1">
      <c r="A446" s="43" t="s">
        <v>242</v>
      </c>
      <c r="B446" s="19" t="s">
        <v>495</v>
      </c>
      <c r="C446" s="54" t="s">
        <v>100</v>
      </c>
      <c r="D446" s="54" t="s">
        <v>160</v>
      </c>
      <c r="E446" s="54" t="s">
        <v>237</v>
      </c>
      <c r="F446" s="34"/>
      <c r="G446" s="34"/>
      <c r="H446" s="34"/>
      <c r="I446" s="27" t="e">
        <f>H446-#REF!</f>
        <v>#REF!</v>
      </c>
    </row>
    <row r="447" spans="1:9">
      <c r="A447" s="89" t="s">
        <v>496</v>
      </c>
      <c r="B447" s="19" t="s">
        <v>497</v>
      </c>
      <c r="C447" s="54" t="s">
        <v>100</v>
      </c>
      <c r="D447" s="54" t="s">
        <v>160</v>
      </c>
      <c r="E447" s="54"/>
      <c r="F447" s="34">
        <f t="shared" ref="F447:H448" si="22">F448</f>
        <v>14928</v>
      </c>
      <c r="G447" s="34">
        <f t="shared" si="22"/>
        <v>0</v>
      </c>
      <c r="H447" s="34">
        <f t="shared" si="22"/>
        <v>0</v>
      </c>
      <c r="I447" s="27" t="e">
        <f>H447-#REF!</f>
        <v>#REF!</v>
      </c>
    </row>
    <row r="448" spans="1:9" ht="25.5">
      <c r="A448" s="89" t="s">
        <v>498</v>
      </c>
      <c r="B448" s="19" t="s">
        <v>499</v>
      </c>
      <c r="C448" s="54" t="s">
        <v>100</v>
      </c>
      <c r="D448" s="54" t="s">
        <v>160</v>
      </c>
      <c r="E448" s="54"/>
      <c r="F448" s="34">
        <f t="shared" si="22"/>
        <v>14928</v>
      </c>
      <c r="G448" s="34">
        <f t="shared" si="22"/>
        <v>0</v>
      </c>
      <c r="H448" s="34">
        <f t="shared" si="22"/>
        <v>0</v>
      </c>
      <c r="I448" s="27" t="e">
        <f>H448-#REF!</f>
        <v>#REF!</v>
      </c>
    </row>
    <row r="449" spans="1:9">
      <c r="A449" s="43" t="s">
        <v>242</v>
      </c>
      <c r="B449" s="19" t="s">
        <v>499</v>
      </c>
      <c r="C449" s="54" t="s">
        <v>100</v>
      </c>
      <c r="D449" s="54" t="s">
        <v>160</v>
      </c>
      <c r="E449" s="54" t="s">
        <v>237</v>
      </c>
      <c r="F449" s="34">
        <f>10600.2+327.8+4000</f>
        <v>14928</v>
      </c>
      <c r="G449" s="34">
        <v>0</v>
      </c>
      <c r="H449" s="34">
        <v>0</v>
      </c>
      <c r="I449" s="27" t="e">
        <f>H449-#REF!</f>
        <v>#REF!</v>
      </c>
    </row>
    <row r="450" spans="1:9">
      <c r="A450" s="50" t="s">
        <v>500</v>
      </c>
      <c r="B450" s="51" t="s">
        <v>501</v>
      </c>
      <c r="C450" s="52"/>
      <c r="D450" s="52"/>
      <c r="E450" s="52"/>
      <c r="F450" s="57">
        <f t="shared" ref="F450:H452" si="23">F451</f>
        <v>550</v>
      </c>
      <c r="G450" s="57">
        <f t="shared" si="23"/>
        <v>550</v>
      </c>
      <c r="H450" s="57">
        <f t="shared" si="23"/>
        <v>550</v>
      </c>
      <c r="I450" s="27" t="e">
        <f>H450-#REF!</f>
        <v>#REF!</v>
      </c>
    </row>
    <row r="451" spans="1:9" ht="25.5">
      <c r="A451" s="106" t="s">
        <v>502</v>
      </c>
      <c r="B451" s="19" t="s">
        <v>503</v>
      </c>
      <c r="C451" s="54" t="s">
        <v>23</v>
      </c>
      <c r="D451" s="54" t="s">
        <v>22</v>
      </c>
      <c r="E451" s="54"/>
      <c r="F451" s="34">
        <f t="shared" si="23"/>
        <v>550</v>
      </c>
      <c r="G451" s="34">
        <f t="shared" si="23"/>
        <v>550</v>
      </c>
      <c r="H451" s="34">
        <f t="shared" si="23"/>
        <v>550</v>
      </c>
      <c r="I451" s="27" t="e">
        <f>H451-#REF!</f>
        <v>#REF!</v>
      </c>
    </row>
    <row r="452" spans="1:9">
      <c r="A452" s="40" t="s">
        <v>504</v>
      </c>
      <c r="B452" s="19" t="s">
        <v>505</v>
      </c>
      <c r="C452" s="54" t="s">
        <v>23</v>
      </c>
      <c r="D452" s="54" t="s">
        <v>22</v>
      </c>
      <c r="E452" s="54"/>
      <c r="F452" s="34">
        <f t="shared" si="23"/>
        <v>550</v>
      </c>
      <c r="G452" s="34">
        <f t="shared" si="23"/>
        <v>550</v>
      </c>
      <c r="H452" s="34">
        <f t="shared" si="23"/>
        <v>550</v>
      </c>
      <c r="I452" s="27" t="e">
        <f>H452-#REF!</f>
        <v>#REF!</v>
      </c>
    </row>
    <row r="453" spans="1:9" ht="25.5">
      <c r="A453" s="33" t="s">
        <v>28</v>
      </c>
      <c r="B453" s="19" t="s">
        <v>505</v>
      </c>
      <c r="C453" s="54" t="s">
        <v>23</v>
      </c>
      <c r="D453" s="54" t="s">
        <v>22</v>
      </c>
      <c r="E453" s="54" t="s">
        <v>29</v>
      </c>
      <c r="F453" s="34">
        <v>550</v>
      </c>
      <c r="G453" s="34">
        <v>550</v>
      </c>
      <c r="H453" s="34">
        <v>550</v>
      </c>
      <c r="I453" s="27" t="e">
        <f>H453-#REF!</f>
        <v>#REF!</v>
      </c>
    </row>
    <row r="454" spans="1:9" ht="25.5">
      <c r="A454" s="50" t="s">
        <v>506</v>
      </c>
      <c r="B454" s="51" t="s">
        <v>507</v>
      </c>
      <c r="C454" s="52"/>
      <c r="D454" s="52"/>
      <c r="E454" s="52"/>
      <c r="F454" s="57">
        <f>F455+F458+F461+F464</f>
        <v>610.29999999999995</v>
      </c>
      <c r="G454" s="57">
        <f>G455+G458+G461+G464</f>
        <v>449.4</v>
      </c>
      <c r="H454" s="57">
        <f>H455+H458+H461+H464</f>
        <v>449.4</v>
      </c>
      <c r="I454" s="27" t="e">
        <f>H454-#REF!</f>
        <v>#REF!</v>
      </c>
    </row>
    <row r="455" spans="1:9" ht="38.25">
      <c r="A455" s="33" t="s">
        <v>508</v>
      </c>
      <c r="B455" s="19" t="s">
        <v>509</v>
      </c>
      <c r="C455" s="54" t="s">
        <v>23</v>
      </c>
      <c r="D455" s="54" t="s">
        <v>178</v>
      </c>
      <c r="E455" s="54"/>
      <c r="F455" s="34">
        <f t="shared" ref="F455:H456" si="24">F456</f>
        <v>40</v>
      </c>
      <c r="G455" s="34">
        <f t="shared" si="24"/>
        <v>40</v>
      </c>
      <c r="H455" s="34">
        <f t="shared" si="24"/>
        <v>40</v>
      </c>
      <c r="I455" s="27" t="e">
        <f>H455-#REF!</f>
        <v>#REF!</v>
      </c>
    </row>
    <row r="456" spans="1:9">
      <c r="A456" s="33" t="s">
        <v>510</v>
      </c>
      <c r="B456" s="19" t="s">
        <v>511</v>
      </c>
      <c r="C456" s="54" t="s">
        <v>23</v>
      </c>
      <c r="D456" s="54" t="s">
        <v>178</v>
      </c>
      <c r="E456" s="54"/>
      <c r="F456" s="34">
        <f t="shared" si="24"/>
        <v>40</v>
      </c>
      <c r="G456" s="34">
        <f t="shared" si="24"/>
        <v>40</v>
      </c>
      <c r="H456" s="34">
        <f t="shared" si="24"/>
        <v>40</v>
      </c>
      <c r="I456" s="27" t="e">
        <f>H456-#REF!</f>
        <v>#REF!</v>
      </c>
    </row>
    <row r="457" spans="1:9" ht="25.5">
      <c r="A457" s="33" t="s">
        <v>28</v>
      </c>
      <c r="B457" s="19" t="s">
        <v>511</v>
      </c>
      <c r="C457" s="54" t="s">
        <v>23</v>
      </c>
      <c r="D457" s="54" t="s">
        <v>178</v>
      </c>
      <c r="E457" s="54" t="s">
        <v>29</v>
      </c>
      <c r="F457" s="34">
        <v>40</v>
      </c>
      <c r="G457" s="34">
        <v>40</v>
      </c>
      <c r="H457" s="34">
        <v>40</v>
      </c>
      <c r="I457" s="27" t="e">
        <f>H457-#REF!</f>
        <v>#REF!</v>
      </c>
    </row>
    <row r="458" spans="1:9" ht="25.5">
      <c r="A458" s="33" t="s">
        <v>512</v>
      </c>
      <c r="B458" s="19" t="s">
        <v>513</v>
      </c>
      <c r="C458" s="54" t="s">
        <v>23</v>
      </c>
      <c r="D458" s="54" t="s">
        <v>178</v>
      </c>
      <c r="E458" s="54"/>
      <c r="F458" s="34">
        <f t="shared" ref="F458:H459" si="25">F459</f>
        <v>100</v>
      </c>
      <c r="G458" s="34">
        <f t="shared" si="25"/>
        <v>0</v>
      </c>
      <c r="H458" s="34">
        <f t="shared" si="25"/>
        <v>0</v>
      </c>
      <c r="I458" s="27" t="e">
        <f>H458-#REF!</f>
        <v>#REF!</v>
      </c>
    </row>
    <row r="459" spans="1:9" ht="25.5">
      <c r="A459" s="33" t="s">
        <v>514</v>
      </c>
      <c r="B459" s="19" t="s">
        <v>515</v>
      </c>
      <c r="C459" s="54" t="s">
        <v>23</v>
      </c>
      <c r="D459" s="54" t="s">
        <v>178</v>
      </c>
      <c r="E459" s="54"/>
      <c r="F459" s="34">
        <f t="shared" si="25"/>
        <v>100</v>
      </c>
      <c r="G459" s="34">
        <f t="shared" si="25"/>
        <v>0</v>
      </c>
      <c r="H459" s="34">
        <f t="shared" si="25"/>
        <v>0</v>
      </c>
      <c r="I459" s="27" t="e">
        <f>H459-#REF!</f>
        <v>#REF!</v>
      </c>
    </row>
    <row r="460" spans="1:9" ht="25.5">
      <c r="A460" s="33" t="s">
        <v>28</v>
      </c>
      <c r="B460" s="19" t="s">
        <v>515</v>
      </c>
      <c r="C460" s="54" t="s">
        <v>23</v>
      </c>
      <c r="D460" s="54" t="s">
        <v>178</v>
      </c>
      <c r="E460" s="54" t="s">
        <v>29</v>
      </c>
      <c r="F460" s="34">
        <v>100</v>
      </c>
      <c r="G460" s="34">
        <v>0</v>
      </c>
      <c r="H460" s="34">
        <v>0</v>
      </c>
      <c r="I460" s="27" t="e">
        <f>H460-#REF!</f>
        <v>#REF!</v>
      </c>
    </row>
    <row r="461" spans="1:9" ht="25.5" hidden="1">
      <c r="A461" s="33" t="s">
        <v>516</v>
      </c>
      <c r="B461" s="19" t="s">
        <v>517</v>
      </c>
      <c r="C461" s="54" t="s">
        <v>23</v>
      </c>
      <c r="D461" s="54" t="s">
        <v>178</v>
      </c>
      <c r="E461" s="54"/>
      <c r="F461" s="34">
        <f t="shared" ref="F461:H462" si="26">F462</f>
        <v>0</v>
      </c>
      <c r="G461" s="34">
        <f t="shared" si="26"/>
        <v>0</v>
      </c>
      <c r="H461" s="34">
        <f t="shared" si="26"/>
        <v>0</v>
      </c>
      <c r="I461" s="27" t="e">
        <f>H461-#REF!</f>
        <v>#REF!</v>
      </c>
    </row>
    <row r="462" spans="1:9" hidden="1">
      <c r="A462" s="33" t="s">
        <v>518</v>
      </c>
      <c r="B462" s="19" t="s">
        <v>519</v>
      </c>
      <c r="C462" s="54" t="s">
        <v>23</v>
      </c>
      <c r="D462" s="54" t="s">
        <v>178</v>
      </c>
      <c r="E462" s="54"/>
      <c r="F462" s="34">
        <f t="shared" si="26"/>
        <v>0</v>
      </c>
      <c r="G462" s="34">
        <f t="shared" si="26"/>
        <v>0</v>
      </c>
      <c r="H462" s="34">
        <f t="shared" si="26"/>
        <v>0</v>
      </c>
      <c r="I462" s="27" t="e">
        <f>H462-#REF!</f>
        <v>#REF!</v>
      </c>
    </row>
    <row r="463" spans="1:9" ht="51" hidden="1">
      <c r="A463" s="33" t="s">
        <v>461</v>
      </c>
      <c r="B463" s="19" t="s">
        <v>519</v>
      </c>
      <c r="C463" s="54" t="s">
        <v>23</v>
      </c>
      <c r="D463" s="54" t="s">
        <v>178</v>
      </c>
      <c r="E463" s="54" t="s">
        <v>462</v>
      </c>
      <c r="F463" s="34">
        <v>0</v>
      </c>
      <c r="G463" s="34">
        <v>0</v>
      </c>
      <c r="H463" s="34">
        <v>0</v>
      </c>
      <c r="I463" s="27" t="e">
        <f>H463-#REF!</f>
        <v>#REF!</v>
      </c>
    </row>
    <row r="464" spans="1:9" ht="25.5">
      <c r="A464" s="33" t="s">
        <v>520</v>
      </c>
      <c r="B464" s="19" t="s">
        <v>521</v>
      </c>
      <c r="C464" s="54" t="s">
        <v>23</v>
      </c>
      <c r="D464" s="54" t="s">
        <v>178</v>
      </c>
      <c r="E464" s="60"/>
      <c r="F464" s="34">
        <f>F467+F465</f>
        <v>470.3</v>
      </c>
      <c r="G464" s="34">
        <f>G467+G465</f>
        <v>409.4</v>
      </c>
      <c r="H464" s="34">
        <f>H467+H465</f>
        <v>409.4</v>
      </c>
      <c r="I464" s="27" t="e">
        <f>H464-#REF!</f>
        <v>#REF!</v>
      </c>
    </row>
    <row r="465" spans="1:12" ht="38.25" hidden="1">
      <c r="A465" s="33" t="s">
        <v>522</v>
      </c>
      <c r="B465" s="19" t="s">
        <v>523</v>
      </c>
      <c r="C465" s="54" t="s">
        <v>23</v>
      </c>
      <c r="D465" s="54" t="s">
        <v>178</v>
      </c>
      <c r="E465" s="60"/>
      <c r="F465" s="34">
        <f>F466</f>
        <v>0</v>
      </c>
      <c r="G465" s="34">
        <f>G466</f>
        <v>0</v>
      </c>
      <c r="H465" s="34">
        <f>H466</f>
        <v>0</v>
      </c>
      <c r="I465" s="27" t="e">
        <f>H465-#REF!</f>
        <v>#REF!</v>
      </c>
    </row>
    <row r="466" spans="1:12" ht="51" hidden="1">
      <c r="A466" s="69" t="s">
        <v>66</v>
      </c>
      <c r="B466" s="19" t="s">
        <v>524</v>
      </c>
      <c r="C466" s="54" t="s">
        <v>23</v>
      </c>
      <c r="D466" s="54" t="s">
        <v>178</v>
      </c>
      <c r="E466" s="54" t="s">
        <v>62</v>
      </c>
      <c r="F466" s="34">
        <v>0</v>
      </c>
      <c r="G466" s="34">
        <v>0</v>
      </c>
      <c r="H466" s="34">
        <v>0</v>
      </c>
      <c r="I466" s="27" t="e">
        <f>H466-#REF!</f>
        <v>#REF!</v>
      </c>
    </row>
    <row r="467" spans="1:12" ht="25.5">
      <c r="A467" s="33" t="s">
        <v>525</v>
      </c>
      <c r="B467" s="19" t="s">
        <v>526</v>
      </c>
      <c r="C467" s="54" t="s">
        <v>23</v>
      </c>
      <c r="D467" s="54" t="s">
        <v>178</v>
      </c>
      <c r="E467" s="60"/>
      <c r="F467" s="34">
        <f>F468</f>
        <v>470.3</v>
      </c>
      <c r="G467" s="34">
        <f>G468</f>
        <v>409.4</v>
      </c>
      <c r="H467" s="34">
        <f>H468</f>
        <v>409.4</v>
      </c>
      <c r="I467" s="27" t="e">
        <f>H467-#REF!</f>
        <v>#REF!</v>
      </c>
    </row>
    <row r="468" spans="1:12" ht="38.25">
      <c r="A468" s="99" t="s">
        <v>61</v>
      </c>
      <c r="B468" s="19" t="s">
        <v>526</v>
      </c>
      <c r="C468" s="54" t="s">
        <v>23</v>
      </c>
      <c r="D468" s="54" t="s">
        <v>178</v>
      </c>
      <c r="E468" s="54" t="s">
        <v>62</v>
      </c>
      <c r="F468" s="34">
        <f>446.8+23.5</f>
        <v>470.3</v>
      </c>
      <c r="G468" s="34">
        <f>388.9+20.5</f>
        <v>409.4</v>
      </c>
      <c r="H468" s="34">
        <f>388.9+20.5</f>
        <v>409.4</v>
      </c>
      <c r="I468" s="27" t="e">
        <f>H468-#REF!</f>
        <v>#REF!</v>
      </c>
    </row>
    <row r="469" spans="1:12" ht="25.5">
      <c r="A469" s="107" t="s">
        <v>527</v>
      </c>
      <c r="B469" s="51" t="s">
        <v>528</v>
      </c>
      <c r="C469" s="52"/>
      <c r="D469" s="52"/>
      <c r="E469" s="52"/>
      <c r="F469" s="57">
        <f>F470+F481</f>
        <v>24050.6</v>
      </c>
      <c r="G469" s="57">
        <f>G470+G481</f>
        <v>24163.599999999999</v>
      </c>
      <c r="H469" s="57">
        <f>H470+H481</f>
        <v>24163.599999999999</v>
      </c>
      <c r="I469" s="27" t="e">
        <f>H469-#REF!</f>
        <v>#REF!</v>
      </c>
    </row>
    <row r="470" spans="1:12" ht="63.75">
      <c r="A470" s="55" t="s">
        <v>529</v>
      </c>
      <c r="B470" s="19" t="s">
        <v>530</v>
      </c>
      <c r="C470" s="54"/>
      <c r="D470" s="54"/>
      <c r="E470" s="54"/>
      <c r="F470" s="34">
        <f>F471+F475+F477+F479</f>
        <v>9359.9999999999982</v>
      </c>
      <c r="G470" s="34">
        <f>G471+G475+G477+G479</f>
        <v>9399.9999999999982</v>
      </c>
      <c r="H470" s="34">
        <f>H471+H475+H477+H479</f>
        <v>9399.9999999999982</v>
      </c>
      <c r="I470" s="27" t="e">
        <f>H470-#REF!</f>
        <v>#REF!</v>
      </c>
    </row>
    <row r="471" spans="1:12">
      <c r="A471" s="100" t="s">
        <v>161</v>
      </c>
      <c r="B471" s="19" t="s">
        <v>531</v>
      </c>
      <c r="C471" s="54" t="s">
        <v>22</v>
      </c>
      <c r="D471" s="54" t="s">
        <v>46</v>
      </c>
      <c r="E471" s="54"/>
      <c r="F471" s="34">
        <f>F472+F473+F474</f>
        <v>9304.9999999999982</v>
      </c>
      <c r="G471" s="34">
        <f>G472+G473+G474</f>
        <v>9344.9999999999982</v>
      </c>
      <c r="H471" s="34">
        <f>H472+H473+H474</f>
        <v>9344.9999999999982</v>
      </c>
      <c r="I471" s="148" t="e">
        <f>H471-#REF!</f>
        <v>#REF!</v>
      </c>
      <c r="J471" s="36"/>
      <c r="K471" s="36"/>
      <c r="L471" s="36"/>
    </row>
    <row r="472" spans="1:12">
      <c r="A472" s="33" t="s">
        <v>26</v>
      </c>
      <c r="B472" s="19" t="s">
        <v>531</v>
      </c>
      <c r="C472" s="54" t="s">
        <v>22</v>
      </c>
      <c r="D472" s="54" t="s">
        <v>46</v>
      </c>
      <c r="E472" s="54" t="s">
        <v>27</v>
      </c>
      <c r="F472" s="34">
        <f>8419.3+222.8+47</f>
        <v>8689.0999999999985</v>
      </c>
      <c r="G472" s="34">
        <f>8419.3+222.8+47</f>
        <v>8689.0999999999985</v>
      </c>
      <c r="H472" s="34">
        <f>8419.3+222.8+47</f>
        <v>8689.0999999999985</v>
      </c>
      <c r="I472" s="148" t="e">
        <f>H472-#REF!</f>
        <v>#REF!</v>
      </c>
      <c r="J472" s="42"/>
      <c r="K472" s="42"/>
      <c r="L472" s="42"/>
    </row>
    <row r="473" spans="1:12" ht="25.5">
      <c r="A473" s="33" t="s">
        <v>28</v>
      </c>
      <c r="B473" s="19" t="s">
        <v>531</v>
      </c>
      <c r="C473" s="54" t="s">
        <v>22</v>
      </c>
      <c r="D473" s="54" t="s">
        <v>46</v>
      </c>
      <c r="E473" s="54" t="s">
        <v>29</v>
      </c>
      <c r="F473" s="34">
        <f>657.9-43</f>
        <v>614.9</v>
      </c>
      <c r="G473" s="34">
        <v>655.9</v>
      </c>
      <c r="H473" s="34">
        <v>655.9</v>
      </c>
      <c r="I473" s="27" t="e">
        <f>H473-#REF!</f>
        <v>#REF!</v>
      </c>
    </row>
    <row r="474" spans="1:12">
      <c r="A474" s="33" t="s">
        <v>151</v>
      </c>
      <c r="B474" s="19" t="s">
        <v>531</v>
      </c>
      <c r="C474" s="54" t="s">
        <v>22</v>
      </c>
      <c r="D474" s="54" t="s">
        <v>46</v>
      </c>
      <c r="E474" s="54" t="s">
        <v>113</v>
      </c>
      <c r="F474" s="34">
        <v>1</v>
      </c>
      <c r="G474" s="34">
        <v>0</v>
      </c>
      <c r="H474" s="34">
        <v>0</v>
      </c>
      <c r="I474" s="27" t="e">
        <f>H474-#REF!</f>
        <v>#REF!</v>
      </c>
    </row>
    <row r="475" spans="1:12" ht="25.5">
      <c r="A475" s="33" t="s">
        <v>532</v>
      </c>
      <c r="B475" s="19" t="s">
        <v>533</v>
      </c>
      <c r="C475" s="54" t="s">
        <v>22</v>
      </c>
      <c r="D475" s="54" t="s">
        <v>46</v>
      </c>
      <c r="E475" s="54"/>
      <c r="F475" s="34">
        <f>F476</f>
        <v>25</v>
      </c>
      <c r="G475" s="34">
        <f>G476</f>
        <v>25</v>
      </c>
      <c r="H475" s="34">
        <f>H476</f>
        <v>25</v>
      </c>
      <c r="I475" s="27" t="e">
        <f>H475-#REF!</f>
        <v>#REF!</v>
      </c>
    </row>
    <row r="476" spans="1:12" ht="25.5">
      <c r="A476" s="33" t="s">
        <v>28</v>
      </c>
      <c r="B476" s="19" t="s">
        <v>533</v>
      </c>
      <c r="C476" s="54" t="s">
        <v>22</v>
      </c>
      <c r="D476" s="54" t="s">
        <v>46</v>
      </c>
      <c r="E476" s="54" t="s">
        <v>29</v>
      </c>
      <c r="F476" s="34">
        <v>25</v>
      </c>
      <c r="G476" s="34">
        <v>25</v>
      </c>
      <c r="H476" s="34">
        <v>25</v>
      </c>
      <c r="I476" s="27" t="e">
        <f>H476-#REF!</f>
        <v>#REF!</v>
      </c>
    </row>
    <row r="477" spans="1:12">
      <c r="A477" s="33" t="s">
        <v>534</v>
      </c>
      <c r="B477" s="19" t="s">
        <v>535</v>
      </c>
      <c r="C477" s="54" t="s">
        <v>22</v>
      </c>
      <c r="D477" s="54" t="s">
        <v>52</v>
      </c>
      <c r="E477" s="54"/>
      <c r="F477" s="34">
        <f>F478</f>
        <v>30</v>
      </c>
      <c r="G477" s="34">
        <f>G478</f>
        <v>30</v>
      </c>
      <c r="H477" s="34">
        <f>H478</f>
        <v>30</v>
      </c>
      <c r="I477" s="27" t="e">
        <f>H477-#REF!</f>
        <v>#REF!</v>
      </c>
    </row>
    <row r="478" spans="1:12">
      <c r="A478" s="33" t="s">
        <v>151</v>
      </c>
      <c r="B478" s="19" t="s">
        <v>535</v>
      </c>
      <c r="C478" s="54" t="s">
        <v>22</v>
      </c>
      <c r="D478" s="54" t="s">
        <v>52</v>
      </c>
      <c r="E478" s="54" t="s">
        <v>113</v>
      </c>
      <c r="F478" s="34">
        <v>30</v>
      </c>
      <c r="G478" s="34">
        <v>30</v>
      </c>
      <c r="H478" s="34">
        <v>30</v>
      </c>
      <c r="I478" s="27" t="e">
        <f>H478-#REF!</f>
        <v>#REF!</v>
      </c>
    </row>
    <row r="479" spans="1:12" ht="102" hidden="1">
      <c r="A479" s="70" t="s">
        <v>176</v>
      </c>
      <c r="B479" s="19" t="s">
        <v>536</v>
      </c>
      <c r="C479" s="54" t="s">
        <v>22</v>
      </c>
      <c r="D479" s="54" t="s">
        <v>46</v>
      </c>
      <c r="E479" s="54"/>
      <c r="F479" s="34">
        <f>F480</f>
        <v>0</v>
      </c>
      <c r="G479" s="34">
        <f>G480</f>
        <v>0</v>
      </c>
      <c r="H479" s="34">
        <f>H480</f>
        <v>0</v>
      </c>
      <c r="I479" s="27" t="e">
        <f>H479-#REF!</f>
        <v>#REF!</v>
      </c>
    </row>
    <row r="480" spans="1:12" hidden="1">
      <c r="A480" s="70" t="s">
        <v>26</v>
      </c>
      <c r="B480" s="19" t="s">
        <v>536</v>
      </c>
      <c r="C480" s="54" t="s">
        <v>22</v>
      </c>
      <c r="D480" s="54" t="s">
        <v>46</v>
      </c>
      <c r="E480" s="54" t="s">
        <v>27</v>
      </c>
      <c r="F480" s="34"/>
      <c r="G480" s="34">
        <v>0</v>
      </c>
      <c r="H480" s="34">
        <v>0</v>
      </c>
      <c r="I480" s="27" t="e">
        <f>H480-#REF!</f>
        <v>#REF!</v>
      </c>
    </row>
    <row r="481" spans="1:9" ht="38.25">
      <c r="A481" s="33" t="s">
        <v>537</v>
      </c>
      <c r="B481" s="19" t="s">
        <v>538</v>
      </c>
      <c r="C481" s="54" t="s">
        <v>22</v>
      </c>
      <c r="D481" s="54" t="s">
        <v>52</v>
      </c>
      <c r="E481" s="54"/>
      <c r="F481" s="34">
        <f>F482+F486</f>
        <v>14690.6</v>
      </c>
      <c r="G481" s="34">
        <f>G482+G486</f>
        <v>14763.6</v>
      </c>
      <c r="H481" s="34">
        <f>H482+H486</f>
        <v>14763.6</v>
      </c>
      <c r="I481" s="27" t="e">
        <f>H481-#REF!</f>
        <v>#REF!</v>
      </c>
    </row>
    <row r="482" spans="1:9" ht="25.5">
      <c r="A482" s="33" t="s">
        <v>149</v>
      </c>
      <c r="B482" s="19" t="s">
        <v>539</v>
      </c>
      <c r="C482" s="54" t="s">
        <v>22</v>
      </c>
      <c r="D482" s="54" t="s">
        <v>52</v>
      </c>
      <c r="E482" s="54"/>
      <c r="F482" s="34">
        <f>F483+F484+F485</f>
        <v>1051</v>
      </c>
      <c r="G482" s="34">
        <f>G483+G484+G485</f>
        <v>1124</v>
      </c>
      <c r="H482" s="34">
        <f>H483+H484+H485</f>
        <v>1124</v>
      </c>
      <c r="I482" s="27" t="e">
        <f>H482-#REF!</f>
        <v>#REF!</v>
      </c>
    </row>
    <row r="483" spans="1:9" hidden="1">
      <c r="A483" s="108" t="s">
        <v>34</v>
      </c>
      <c r="B483" s="19" t="s">
        <v>539</v>
      </c>
      <c r="C483" s="54" t="s">
        <v>22</v>
      </c>
      <c r="D483" s="54" t="s">
        <v>52</v>
      </c>
      <c r="E483" s="54" t="s">
        <v>37</v>
      </c>
      <c r="F483" s="34">
        <v>0</v>
      </c>
      <c r="G483" s="34">
        <v>0</v>
      </c>
      <c r="H483" s="34">
        <v>0</v>
      </c>
      <c r="I483" s="27" t="e">
        <f>H483-#REF!</f>
        <v>#REF!</v>
      </c>
    </row>
    <row r="484" spans="1:9" ht="25.5">
      <c r="A484" s="108" t="s">
        <v>28</v>
      </c>
      <c r="B484" s="19" t="s">
        <v>539</v>
      </c>
      <c r="C484" s="54" t="s">
        <v>22</v>
      </c>
      <c r="D484" s="54" t="s">
        <v>52</v>
      </c>
      <c r="E484" s="54" t="s">
        <v>29</v>
      </c>
      <c r="F484" s="34">
        <f>1119-73</f>
        <v>1046</v>
      </c>
      <c r="G484" s="34">
        <v>1119</v>
      </c>
      <c r="H484" s="34">
        <v>1119</v>
      </c>
      <c r="I484" s="27" t="e">
        <f>H484-#REF!</f>
        <v>#REF!</v>
      </c>
    </row>
    <row r="485" spans="1:9">
      <c r="A485" s="33" t="s">
        <v>151</v>
      </c>
      <c r="B485" s="19" t="s">
        <v>539</v>
      </c>
      <c r="C485" s="54" t="s">
        <v>22</v>
      </c>
      <c r="D485" s="54" t="s">
        <v>52</v>
      </c>
      <c r="E485" s="54" t="s">
        <v>113</v>
      </c>
      <c r="F485" s="34">
        <v>5</v>
      </c>
      <c r="G485" s="34">
        <v>5</v>
      </c>
      <c r="H485" s="34">
        <v>5</v>
      </c>
      <c r="I485" s="27" t="e">
        <f>H485-#REF!</f>
        <v>#REF!</v>
      </c>
    </row>
    <row r="486" spans="1:9" ht="25.5">
      <c r="A486" s="47" t="s">
        <v>163</v>
      </c>
      <c r="B486" s="19" t="s">
        <v>540</v>
      </c>
      <c r="C486" s="54" t="s">
        <v>22</v>
      </c>
      <c r="D486" s="54" t="s">
        <v>52</v>
      </c>
      <c r="E486" s="54"/>
      <c r="F486" s="34">
        <f>F487</f>
        <v>13639.6</v>
      </c>
      <c r="G486" s="34">
        <f>G487</f>
        <v>13639.6</v>
      </c>
      <c r="H486" s="34">
        <f>H487</f>
        <v>13639.6</v>
      </c>
      <c r="I486" s="27" t="e">
        <f>H486-#REF!</f>
        <v>#REF!</v>
      </c>
    </row>
    <row r="487" spans="1:9">
      <c r="A487" s="109" t="s">
        <v>34</v>
      </c>
      <c r="B487" s="19" t="s">
        <v>540</v>
      </c>
      <c r="C487" s="54" t="s">
        <v>22</v>
      </c>
      <c r="D487" s="54" t="s">
        <v>52</v>
      </c>
      <c r="E487" s="54" t="s">
        <v>37</v>
      </c>
      <c r="F487" s="34">
        <v>13639.6</v>
      </c>
      <c r="G487" s="34">
        <v>13639.6</v>
      </c>
      <c r="H487" s="34">
        <v>13639.6</v>
      </c>
      <c r="I487" s="27" t="e">
        <f>H487-#REF!</f>
        <v>#REF!</v>
      </c>
    </row>
    <row r="488" spans="1:9" ht="25.5">
      <c r="A488" s="50" t="s">
        <v>541</v>
      </c>
      <c r="B488" s="51" t="s">
        <v>542</v>
      </c>
      <c r="C488" s="52"/>
      <c r="D488" s="52"/>
      <c r="E488" s="52"/>
      <c r="F488" s="57">
        <f>F489+F496+F507</f>
        <v>10559.1</v>
      </c>
      <c r="G488" s="57">
        <f>G489+G496+G507</f>
        <v>8752.5</v>
      </c>
      <c r="H488" s="57">
        <f>H489+H496+H507</f>
        <v>8752.5</v>
      </c>
      <c r="I488" s="27" t="e">
        <f>H488-#REF!</f>
        <v>#REF!</v>
      </c>
    </row>
    <row r="489" spans="1:9" ht="24" customHeight="1">
      <c r="A489" s="110" t="s">
        <v>543</v>
      </c>
      <c r="B489" s="19" t="s">
        <v>544</v>
      </c>
      <c r="C489" s="54"/>
      <c r="D489" s="54"/>
      <c r="E489" s="54"/>
      <c r="F489" s="34">
        <f>F490+F494</f>
        <v>3423.6000000000004</v>
      </c>
      <c r="G489" s="34">
        <f>G490+G494</f>
        <v>3467.6000000000004</v>
      </c>
      <c r="H489" s="34">
        <f>H490+H494</f>
        <v>3467.6000000000004</v>
      </c>
      <c r="I489" s="27" t="e">
        <f>H489-#REF!</f>
        <v>#REF!</v>
      </c>
    </row>
    <row r="490" spans="1:9">
      <c r="A490" s="100" t="s">
        <v>161</v>
      </c>
      <c r="B490" s="19" t="s">
        <v>545</v>
      </c>
      <c r="C490" s="54" t="s">
        <v>23</v>
      </c>
      <c r="D490" s="54" t="s">
        <v>178</v>
      </c>
      <c r="E490" s="54"/>
      <c r="F490" s="34">
        <f>F491+F492+F493</f>
        <v>3423.6000000000004</v>
      </c>
      <c r="G490" s="34">
        <f>G491+G492+G493</f>
        <v>3467.6000000000004</v>
      </c>
      <c r="H490" s="34">
        <f>H491+H492+H493</f>
        <v>3467.6000000000004</v>
      </c>
      <c r="I490" s="27" t="e">
        <f>H490-#REF!</f>
        <v>#REF!</v>
      </c>
    </row>
    <row r="491" spans="1:9">
      <c r="A491" s="33" t="s">
        <v>26</v>
      </c>
      <c r="B491" s="19" t="s">
        <v>545</v>
      </c>
      <c r="C491" s="54" t="s">
        <v>23</v>
      </c>
      <c r="D491" s="54" t="s">
        <v>178</v>
      </c>
      <c r="E491" s="54" t="s">
        <v>27</v>
      </c>
      <c r="F491" s="34">
        <f>2092.3+891.2+15.8</f>
        <v>2999.3</v>
      </c>
      <c r="G491" s="34">
        <f>2092.3+891.2+15.8</f>
        <v>2999.3</v>
      </c>
      <c r="H491" s="34">
        <f>2092.3+891.2+15.8</f>
        <v>2999.3</v>
      </c>
      <c r="I491" s="27" t="e">
        <f>H491-#REF!</f>
        <v>#REF!</v>
      </c>
    </row>
    <row r="492" spans="1:9" ht="25.5">
      <c r="A492" s="33" t="s">
        <v>28</v>
      </c>
      <c r="B492" s="19" t="s">
        <v>545</v>
      </c>
      <c r="C492" s="54" t="s">
        <v>23</v>
      </c>
      <c r="D492" s="54" t="s">
        <v>178</v>
      </c>
      <c r="E492" s="54" t="s">
        <v>29</v>
      </c>
      <c r="F492" s="34">
        <f>468.3-45</f>
        <v>423.3</v>
      </c>
      <c r="G492" s="34">
        <v>468.3</v>
      </c>
      <c r="H492" s="34">
        <v>468.3</v>
      </c>
      <c r="I492" s="27" t="e">
        <f>H492-#REF!</f>
        <v>#REF!</v>
      </c>
    </row>
    <row r="493" spans="1:9">
      <c r="A493" s="33" t="s">
        <v>151</v>
      </c>
      <c r="B493" s="19" t="s">
        <v>545</v>
      </c>
      <c r="C493" s="54" t="s">
        <v>23</v>
      </c>
      <c r="D493" s="54" t="s">
        <v>178</v>
      </c>
      <c r="E493" s="54" t="s">
        <v>113</v>
      </c>
      <c r="F493" s="34">
        <v>1</v>
      </c>
      <c r="G493" s="34">
        <v>0</v>
      </c>
      <c r="H493" s="34">
        <v>0</v>
      </c>
      <c r="I493" s="27" t="e">
        <f>H493-#REF!</f>
        <v>#REF!</v>
      </c>
    </row>
    <row r="494" spans="1:9" ht="102" hidden="1">
      <c r="A494" s="70" t="s">
        <v>176</v>
      </c>
      <c r="B494" s="19" t="s">
        <v>546</v>
      </c>
      <c r="C494" s="54" t="s">
        <v>23</v>
      </c>
      <c r="D494" s="54" t="s">
        <v>178</v>
      </c>
      <c r="E494" s="54"/>
      <c r="F494" s="34">
        <f>F495</f>
        <v>0</v>
      </c>
      <c r="G494" s="34">
        <f>G495</f>
        <v>0</v>
      </c>
      <c r="H494" s="34">
        <f>H495</f>
        <v>0</v>
      </c>
      <c r="I494" s="27" t="e">
        <f>H494-#REF!</f>
        <v>#REF!</v>
      </c>
    </row>
    <row r="495" spans="1:9" hidden="1">
      <c r="A495" s="70" t="s">
        <v>26</v>
      </c>
      <c r="B495" s="19" t="s">
        <v>546</v>
      </c>
      <c r="C495" s="54" t="s">
        <v>23</v>
      </c>
      <c r="D495" s="54" t="s">
        <v>178</v>
      </c>
      <c r="E495" s="54" t="s">
        <v>27</v>
      </c>
      <c r="F495" s="34"/>
      <c r="G495" s="34">
        <v>0</v>
      </c>
      <c r="H495" s="34">
        <v>0</v>
      </c>
      <c r="I495" s="27" t="e">
        <f>H495-#REF!</f>
        <v>#REF!</v>
      </c>
    </row>
    <row r="496" spans="1:9" ht="25.5">
      <c r="A496" s="110" t="s">
        <v>547</v>
      </c>
      <c r="B496" s="19" t="s">
        <v>548</v>
      </c>
      <c r="C496" s="54"/>
      <c r="D496" s="54"/>
      <c r="E496" s="54"/>
      <c r="F496" s="34">
        <f>F497+F500+F504+F502</f>
        <v>4640</v>
      </c>
      <c r="G496" s="34">
        <f>G497+G500+G504+G502</f>
        <v>3116</v>
      </c>
      <c r="H496" s="34">
        <f>H497+H500+H504+H502</f>
        <v>3116</v>
      </c>
      <c r="I496" s="27" t="e">
        <f>H496-#REF!</f>
        <v>#REF!</v>
      </c>
    </row>
    <row r="497" spans="1:10" ht="25.5">
      <c r="A497" s="110" t="s">
        <v>549</v>
      </c>
      <c r="B497" s="19" t="s">
        <v>550</v>
      </c>
      <c r="C497" s="54" t="s">
        <v>22</v>
      </c>
      <c r="D497" s="54" t="s">
        <v>52</v>
      </c>
      <c r="E497" s="54"/>
      <c r="F497" s="34">
        <f>F498+F499</f>
        <v>2465.6</v>
      </c>
      <c r="G497" s="34">
        <f>G498+G499</f>
        <v>1508.6</v>
      </c>
      <c r="H497" s="34">
        <f>H498+H499</f>
        <v>1508.6</v>
      </c>
      <c r="I497" s="27" t="e">
        <f>H497-#REF!</f>
        <v>#REF!</v>
      </c>
    </row>
    <row r="498" spans="1:10" ht="25.5">
      <c r="A498" s="33" t="s">
        <v>28</v>
      </c>
      <c r="B498" s="19" t="s">
        <v>550</v>
      </c>
      <c r="C498" s="54" t="s">
        <v>22</v>
      </c>
      <c r="D498" s="54" t="s">
        <v>52</v>
      </c>
      <c r="E498" s="54" t="s">
        <v>29</v>
      </c>
      <c r="F498" s="34">
        <f>30+18.5+237+400+850+150+25+720+80+10+0.1+300-400</f>
        <v>2420.6</v>
      </c>
      <c r="G498" s="34">
        <f>1163.6+300</f>
        <v>1463.6</v>
      </c>
      <c r="H498" s="34">
        <f>1163.6+300</f>
        <v>1463.6</v>
      </c>
      <c r="I498" s="27" t="e">
        <f>H498-#REF!</f>
        <v>#REF!</v>
      </c>
    </row>
    <row r="499" spans="1:10">
      <c r="A499" s="33" t="s">
        <v>151</v>
      </c>
      <c r="B499" s="19" t="s">
        <v>550</v>
      </c>
      <c r="C499" s="54" t="s">
        <v>22</v>
      </c>
      <c r="D499" s="54" t="s">
        <v>52</v>
      </c>
      <c r="E499" s="54" t="s">
        <v>113</v>
      </c>
      <c r="F499" s="34">
        <v>45</v>
      </c>
      <c r="G499" s="34">
        <v>45</v>
      </c>
      <c r="H499" s="34">
        <v>45</v>
      </c>
      <c r="I499" s="27" t="e">
        <f>H499-#REF!</f>
        <v>#REF!</v>
      </c>
    </row>
    <row r="500" spans="1:10" ht="25.5">
      <c r="A500" s="110" t="s">
        <v>549</v>
      </c>
      <c r="B500" s="19" t="s">
        <v>550</v>
      </c>
      <c r="C500" s="54" t="s">
        <v>100</v>
      </c>
      <c r="D500" s="54" t="s">
        <v>22</v>
      </c>
      <c r="E500" s="54"/>
      <c r="F500" s="34">
        <f>F501</f>
        <v>1607.4</v>
      </c>
      <c r="G500" s="34">
        <f>G501</f>
        <v>1607.4</v>
      </c>
      <c r="H500" s="34">
        <f>H501</f>
        <v>1607.4</v>
      </c>
      <c r="I500" s="27" t="e">
        <f>H500-#REF!</f>
        <v>#REF!</v>
      </c>
    </row>
    <row r="501" spans="1:10" ht="25.5">
      <c r="A501" s="33" t="s">
        <v>28</v>
      </c>
      <c r="B501" s="19" t="s">
        <v>550</v>
      </c>
      <c r="C501" s="54" t="s">
        <v>100</v>
      </c>
      <c r="D501" s="54" t="s">
        <v>22</v>
      </c>
      <c r="E501" s="54" t="s">
        <v>29</v>
      </c>
      <c r="F501" s="34">
        <f>100+585.4+507+9+346+60</f>
        <v>1607.4</v>
      </c>
      <c r="G501" s="34">
        <f>100+585.4+507+9+346+60</f>
        <v>1607.4</v>
      </c>
      <c r="H501" s="34">
        <f>100+585.4+507+9+346+60</f>
        <v>1607.4</v>
      </c>
      <c r="I501" s="27" t="e">
        <f>H501-#REF!</f>
        <v>#REF!</v>
      </c>
    </row>
    <row r="502" spans="1:10" ht="25.5">
      <c r="A502" s="110" t="s">
        <v>549</v>
      </c>
      <c r="B502" s="19" t="s">
        <v>550</v>
      </c>
      <c r="C502" s="54" t="s">
        <v>100</v>
      </c>
      <c r="D502" s="54" t="s">
        <v>160</v>
      </c>
      <c r="E502" s="54"/>
      <c r="F502" s="34">
        <f>F503</f>
        <v>567</v>
      </c>
      <c r="G502" s="34">
        <f>G503</f>
        <v>0</v>
      </c>
      <c r="H502" s="34">
        <f>H503</f>
        <v>0</v>
      </c>
      <c r="I502" s="27"/>
    </row>
    <row r="503" spans="1:10" ht="25.5">
      <c r="A503" s="33" t="s">
        <v>28</v>
      </c>
      <c r="B503" s="19" t="s">
        <v>550</v>
      </c>
      <c r="C503" s="54" t="s">
        <v>100</v>
      </c>
      <c r="D503" s="54" t="s">
        <v>160</v>
      </c>
      <c r="E503" s="54" t="s">
        <v>29</v>
      </c>
      <c r="F503" s="34">
        <f>567+650+400-650-400</f>
        <v>567</v>
      </c>
      <c r="G503" s="34">
        <v>0</v>
      </c>
      <c r="H503" s="34">
        <v>0</v>
      </c>
      <c r="I503" s="27"/>
    </row>
    <row r="504" spans="1:10" ht="25.5" hidden="1">
      <c r="A504" s="43" t="s">
        <v>551</v>
      </c>
      <c r="B504" s="19" t="s">
        <v>552</v>
      </c>
      <c r="C504" s="54" t="s">
        <v>22</v>
      </c>
      <c r="D504" s="54" t="s">
        <v>52</v>
      </c>
      <c r="E504" s="54"/>
      <c r="F504" s="34">
        <f t="shared" ref="F504:H505" si="27">F505</f>
        <v>0</v>
      </c>
      <c r="G504" s="34">
        <f t="shared" si="27"/>
        <v>0</v>
      </c>
      <c r="H504" s="34">
        <f t="shared" si="27"/>
        <v>0</v>
      </c>
      <c r="I504" s="27"/>
    </row>
    <row r="505" spans="1:10" ht="28.5" hidden="1" customHeight="1">
      <c r="A505" s="78" t="s">
        <v>553</v>
      </c>
      <c r="B505" s="19" t="s">
        <v>554</v>
      </c>
      <c r="C505" s="54" t="s">
        <v>22</v>
      </c>
      <c r="D505" s="54" t="s">
        <v>52</v>
      </c>
      <c r="E505" s="54"/>
      <c r="F505" s="34">
        <f t="shared" si="27"/>
        <v>0</v>
      </c>
      <c r="G505" s="34">
        <f t="shared" si="27"/>
        <v>0</v>
      </c>
      <c r="H505" s="34">
        <f t="shared" si="27"/>
        <v>0</v>
      </c>
      <c r="I505" s="27"/>
    </row>
    <row r="506" spans="1:10" ht="25.5" hidden="1">
      <c r="A506" s="33" t="s">
        <v>28</v>
      </c>
      <c r="B506" s="19" t="s">
        <v>554</v>
      </c>
      <c r="C506" s="54" t="s">
        <v>22</v>
      </c>
      <c r="D506" s="54" t="s">
        <v>52</v>
      </c>
      <c r="E506" s="54" t="s">
        <v>29</v>
      </c>
      <c r="F506" s="34"/>
      <c r="G506" s="34"/>
      <c r="H506" s="34"/>
      <c r="I506" s="27"/>
    </row>
    <row r="507" spans="1:10" ht="25.5">
      <c r="A507" s="110" t="s">
        <v>555</v>
      </c>
      <c r="B507" s="19" t="s">
        <v>556</v>
      </c>
      <c r="C507" s="54"/>
      <c r="D507" s="54"/>
      <c r="E507" s="54"/>
      <c r="F507" s="34">
        <f>F508+F517+F515+F511+F513</f>
        <v>2495.5</v>
      </c>
      <c r="G507" s="34">
        <f>G508+G517+G515+G511+G513</f>
        <v>2168.9</v>
      </c>
      <c r="H507" s="34">
        <f>H508+H517+H515+H511+H513</f>
        <v>2168.9</v>
      </c>
      <c r="I507" s="27" t="e">
        <f>H507-#REF!</f>
        <v>#REF!</v>
      </c>
    </row>
    <row r="508" spans="1:10" ht="25.5">
      <c r="A508" s="110" t="s">
        <v>549</v>
      </c>
      <c r="B508" s="19" t="s">
        <v>557</v>
      </c>
      <c r="C508" s="54" t="s">
        <v>22</v>
      </c>
      <c r="D508" s="54" t="s">
        <v>52</v>
      </c>
      <c r="E508" s="54"/>
      <c r="F508" s="34">
        <f>F509+F510</f>
        <v>515</v>
      </c>
      <c r="G508" s="34">
        <f>G509+G510</f>
        <v>515</v>
      </c>
      <c r="H508" s="34">
        <f>H509+H510</f>
        <v>515</v>
      </c>
      <c r="I508" s="27" t="e">
        <f>H508-#REF!</f>
        <v>#REF!</v>
      </c>
    </row>
    <row r="509" spans="1:10" ht="25.5">
      <c r="A509" s="33" t="s">
        <v>28</v>
      </c>
      <c r="B509" s="19" t="s">
        <v>557</v>
      </c>
      <c r="C509" s="54" t="s">
        <v>22</v>
      </c>
      <c r="D509" s="54" t="s">
        <v>52</v>
      </c>
      <c r="E509" s="54" t="s">
        <v>29</v>
      </c>
      <c r="F509" s="34">
        <f>150+225+90+50</f>
        <v>515</v>
      </c>
      <c r="G509" s="34">
        <f>150+225+90+50</f>
        <v>515</v>
      </c>
      <c r="H509" s="34">
        <f>150+225+90+50</f>
        <v>515</v>
      </c>
      <c r="I509" s="27" t="e">
        <f>H509-#REF!</f>
        <v>#REF!</v>
      </c>
    </row>
    <row r="510" spans="1:10" ht="18" hidden="1" customHeight="1">
      <c r="A510" s="33" t="s">
        <v>238</v>
      </c>
      <c r="B510" s="19" t="s">
        <v>557</v>
      </c>
      <c r="C510" s="54" t="s">
        <v>22</v>
      </c>
      <c r="D510" s="54" t="s">
        <v>52</v>
      </c>
      <c r="E510" s="54" t="s">
        <v>239</v>
      </c>
      <c r="F510" s="34">
        <v>0</v>
      </c>
      <c r="G510" s="34">
        <v>0</v>
      </c>
      <c r="H510" s="34">
        <v>0</v>
      </c>
      <c r="I510" s="27" t="e">
        <f>H510-#REF!</f>
        <v>#REF!</v>
      </c>
    </row>
    <row r="511" spans="1:10" ht="27.75" customHeight="1">
      <c r="A511" s="33" t="s">
        <v>558</v>
      </c>
      <c r="B511" s="19" t="s">
        <v>559</v>
      </c>
      <c r="C511" s="54" t="s">
        <v>22</v>
      </c>
      <c r="D511" s="54" t="s">
        <v>52</v>
      </c>
      <c r="E511" s="54"/>
      <c r="F511" s="34">
        <f>F512</f>
        <v>60</v>
      </c>
      <c r="G511" s="34">
        <f>G512</f>
        <v>0</v>
      </c>
      <c r="H511" s="34">
        <f>H512</f>
        <v>0</v>
      </c>
      <c r="I511" s="27"/>
      <c r="J511" s="62"/>
    </row>
    <row r="512" spans="1:10" ht="27" customHeight="1">
      <c r="A512" s="33" t="s">
        <v>28</v>
      </c>
      <c r="B512" s="19" t="s">
        <v>559</v>
      </c>
      <c r="C512" s="54" t="s">
        <v>22</v>
      </c>
      <c r="D512" s="54" t="s">
        <v>52</v>
      </c>
      <c r="E512" s="54" t="s">
        <v>29</v>
      </c>
      <c r="F512" s="34">
        <f>54+6</f>
        <v>60</v>
      </c>
      <c r="G512" s="34">
        <v>0</v>
      </c>
      <c r="H512" s="34">
        <v>0</v>
      </c>
      <c r="I512" s="27"/>
    </row>
    <row r="513" spans="1:14" ht="15" customHeight="1">
      <c r="A513" s="99" t="s">
        <v>560</v>
      </c>
      <c r="B513" s="19" t="s">
        <v>561</v>
      </c>
      <c r="C513" s="54" t="s">
        <v>22</v>
      </c>
      <c r="D513" s="54" t="s">
        <v>52</v>
      </c>
      <c r="E513" s="54"/>
      <c r="F513" s="34">
        <f>F514</f>
        <v>140</v>
      </c>
      <c r="G513" s="34">
        <f>G514</f>
        <v>0</v>
      </c>
      <c r="H513" s="34">
        <f>H514</f>
        <v>0</v>
      </c>
      <c r="I513" s="27"/>
      <c r="J513" s="62"/>
    </row>
    <row r="514" spans="1:14" ht="27" customHeight="1">
      <c r="A514" s="99" t="s">
        <v>28</v>
      </c>
      <c r="B514" s="19" t="s">
        <v>561</v>
      </c>
      <c r="C514" s="54" t="s">
        <v>22</v>
      </c>
      <c r="D514" s="54" t="s">
        <v>52</v>
      </c>
      <c r="E514" s="54" t="s">
        <v>29</v>
      </c>
      <c r="F514" s="34">
        <f>126+14</f>
        <v>140</v>
      </c>
      <c r="G514" s="34">
        <v>0</v>
      </c>
      <c r="H514" s="34">
        <v>0</v>
      </c>
      <c r="I514" s="27"/>
    </row>
    <row r="515" spans="1:14" ht="40.5" customHeight="1">
      <c r="A515" s="33" t="s">
        <v>562</v>
      </c>
      <c r="B515" s="19" t="s">
        <v>563</v>
      </c>
      <c r="C515" s="54" t="s">
        <v>22</v>
      </c>
      <c r="D515" s="54" t="s">
        <v>52</v>
      </c>
      <c r="E515" s="54"/>
      <c r="F515" s="34">
        <f>F516</f>
        <v>126.6</v>
      </c>
      <c r="G515" s="34">
        <f>G516</f>
        <v>0</v>
      </c>
      <c r="H515" s="34">
        <f>H516</f>
        <v>0</v>
      </c>
      <c r="I515" s="27" t="e">
        <f>H515-#REF!</f>
        <v>#REF!</v>
      </c>
      <c r="J515" s="62"/>
    </row>
    <row r="516" spans="1:14" ht="25.5">
      <c r="A516" s="33" t="s">
        <v>28</v>
      </c>
      <c r="B516" s="19" t="s">
        <v>563</v>
      </c>
      <c r="C516" s="54" t="s">
        <v>22</v>
      </c>
      <c r="D516" s="54" t="s">
        <v>52</v>
      </c>
      <c r="E516" s="54" t="s">
        <v>29</v>
      </c>
      <c r="F516" s="34">
        <f>81.5+45.1</f>
        <v>126.6</v>
      </c>
      <c r="G516" s="34">
        <v>0</v>
      </c>
      <c r="H516" s="31">
        <v>0</v>
      </c>
      <c r="I516" s="27" t="e">
        <f>H516-#REF!</f>
        <v>#REF!</v>
      </c>
    </row>
    <row r="517" spans="1:14" ht="27" customHeight="1">
      <c r="A517" s="33" t="s">
        <v>564</v>
      </c>
      <c r="B517" s="19" t="s">
        <v>565</v>
      </c>
      <c r="C517" s="54"/>
      <c r="D517" s="54"/>
      <c r="E517" s="54"/>
      <c r="F517" s="34">
        <f>F518</f>
        <v>1653.9</v>
      </c>
      <c r="G517" s="34">
        <f>G518</f>
        <v>1653.9</v>
      </c>
      <c r="H517" s="34">
        <f>H518</f>
        <v>1653.9</v>
      </c>
      <c r="I517" s="27" t="e">
        <f>H517-#REF!</f>
        <v>#REF!</v>
      </c>
    </row>
    <row r="518" spans="1:14" ht="65.25" customHeight="1">
      <c r="A518" s="111" t="s">
        <v>566</v>
      </c>
      <c r="B518" s="19" t="s">
        <v>567</v>
      </c>
      <c r="C518" s="54"/>
      <c r="D518" s="54"/>
      <c r="E518" s="54"/>
      <c r="F518" s="34">
        <f>F519+F520</f>
        <v>1653.9</v>
      </c>
      <c r="G518" s="34">
        <f>G519+G520</f>
        <v>1653.9</v>
      </c>
      <c r="H518" s="34">
        <f>H519+H520</f>
        <v>1653.9</v>
      </c>
      <c r="I518" s="27" t="e">
        <f>H518-#REF!</f>
        <v>#REF!</v>
      </c>
    </row>
    <row r="519" spans="1:14" ht="25.5">
      <c r="A519" s="33" t="s">
        <v>28</v>
      </c>
      <c r="B519" s="19" t="s">
        <v>567</v>
      </c>
      <c r="C519" s="54" t="s">
        <v>23</v>
      </c>
      <c r="D519" s="54" t="s">
        <v>178</v>
      </c>
      <c r="E519" s="54" t="s">
        <v>29</v>
      </c>
      <c r="F519" s="34">
        <v>24.5</v>
      </c>
      <c r="G519" s="34">
        <v>24.5</v>
      </c>
      <c r="H519" s="34">
        <v>24.5</v>
      </c>
      <c r="I519" s="27" t="e">
        <f>H519-#REF!</f>
        <v>#REF!</v>
      </c>
    </row>
    <row r="520" spans="1:14">
      <c r="A520" s="43" t="s">
        <v>44</v>
      </c>
      <c r="B520" s="19" t="s">
        <v>567</v>
      </c>
      <c r="C520" s="54" t="s">
        <v>35</v>
      </c>
      <c r="D520" s="54" t="s">
        <v>36</v>
      </c>
      <c r="E520" s="54" t="s">
        <v>45</v>
      </c>
      <c r="F520" s="34">
        <v>1629.4</v>
      </c>
      <c r="G520" s="34">
        <v>1629.4</v>
      </c>
      <c r="H520" s="34">
        <v>1629.4</v>
      </c>
      <c r="I520" s="27" t="e">
        <f>H520-#REF!</f>
        <v>#REF!</v>
      </c>
    </row>
    <row r="521" spans="1:14">
      <c r="A521" s="50" t="s">
        <v>568</v>
      </c>
      <c r="B521" s="51" t="s">
        <v>569</v>
      </c>
      <c r="C521" s="52"/>
      <c r="D521" s="52"/>
      <c r="E521" s="52"/>
      <c r="F521" s="57">
        <f>F522+F526</f>
        <v>277.60000000000002</v>
      </c>
      <c r="G521" s="57">
        <f>G522+G526</f>
        <v>547.6</v>
      </c>
      <c r="H521" s="57">
        <f>H522+H526</f>
        <v>270</v>
      </c>
      <c r="I521" s="27" t="e">
        <f>H521-#REF!</f>
        <v>#REF!</v>
      </c>
    </row>
    <row r="522" spans="1:14" ht="24.75" customHeight="1">
      <c r="A522" s="33" t="s">
        <v>570</v>
      </c>
      <c r="B522" s="19" t="s">
        <v>571</v>
      </c>
      <c r="C522" s="54" t="s">
        <v>87</v>
      </c>
      <c r="D522" s="54" t="s">
        <v>87</v>
      </c>
      <c r="E522" s="54"/>
      <c r="F522" s="34">
        <f>F523</f>
        <v>261.60000000000002</v>
      </c>
      <c r="G522" s="34">
        <f>G523</f>
        <v>531.6</v>
      </c>
      <c r="H522" s="34">
        <f>H523</f>
        <v>254</v>
      </c>
      <c r="I522" s="27" t="e">
        <f>H522-#REF!</f>
        <v>#REF!</v>
      </c>
      <c r="K522" s="42"/>
      <c r="L522" s="42"/>
      <c r="M522" s="42"/>
      <c r="N522" s="37"/>
    </row>
    <row r="523" spans="1:14">
      <c r="A523" s="64" t="s">
        <v>572</v>
      </c>
      <c r="B523" s="19" t="s">
        <v>573</v>
      </c>
      <c r="C523" s="54" t="s">
        <v>87</v>
      </c>
      <c r="D523" s="54" t="s">
        <v>87</v>
      </c>
      <c r="E523" s="54"/>
      <c r="F523" s="34">
        <f>F525+F524</f>
        <v>261.60000000000002</v>
      </c>
      <c r="G523" s="34">
        <f>G525+G524</f>
        <v>531.6</v>
      </c>
      <c r="H523" s="34">
        <f>H525+H524</f>
        <v>254</v>
      </c>
      <c r="I523" s="27" t="e">
        <f>H523-#REF!</f>
        <v>#REF!</v>
      </c>
      <c r="K523" s="42"/>
      <c r="L523" s="42"/>
      <c r="M523" s="42"/>
      <c r="N523" s="37"/>
    </row>
    <row r="524" spans="1:14">
      <c r="A524" s="33" t="s">
        <v>26</v>
      </c>
      <c r="B524" s="19" t="s">
        <v>573</v>
      </c>
      <c r="C524" s="54" t="s">
        <v>87</v>
      </c>
      <c r="D524" s="54" t="s">
        <v>87</v>
      </c>
      <c r="E524" s="54" t="s">
        <v>27</v>
      </c>
      <c r="F524" s="34">
        <f>183-70</f>
        <v>113</v>
      </c>
      <c r="G524" s="34">
        <v>183</v>
      </c>
      <c r="H524" s="34">
        <v>84</v>
      </c>
      <c r="I524" s="27" t="e">
        <f>H524-#REF!</f>
        <v>#REF!</v>
      </c>
      <c r="J524" s="46"/>
      <c r="K524" s="42"/>
      <c r="L524" s="42"/>
      <c r="M524" s="42"/>
      <c r="N524" s="37"/>
    </row>
    <row r="525" spans="1:14" ht="25.5">
      <c r="A525" s="33" t="s">
        <v>28</v>
      </c>
      <c r="B525" s="19" t="s">
        <v>573</v>
      </c>
      <c r="C525" s="54" t="s">
        <v>87</v>
      </c>
      <c r="D525" s="54" t="s">
        <v>87</v>
      </c>
      <c r="E525" s="54" t="s">
        <v>29</v>
      </c>
      <c r="F525" s="34">
        <f>348.6-200</f>
        <v>148.60000000000002</v>
      </c>
      <c r="G525" s="34">
        <v>348.6</v>
      </c>
      <c r="H525" s="34">
        <v>170</v>
      </c>
      <c r="I525" s="27" t="e">
        <f>H525-#REF!</f>
        <v>#REF!</v>
      </c>
      <c r="K525" s="42"/>
      <c r="L525" s="42"/>
      <c r="M525" s="42"/>
      <c r="N525" s="37"/>
    </row>
    <row r="526" spans="1:14" ht="38.25">
      <c r="A526" s="33" t="s">
        <v>574</v>
      </c>
      <c r="B526" s="19" t="s">
        <v>575</v>
      </c>
      <c r="C526" s="54" t="s">
        <v>87</v>
      </c>
      <c r="D526" s="54" t="s">
        <v>87</v>
      </c>
      <c r="E526" s="54"/>
      <c r="F526" s="34">
        <f t="shared" ref="F526:H527" si="28">F527</f>
        <v>16</v>
      </c>
      <c r="G526" s="34">
        <f t="shared" si="28"/>
        <v>16</v>
      </c>
      <c r="H526" s="34">
        <f t="shared" si="28"/>
        <v>16</v>
      </c>
      <c r="I526" s="27" t="e">
        <f>H526-#REF!</f>
        <v>#REF!</v>
      </c>
      <c r="K526" s="42"/>
      <c r="L526" s="42"/>
      <c r="M526" s="42"/>
      <c r="N526" s="37"/>
    </row>
    <row r="527" spans="1:14">
      <c r="A527" s="64" t="s">
        <v>572</v>
      </c>
      <c r="B527" s="19" t="s">
        <v>576</v>
      </c>
      <c r="C527" s="54" t="s">
        <v>87</v>
      </c>
      <c r="D527" s="54" t="s">
        <v>87</v>
      </c>
      <c r="E527" s="54"/>
      <c r="F527" s="34">
        <f t="shared" si="28"/>
        <v>16</v>
      </c>
      <c r="G527" s="34">
        <f t="shared" si="28"/>
        <v>16</v>
      </c>
      <c r="H527" s="34">
        <f t="shared" si="28"/>
        <v>16</v>
      </c>
      <c r="I527" s="27" t="e">
        <f>H527-#REF!</f>
        <v>#REF!</v>
      </c>
      <c r="K527" s="42"/>
      <c r="L527" s="42"/>
      <c r="M527" s="42"/>
      <c r="N527" s="37"/>
    </row>
    <row r="528" spans="1:14" ht="25.5">
      <c r="A528" s="33" t="s">
        <v>28</v>
      </c>
      <c r="B528" s="19" t="s">
        <v>576</v>
      </c>
      <c r="C528" s="54" t="s">
        <v>87</v>
      </c>
      <c r="D528" s="54" t="s">
        <v>87</v>
      </c>
      <c r="E528" s="54" t="s">
        <v>29</v>
      </c>
      <c r="F528" s="34">
        <v>16</v>
      </c>
      <c r="G528" s="34">
        <v>16</v>
      </c>
      <c r="H528" s="34">
        <v>16</v>
      </c>
      <c r="I528" s="27" t="e">
        <f>H528-#REF!</f>
        <v>#REF!</v>
      </c>
      <c r="K528" s="42"/>
      <c r="L528" s="42"/>
      <c r="M528" s="42"/>
      <c r="N528" s="37"/>
    </row>
    <row r="529" spans="1:10">
      <c r="A529" s="107" t="s">
        <v>577</v>
      </c>
      <c r="B529" s="51" t="s">
        <v>578</v>
      </c>
      <c r="C529" s="52"/>
      <c r="D529" s="52"/>
      <c r="E529" s="52"/>
      <c r="F529" s="57">
        <f>F530+F533</f>
        <v>1154.0999999999999</v>
      </c>
      <c r="G529" s="57">
        <f>G530+G533</f>
        <v>1300</v>
      </c>
      <c r="H529" s="57">
        <f>H530+H533</f>
        <v>1300</v>
      </c>
      <c r="I529" s="27" t="e">
        <f>H529-#REF!</f>
        <v>#REF!</v>
      </c>
    </row>
    <row r="530" spans="1:10" ht="38.25">
      <c r="A530" s="33" t="s">
        <v>579</v>
      </c>
      <c r="B530" s="19" t="s">
        <v>580</v>
      </c>
      <c r="C530" s="54"/>
      <c r="D530" s="54"/>
      <c r="E530" s="54"/>
      <c r="F530" s="34">
        <f t="shared" ref="F530:H531" si="29">F531</f>
        <v>353</v>
      </c>
      <c r="G530" s="34">
        <f t="shared" si="29"/>
        <v>500</v>
      </c>
      <c r="H530" s="34">
        <f t="shared" si="29"/>
        <v>500</v>
      </c>
      <c r="I530" s="27" t="e">
        <f>H530-#REF!</f>
        <v>#REF!</v>
      </c>
    </row>
    <row r="531" spans="1:10">
      <c r="A531" s="33" t="s">
        <v>581</v>
      </c>
      <c r="B531" s="19" t="s">
        <v>582</v>
      </c>
      <c r="C531" s="54" t="s">
        <v>22</v>
      </c>
      <c r="D531" s="54" t="s">
        <v>23</v>
      </c>
      <c r="E531" s="54"/>
      <c r="F531" s="34">
        <f t="shared" si="29"/>
        <v>353</v>
      </c>
      <c r="G531" s="34">
        <f t="shared" si="29"/>
        <v>500</v>
      </c>
      <c r="H531" s="34">
        <f t="shared" si="29"/>
        <v>500</v>
      </c>
      <c r="I531" s="27" t="e">
        <f>H531-#REF!</f>
        <v>#REF!</v>
      </c>
    </row>
    <row r="532" spans="1:10" ht="25.5">
      <c r="A532" s="33" t="s">
        <v>28</v>
      </c>
      <c r="B532" s="19" t="s">
        <v>582</v>
      </c>
      <c r="C532" s="54" t="s">
        <v>22</v>
      </c>
      <c r="D532" s="54" t="s">
        <v>23</v>
      </c>
      <c r="E532" s="54" t="s">
        <v>29</v>
      </c>
      <c r="F532" s="34">
        <f>813-460</f>
        <v>353</v>
      </c>
      <c r="G532" s="34">
        <v>500</v>
      </c>
      <c r="H532" s="34">
        <v>500</v>
      </c>
      <c r="I532" s="27" t="e">
        <f>H532-#REF!</f>
        <v>#REF!</v>
      </c>
      <c r="J532" s="79"/>
    </row>
    <row r="533" spans="1:10" ht="25.5">
      <c r="A533" s="33" t="s">
        <v>583</v>
      </c>
      <c r="B533" s="19" t="s">
        <v>584</v>
      </c>
      <c r="C533" s="54"/>
      <c r="D533" s="54"/>
      <c r="E533" s="54"/>
      <c r="F533" s="34">
        <f t="shared" ref="F533:H534" si="30">F534</f>
        <v>801.09999999999991</v>
      </c>
      <c r="G533" s="34">
        <f t="shared" si="30"/>
        <v>800</v>
      </c>
      <c r="H533" s="34">
        <f t="shared" si="30"/>
        <v>800</v>
      </c>
      <c r="I533" s="27" t="e">
        <f>H533-#REF!</f>
        <v>#REF!</v>
      </c>
    </row>
    <row r="534" spans="1:10" ht="25.5">
      <c r="A534" s="33" t="s">
        <v>585</v>
      </c>
      <c r="B534" s="19" t="s">
        <v>586</v>
      </c>
      <c r="C534" s="54" t="s">
        <v>22</v>
      </c>
      <c r="D534" s="54" t="s">
        <v>23</v>
      </c>
      <c r="E534" s="54"/>
      <c r="F534" s="34">
        <f t="shared" si="30"/>
        <v>801.09999999999991</v>
      </c>
      <c r="G534" s="34">
        <f t="shared" si="30"/>
        <v>800</v>
      </c>
      <c r="H534" s="34">
        <f t="shared" si="30"/>
        <v>800</v>
      </c>
      <c r="I534" s="27" t="e">
        <f>H534-#REF!</f>
        <v>#REF!</v>
      </c>
    </row>
    <row r="535" spans="1:10" ht="25.5">
      <c r="A535" s="33" t="s">
        <v>28</v>
      </c>
      <c r="B535" s="19" t="s">
        <v>586</v>
      </c>
      <c r="C535" s="54" t="s">
        <v>22</v>
      </c>
      <c r="D535" s="54" t="s">
        <v>23</v>
      </c>
      <c r="E535" s="54" t="s">
        <v>29</v>
      </c>
      <c r="F535" s="34">
        <f>2301.1-1500</f>
        <v>801.09999999999991</v>
      </c>
      <c r="G535" s="34">
        <v>800</v>
      </c>
      <c r="H535" s="34">
        <v>800</v>
      </c>
      <c r="I535" s="27" t="e">
        <f>H535-#REF!</f>
        <v>#REF!</v>
      </c>
      <c r="J535" s="79"/>
    </row>
    <row r="536" spans="1:10" ht="25.5" customHeight="1">
      <c r="A536" s="50" t="s">
        <v>587</v>
      </c>
      <c r="B536" s="51" t="s">
        <v>588</v>
      </c>
      <c r="C536" s="52"/>
      <c r="D536" s="52"/>
      <c r="E536" s="52"/>
      <c r="F536" s="57">
        <f>F537+F542+F545</f>
        <v>163794.30000000002</v>
      </c>
      <c r="G536" s="57">
        <f>G537+G542+G545</f>
        <v>1313.4</v>
      </c>
      <c r="H536" s="57">
        <f>H537+H542+H545</f>
        <v>2680</v>
      </c>
      <c r="I536" s="27" t="e">
        <f>H536-#REF!</f>
        <v>#REF!</v>
      </c>
    </row>
    <row r="537" spans="1:10" ht="25.5">
      <c r="A537" s="33" t="s">
        <v>589</v>
      </c>
      <c r="B537" s="19" t="s">
        <v>590</v>
      </c>
      <c r="C537" s="60"/>
      <c r="D537" s="60"/>
      <c r="E537" s="60"/>
      <c r="F537" s="34">
        <f>F540+F538</f>
        <v>826.1</v>
      </c>
      <c r="G537" s="34">
        <f>G540+G538</f>
        <v>813.4</v>
      </c>
      <c r="H537" s="34">
        <f>H540+H538</f>
        <v>2180</v>
      </c>
      <c r="I537" s="27" t="e">
        <f>H537-#REF!</f>
        <v>#REF!</v>
      </c>
    </row>
    <row r="538" spans="1:10" ht="38.25">
      <c r="A538" s="33" t="s">
        <v>591</v>
      </c>
      <c r="B538" s="19" t="s">
        <v>592</v>
      </c>
      <c r="C538" s="54" t="s">
        <v>35</v>
      </c>
      <c r="D538" s="54" t="s">
        <v>36</v>
      </c>
      <c r="E538" s="54"/>
      <c r="F538" s="34">
        <f>F539</f>
        <v>0</v>
      </c>
      <c r="G538" s="34">
        <f>G539</f>
        <v>0</v>
      </c>
      <c r="H538" s="34">
        <f>H539</f>
        <v>1400</v>
      </c>
      <c r="I538" s="27" t="e">
        <f>H538-#REF!</f>
        <v>#REF!</v>
      </c>
    </row>
    <row r="539" spans="1:10" ht="25.5">
      <c r="A539" s="43" t="s">
        <v>38</v>
      </c>
      <c r="B539" s="19" t="s">
        <v>592</v>
      </c>
      <c r="C539" s="54" t="s">
        <v>35</v>
      </c>
      <c r="D539" s="54" t="s">
        <v>36</v>
      </c>
      <c r="E539" s="54" t="s">
        <v>39</v>
      </c>
      <c r="F539" s="34">
        <v>0</v>
      </c>
      <c r="G539" s="34">
        <v>0</v>
      </c>
      <c r="H539" s="34">
        <v>1400</v>
      </c>
      <c r="I539" s="27" t="e">
        <f>H539-#REF!</f>
        <v>#REF!</v>
      </c>
    </row>
    <row r="540" spans="1:10" ht="72" customHeight="1">
      <c r="A540" s="33" t="s">
        <v>593</v>
      </c>
      <c r="B540" s="19" t="s">
        <v>594</v>
      </c>
      <c r="C540" s="54" t="s">
        <v>35</v>
      </c>
      <c r="D540" s="54" t="s">
        <v>36</v>
      </c>
      <c r="E540" s="54"/>
      <c r="F540" s="34">
        <f>F541</f>
        <v>826.1</v>
      </c>
      <c r="G540" s="34">
        <f>G541</f>
        <v>813.4</v>
      </c>
      <c r="H540" s="34">
        <f>H541</f>
        <v>780</v>
      </c>
      <c r="I540" s="27" t="e">
        <f>H540-#REF!</f>
        <v>#REF!</v>
      </c>
    </row>
    <row r="541" spans="1:10" ht="25.5">
      <c r="A541" s="43" t="s">
        <v>38</v>
      </c>
      <c r="B541" s="19" t="s">
        <v>594</v>
      </c>
      <c r="C541" s="54" t="s">
        <v>35</v>
      </c>
      <c r="D541" s="54" t="s">
        <v>36</v>
      </c>
      <c r="E541" s="54" t="s">
        <v>39</v>
      </c>
      <c r="F541" s="34">
        <f>743.5+82.6</f>
        <v>826.1</v>
      </c>
      <c r="G541" s="31">
        <f>732.1+81.3</f>
        <v>813.4</v>
      </c>
      <c r="H541" s="31">
        <f>702+78</f>
        <v>780</v>
      </c>
      <c r="I541" s="27" t="e">
        <f>H541-#REF!</f>
        <v>#REF!</v>
      </c>
    </row>
    <row r="542" spans="1:10" ht="25.5">
      <c r="A542" s="33" t="s">
        <v>595</v>
      </c>
      <c r="B542" s="19" t="s">
        <v>596</v>
      </c>
      <c r="C542" s="60"/>
      <c r="D542" s="60"/>
      <c r="E542" s="60"/>
      <c r="F542" s="34">
        <f t="shared" ref="F542:H543" si="31">F543</f>
        <v>760</v>
      </c>
      <c r="G542" s="34">
        <f t="shared" si="31"/>
        <v>500</v>
      </c>
      <c r="H542" s="34">
        <f t="shared" si="31"/>
        <v>500</v>
      </c>
      <c r="I542" s="27" t="e">
        <f>H542-#REF!</f>
        <v>#REF!</v>
      </c>
    </row>
    <row r="543" spans="1:10" ht="25.5">
      <c r="A543" s="33" t="s">
        <v>597</v>
      </c>
      <c r="B543" s="19" t="s">
        <v>598</v>
      </c>
      <c r="C543" s="54" t="s">
        <v>100</v>
      </c>
      <c r="D543" s="54" t="s">
        <v>22</v>
      </c>
      <c r="E543" s="54"/>
      <c r="F543" s="34">
        <f t="shared" si="31"/>
        <v>760</v>
      </c>
      <c r="G543" s="34">
        <f t="shared" si="31"/>
        <v>500</v>
      </c>
      <c r="H543" s="34">
        <f t="shared" si="31"/>
        <v>500</v>
      </c>
      <c r="I543" s="27" t="e">
        <f>H543-#REF!</f>
        <v>#REF!</v>
      </c>
    </row>
    <row r="544" spans="1:10" ht="25.5">
      <c r="A544" s="33" t="s">
        <v>28</v>
      </c>
      <c r="B544" s="19" t="s">
        <v>598</v>
      </c>
      <c r="C544" s="54" t="s">
        <v>100</v>
      </c>
      <c r="D544" s="54" t="s">
        <v>22</v>
      </c>
      <c r="E544" s="54" t="s">
        <v>29</v>
      </c>
      <c r="F544" s="34">
        <f>2130-1370</f>
        <v>760</v>
      </c>
      <c r="G544" s="34">
        <v>500</v>
      </c>
      <c r="H544" s="34">
        <v>500</v>
      </c>
      <c r="I544" s="27" t="e">
        <f>H544-#REF!</f>
        <v>#REF!</v>
      </c>
    </row>
    <row r="545" spans="1:9" ht="25.5">
      <c r="A545" s="33" t="s">
        <v>599</v>
      </c>
      <c r="B545" s="19" t="s">
        <v>600</v>
      </c>
      <c r="C545" s="54" t="s">
        <v>100</v>
      </c>
      <c r="D545" s="54" t="s">
        <v>22</v>
      </c>
      <c r="E545" s="54"/>
      <c r="F545" s="34">
        <f>F546+F548</f>
        <v>162208.20000000001</v>
      </c>
      <c r="G545" s="34">
        <f>G546+G548</f>
        <v>0</v>
      </c>
      <c r="H545" s="34">
        <f>H546+H548</f>
        <v>0</v>
      </c>
      <c r="I545" s="27" t="e">
        <f>H545-#REF!</f>
        <v>#REF!</v>
      </c>
    </row>
    <row r="546" spans="1:9" ht="25.5">
      <c r="A546" s="33" t="s">
        <v>601</v>
      </c>
      <c r="B546" s="19" t="s">
        <v>602</v>
      </c>
      <c r="C546" s="54" t="s">
        <v>100</v>
      </c>
      <c r="D546" s="54" t="s">
        <v>22</v>
      </c>
      <c r="E546" s="54"/>
      <c r="F546" s="34">
        <f>F547</f>
        <v>1410</v>
      </c>
      <c r="G546" s="34">
        <f>G547</f>
        <v>0</v>
      </c>
      <c r="H546" s="34">
        <f>H547</f>
        <v>0</v>
      </c>
      <c r="I546" s="27" t="e">
        <f>H546-#REF!</f>
        <v>#REF!</v>
      </c>
    </row>
    <row r="547" spans="1:9" ht="25.5">
      <c r="A547" s="33" t="s">
        <v>28</v>
      </c>
      <c r="B547" s="19" t="s">
        <v>602</v>
      </c>
      <c r="C547" s="54" t="s">
        <v>100</v>
      </c>
      <c r="D547" s="54" t="s">
        <v>22</v>
      </c>
      <c r="E547" s="54" t="s">
        <v>29</v>
      </c>
      <c r="F547" s="34">
        <f>360+1050</f>
        <v>1410</v>
      </c>
      <c r="G547" s="34">
        <v>0</v>
      </c>
      <c r="H547" s="34">
        <v>0</v>
      </c>
      <c r="I547" s="27" t="e">
        <f>H547-#REF!</f>
        <v>#REF!</v>
      </c>
    </row>
    <row r="548" spans="1:9" ht="25.5">
      <c r="A548" s="33" t="s">
        <v>603</v>
      </c>
      <c r="B548" s="19" t="s">
        <v>604</v>
      </c>
      <c r="C548" s="54" t="s">
        <v>100</v>
      </c>
      <c r="D548" s="54" t="s">
        <v>22</v>
      </c>
      <c r="E548" s="54"/>
      <c r="F548" s="34">
        <f>F551+F553+F549</f>
        <v>160798.20000000001</v>
      </c>
      <c r="G548" s="34">
        <f>G551+G553+G549</f>
        <v>0</v>
      </c>
      <c r="H548" s="34">
        <f>H551+H553+H549</f>
        <v>0</v>
      </c>
      <c r="I548" s="27" t="e">
        <f>H548-#REF!</f>
        <v>#REF!</v>
      </c>
    </row>
    <row r="549" spans="1:9" ht="38.25" hidden="1">
      <c r="A549" s="33" t="s">
        <v>605</v>
      </c>
      <c r="B549" s="19" t="s">
        <v>606</v>
      </c>
      <c r="C549" s="54" t="s">
        <v>100</v>
      </c>
      <c r="D549" s="54" t="s">
        <v>22</v>
      </c>
      <c r="E549" s="54"/>
      <c r="F549" s="34">
        <f>F550</f>
        <v>0</v>
      </c>
      <c r="G549" s="34">
        <f>G550</f>
        <v>0</v>
      </c>
      <c r="H549" s="34">
        <f>H550</f>
        <v>0</v>
      </c>
      <c r="I549" s="27"/>
    </row>
    <row r="550" spans="1:9" ht="25.5" hidden="1">
      <c r="A550" s="33" t="s">
        <v>28</v>
      </c>
      <c r="B550" s="19" t="s">
        <v>606</v>
      </c>
      <c r="C550" s="54" t="s">
        <v>100</v>
      </c>
      <c r="D550" s="54" t="s">
        <v>22</v>
      </c>
      <c r="E550" s="54" t="s">
        <v>29</v>
      </c>
      <c r="F550" s="34"/>
      <c r="G550" s="34"/>
      <c r="H550" s="34"/>
      <c r="I550" s="27"/>
    </row>
    <row r="551" spans="1:9" ht="41.25" customHeight="1">
      <c r="A551" s="33" t="s">
        <v>607</v>
      </c>
      <c r="B551" s="19" t="s">
        <v>608</v>
      </c>
      <c r="C551" s="54" t="s">
        <v>100</v>
      </c>
      <c r="D551" s="54" t="s">
        <v>22</v>
      </c>
      <c r="E551" s="54"/>
      <c r="F551" s="34">
        <f>F552</f>
        <v>57807.799999999996</v>
      </c>
      <c r="G551" s="34">
        <f>G552</f>
        <v>0</v>
      </c>
      <c r="H551" s="34">
        <f>H552</f>
        <v>0</v>
      </c>
      <c r="I551" s="27" t="e">
        <f>H551-#REF!</f>
        <v>#REF!</v>
      </c>
    </row>
    <row r="552" spans="1:9">
      <c r="A552" s="59" t="s">
        <v>242</v>
      </c>
      <c r="B552" s="19" t="s">
        <v>608</v>
      </c>
      <c r="C552" s="54" t="s">
        <v>100</v>
      </c>
      <c r="D552" s="54" t="s">
        <v>22</v>
      </c>
      <c r="E552" s="54" t="s">
        <v>237</v>
      </c>
      <c r="F552" s="34">
        <f>57806.1+1.7</f>
        <v>57807.799999999996</v>
      </c>
      <c r="G552" s="34">
        <v>0</v>
      </c>
      <c r="H552" s="34">
        <v>0</v>
      </c>
      <c r="I552" s="27" t="e">
        <f>H552-#REF!</f>
        <v>#REF!</v>
      </c>
    </row>
    <row r="553" spans="1:9" ht="25.5">
      <c r="A553" s="33" t="s">
        <v>609</v>
      </c>
      <c r="B553" s="19" t="s">
        <v>610</v>
      </c>
      <c r="C553" s="54" t="s">
        <v>100</v>
      </c>
      <c r="D553" s="54" t="s">
        <v>22</v>
      </c>
      <c r="E553" s="54"/>
      <c r="F553" s="34">
        <f>F554</f>
        <v>102990.40000000001</v>
      </c>
      <c r="G553" s="34">
        <f>G554</f>
        <v>0</v>
      </c>
      <c r="H553" s="34">
        <f>H554</f>
        <v>0</v>
      </c>
      <c r="I553" s="27" t="e">
        <f>H553-#REF!</f>
        <v>#REF!</v>
      </c>
    </row>
    <row r="554" spans="1:9">
      <c r="A554" s="59" t="s">
        <v>242</v>
      </c>
      <c r="B554" s="19" t="s">
        <v>610</v>
      </c>
      <c r="C554" s="54" t="s">
        <v>100</v>
      </c>
      <c r="D554" s="54" t="s">
        <v>22</v>
      </c>
      <c r="E554" s="54" t="s">
        <v>237</v>
      </c>
      <c r="F554" s="34">
        <f>102987.3+3.1</f>
        <v>102990.40000000001</v>
      </c>
      <c r="G554" s="34">
        <v>0</v>
      </c>
      <c r="H554" s="34">
        <v>0</v>
      </c>
      <c r="I554" s="27" t="e">
        <f>H554-#REF!</f>
        <v>#REF!</v>
      </c>
    </row>
    <row r="555" spans="1:9" ht="25.5">
      <c r="A555" s="50" t="s">
        <v>611</v>
      </c>
      <c r="B555" s="51" t="s">
        <v>612</v>
      </c>
      <c r="C555" s="52"/>
      <c r="D555" s="52"/>
      <c r="E555" s="52"/>
      <c r="F555" s="57">
        <f>F556+F559+F562</f>
        <v>17833.8</v>
      </c>
      <c r="G555" s="57">
        <f>G556+G559+G562</f>
        <v>0</v>
      </c>
      <c r="H555" s="57">
        <f>H556+H559+H562</f>
        <v>0</v>
      </c>
      <c r="I555" s="27" t="e">
        <f>H555-#REF!</f>
        <v>#REF!</v>
      </c>
    </row>
    <row r="556" spans="1:9" ht="25.5">
      <c r="A556" s="33" t="s">
        <v>613</v>
      </c>
      <c r="B556" s="19" t="s">
        <v>614</v>
      </c>
      <c r="C556" s="54"/>
      <c r="D556" s="54"/>
      <c r="E556" s="54"/>
      <c r="F556" s="34">
        <f t="shared" ref="F556:H557" si="32">F557</f>
        <v>13058.5</v>
      </c>
      <c r="G556" s="34">
        <f t="shared" si="32"/>
        <v>0</v>
      </c>
      <c r="H556" s="34">
        <f t="shared" si="32"/>
        <v>0</v>
      </c>
      <c r="I556" s="27" t="e">
        <f>H556-#REF!</f>
        <v>#REF!</v>
      </c>
    </row>
    <row r="557" spans="1:9" ht="25.5">
      <c r="A557" s="55" t="s">
        <v>615</v>
      </c>
      <c r="B557" s="19" t="s">
        <v>616</v>
      </c>
      <c r="C557" s="54" t="s">
        <v>35</v>
      </c>
      <c r="D557" s="54" t="s">
        <v>36</v>
      </c>
      <c r="E557" s="54"/>
      <c r="F557" s="34">
        <f t="shared" si="32"/>
        <v>13058.5</v>
      </c>
      <c r="G557" s="34">
        <f t="shared" si="32"/>
        <v>0</v>
      </c>
      <c r="H557" s="34">
        <f t="shared" si="32"/>
        <v>0</v>
      </c>
      <c r="I557" s="27" t="e">
        <f>H557-#REF!</f>
        <v>#REF!</v>
      </c>
    </row>
    <row r="558" spans="1:9" ht="25.5">
      <c r="A558" s="43" t="s">
        <v>38</v>
      </c>
      <c r="B558" s="19" t="s">
        <v>616</v>
      </c>
      <c r="C558" s="54" t="s">
        <v>35</v>
      </c>
      <c r="D558" s="54" t="s">
        <v>36</v>
      </c>
      <c r="E558" s="54" t="s">
        <v>39</v>
      </c>
      <c r="F558" s="34">
        <f>12405.6+652.9</f>
        <v>13058.5</v>
      </c>
      <c r="G558" s="34">
        <v>0</v>
      </c>
      <c r="H558" s="34">
        <v>0</v>
      </c>
      <c r="I558" s="27" t="e">
        <f>H558-#REF!</f>
        <v>#REF!</v>
      </c>
    </row>
    <row r="559" spans="1:9" ht="25.5" hidden="1">
      <c r="A559" s="43" t="s">
        <v>617</v>
      </c>
      <c r="B559" s="19" t="s">
        <v>618</v>
      </c>
      <c r="C559" s="54"/>
      <c r="D559" s="54"/>
      <c r="E559" s="54"/>
      <c r="F559" s="34">
        <f t="shared" ref="F559:H560" si="33">F560</f>
        <v>0</v>
      </c>
      <c r="G559" s="34">
        <f t="shared" si="33"/>
        <v>0</v>
      </c>
      <c r="H559" s="34">
        <f t="shared" si="33"/>
        <v>0</v>
      </c>
      <c r="I559" s="27" t="e">
        <f>H559-#REF!</f>
        <v>#REF!</v>
      </c>
    </row>
    <row r="560" spans="1:9" hidden="1">
      <c r="A560" s="89" t="s">
        <v>619</v>
      </c>
      <c r="B560" s="19" t="s">
        <v>620</v>
      </c>
      <c r="C560" s="54" t="s">
        <v>100</v>
      </c>
      <c r="D560" s="54" t="s">
        <v>160</v>
      </c>
      <c r="E560" s="54"/>
      <c r="F560" s="34">
        <f t="shared" si="33"/>
        <v>0</v>
      </c>
      <c r="G560" s="34">
        <f t="shared" si="33"/>
        <v>0</v>
      </c>
      <c r="H560" s="34">
        <f t="shared" si="33"/>
        <v>0</v>
      </c>
      <c r="I560" s="27" t="e">
        <f>H560-#REF!</f>
        <v>#REF!</v>
      </c>
    </row>
    <row r="561" spans="1:15" hidden="1">
      <c r="A561" s="59" t="s">
        <v>242</v>
      </c>
      <c r="B561" s="19" t="s">
        <v>620</v>
      </c>
      <c r="C561" s="54" t="s">
        <v>100</v>
      </c>
      <c r="D561" s="54" t="s">
        <v>160</v>
      </c>
      <c r="E561" s="54" t="s">
        <v>237</v>
      </c>
      <c r="F561" s="34">
        <v>0</v>
      </c>
      <c r="G561" s="34">
        <v>0</v>
      </c>
      <c r="H561" s="34">
        <v>0</v>
      </c>
      <c r="I561" s="27" t="e">
        <f>H561-#REF!</f>
        <v>#REF!</v>
      </c>
    </row>
    <row r="562" spans="1:15" s="112" customFormat="1" ht="25.5">
      <c r="A562" s="59" t="s">
        <v>621</v>
      </c>
      <c r="B562" s="19" t="s">
        <v>622</v>
      </c>
      <c r="C562" s="54"/>
      <c r="D562" s="54"/>
      <c r="E562" s="54"/>
      <c r="F562" s="34">
        <f t="shared" ref="F562:H563" si="34">F563</f>
        <v>4775.3</v>
      </c>
      <c r="G562" s="34">
        <f t="shared" si="34"/>
        <v>0</v>
      </c>
      <c r="H562" s="34">
        <f t="shared" si="34"/>
        <v>0</v>
      </c>
      <c r="I562" s="27"/>
      <c r="J562" s="3"/>
      <c r="K562" s="3"/>
      <c r="L562" s="3"/>
      <c r="M562" s="3"/>
    </row>
    <row r="563" spans="1:15" ht="25.5">
      <c r="A563" s="59" t="s">
        <v>623</v>
      </c>
      <c r="B563" s="19" t="s">
        <v>624</v>
      </c>
      <c r="C563" s="54" t="s">
        <v>100</v>
      </c>
      <c r="D563" s="54" t="s">
        <v>36</v>
      </c>
      <c r="E563" s="54"/>
      <c r="F563" s="34">
        <f t="shared" si="34"/>
        <v>4775.3</v>
      </c>
      <c r="G563" s="34">
        <f t="shared" si="34"/>
        <v>0</v>
      </c>
      <c r="H563" s="34">
        <f t="shared" si="34"/>
        <v>0</v>
      </c>
      <c r="I563" s="27"/>
    </row>
    <row r="564" spans="1:15" ht="25.5">
      <c r="A564" s="33" t="s">
        <v>28</v>
      </c>
      <c r="B564" s="19" t="s">
        <v>624</v>
      </c>
      <c r="C564" s="54" t="s">
        <v>100</v>
      </c>
      <c r="D564" s="54" t="s">
        <v>36</v>
      </c>
      <c r="E564" s="54" t="s">
        <v>29</v>
      </c>
      <c r="F564" s="34">
        <f>4727.5+47.8</f>
        <v>4775.3</v>
      </c>
      <c r="G564" s="34">
        <f>0</f>
        <v>0</v>
      </c>
      <c r="H564" s="34">
        <v>0</v>
      </c>
      <c r="I564" s="27"/>
    </row>
    <row r="565" spans="1:15">
      <c r="A565" s="113" t="s">
        <v>625</v>
      </c>
      <c r="B565" s="114"/>
      <c r="C565" s="115"/>
      <c r="D565" s="115"/>
      <c r="E565" s="115"/>
      <c r="F565" s="57">
        <f>F59+F40+F11+F48+F83+F134+F201+F521+F222+F326+F376+F398+F418+F450+F454+F469+F555+F529+F536+F488</f>
        <v>966821.5</v>
      </c>
      <c r="G565" s="57">
        <f>G59+G40+G11+G48+G83+G134+G201+G521+G222+G326+G376+G398+G418+G450+G454+G469+G555+G529+G536+G488</f>
        <v>594536.87</v>
      </c>
      <c r="H565" s="57">
        <f>H59+H40+H11+H48+H83+H134+H201+H521+H222+H326+H376+H398+H418+H450+H454+H469+H555+H529+H536+H488</f>
        <v>593812.07000000007</v>
      </c>
      <c r="I565" s="27" t="e">
        <f>H565-#REF!</f>
        <v>#REF!</v>
      </c>
    </row>
    <row r="567" spans="1:15">
      <c r="B567" s="116"/>
      <c r="G567" s="4"/>
      <c r="H567" s="4"/>
      <c r="I567" s="117"/>
    </row>
    <row r="568" spans="1:15">
      <c r="G568" s="4"/>
      <c r="H568" s="4"/>
      <c r="I568" s="4"/>
    </row>
    <row r="570" spans="1:15" ht="16.5" customHeight="1">
      <c r="E570" s="118"/>
      <c r="F570" s="119"/>
      <c r="G570" s="12"/>
      <c r="H570" s="120"/>
      <c r="I570" s="121"/>
      <c r="J570" s="12"/>
      <c r="K570" s="121"/>
      <c r="L570" s="12"/>
      <c r="M570" s="12"/>
      <c r="N570" s="122"/>
      <c r="O570" s="122"/>
    </row>
    <row r="571" spans="1:15">
      <c r="J571" s="123"/>
      <c r="K571" s="123"/>
      <c r="L571" s="124"/>
      <c r="M571" s="124"/>
      <c r="N571" s="125"/>
      <c r="O571" s="125"/>
    </row>
    <row r="572" spans="1:15">
      <c r="G572" s="121"/>
      <c r="I572" s="121"/>
      <c r="J572" s="123"/>
      <c r="K572" s="123"/>
      <c r="L572" s="124"/>
      <c r="M572" s="124"/>
      <c r="N572" s="125"/>
      <c r="O572" s="125"/>
    </row>
    <row r="573" spans="1:15">
      <c r="G573" s="121"/>
      <c r="I573" s="121"/>
      <c r="J573" s="123"/>
      <c r="K573" s="123"/>
      <c r="L573" s="124"/>
      <c r="M573" s="124"/>
      <c r="N573" s="125"/>
      <c r="O573" s="125"/>
    </row>
    <row r="574" spans="1:15">
      <c r="G574" s="121"/>
      <c r="J574" s="123"/>
      <c r="K574" s="123"/>
      <c r="L574" s="124"/>
      <c r="M574" s="124"/>
      <c r="N574" s="125"/>
      <c r="O574" s="125"/>
    </row>
    <row r="575" spans="1:15">
      <c r="G575" s="121"/>
      <c r="J575" s="123"/>
      <c r="K575" s="123"/>
      <c r="L575" s="124"/>
      <c r="M575" s="124"/>
      <c r="N575" s="125"/>
      <c r="O575" s="125"/>
    </row>
    <row r="576" spans="1:15">
      <c r="G576" s="121"/>
      <c r="J576" s="123"/>
      <c r="K576" s="123"/>
      <c r="L576" s="124"/>
      <c r="M576" s="124"/>
      <c r="N576" s="125"/>
      <c r="O576" s="125"/>
    </row>
    <row r="577" spans="2:15">
      <c r="B577" s="121"/>
      <c r="G577" s="117"/>
      <c r="H577" s="117"/>
      <c r="I577" s="117"/>
      <c r="J577" s="126"/>
      <c r="K577" s="123"/>
      <c r="L577" s="124"/>
      <c r="M577" s="124"/>
      <c r="N577" s="127"/>
      <c r="O577" s="125"/>
    </row>
    <row r="578" spans="2:15">
      <c r="G578" s="121"/>
      <c r="H578" s="121"/>
      <c r="I578" s="121"/>
      <c r="J578" s="126"/>
      <c r="K578" s="123"/>
      <c r="L578" s="124"/>
      <c r="M578" s="124"/>
      <c r="N578" s="127"/>
      <c r="O578" s="125"/>
    </row>
    <row r="579" spans="2:15">
      <c r="D579" s="42"/>
      <c r="E579" s="42"/>
      <c r="F579" s="42"/>
      <c r="G579" s="121"/>
      <c r="H579" s="121"/>
      <c r="J579" s="123"/>
      <c r="K579" s="123"/>
      <c r="L579" s="123"/>
      <c r="M579" s="123"/>
      <c r="N579" s="128"/>
      <c r="O579" s="128"/>
    </row>
    <row r="580" spans="2:15">
      <c r="G580" s="121"/>
      <c r="J580" s="123"/>
      <c r="K580" s="123"/>
      <c r="L580" s="123"/>
      <c r="M580" s="123"/>
      <c r="N580" s="128"/>
      <c r="O580" s="128"/>
    </row>
    <row r="581" spans="2:15">
      <c r="G581" s="121"/>
      <c r="J581" s="123"/>
      <c r="K581" s="123"/>
      <c r="L581" s="123"/>
      <c r="M581" s="123"/>
      <c r="N581" s="128"/>
      <c r="O581" s="128"/>
    </row>
    <row r="582" spans="2:15">
      <c r="J582" s="123"/>
      <c r="K582" s="123"/>
      <c r="L582" s="123"/>
      <c r="M582" s="123"/>
      <c r="N582" s="128"/>
      <c r="O582" s="128"/>
    </row>
    <row r="583" spans="2:15">
      <c r="J583" s="129"/>
      <c r="K583" s="129"/>
      <c r="L583" s="129"/>
      <c r="M583" s="129"/>
      <c r="N583" s="130"/>
      <c r="O583" s="130"/>
    </row>
    <row r="585" spans="2:15">
      <c r="G585" s="131"/>
      <c r="H585" s="131"/>
      <c r="I585" s="131"/>
    </row>
    <row r="586" spans="2:15">
      <c r="G586" s="4"/>
      <c r="H586" s="4"/>
      <c r="I586" s="4"/>
    </row>
    <row r="589" spans="2:15">
      <c r="K589" s="42"/>
      <c r="L589" s="42"/>
      <c r="M589" s="42"/>
    </row>
    <row r="590" spans="2:15">
      <c r="K590" s="36"/>
      <c r="L590" s="36"/>
      <c r="M590" s="36"/>
    </row>
    <row r="594" spans="6:13">
      <c r="F594" s="4" t="s">
        <v>626</v>
      </c>
    </row>
    <row r="598" spans="6:13">
      <c r="K598" s="39"/>
      <c r="L598" s="39"/>
      <c r="M598" s="39"/>
    </row>
    <row r="601" spans="6:13">
      <c r="K601" s="39"/>
      <c r="L601" s="39"/>
      <c r="M601" s="39"/>
    </row>
  </sheetData>
  <sheetProtection password="C613" sheet="1" objects="1" scenarios="1" formatCells="0" formatColumns="0" formatRows="0" insertColumns="0" insertRows="0" insertHyperlinks="0" deleteColumns="0" deleteRows="0" sort="0" autoFilter="0" pivotTables="0"/>
  <mergeCells count="10">
    <mergeCell ref="B1:H1"/>
    <mergeCell ref="A2:E2"/>
    <mergeCell ref="A4:H4"/>
    <mergeCell ref="A5:H5"/>
    <mergeCell ref="A7:A9"/>
    <mergeCell ref="B7:B9"/>
    <mergeCell ref="C7:C9"/>
    <mergeCell ref="D7:D9"/>
    <mergeCell ref="E7:E9"/>
    <mergeCell ref="F7:H8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5 Проект</vt:lpstr>
      <vt:lpstr>'Прил 5 Проект'!Область_печати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Генаева</dc:creator>
  <cp:lastModifiedBy>Галина Генаева</cp:lastModifiedBy>
  <dcterms:created xsi:type="dcterms:W3CDTF">2023-11-20T05:22:15Z</dcterms:created>
  <dcterms:modified xsi:type="dcterms:W3CDTF">2023-11-20T05:29:05Z</dcterms:modified>
</cp:coreProperties>
</file>