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35" windowHeight="10890"/>
  </bookViews>
  <sheets>
    <sheet name="Прил 4 Проект" sheetId="1" r:id="rId1"/>
  </sheets>
  <definedNames>
    <definedName name="_xlnm._FilterDatabase" localSheetId="0" hidden="1">'Прил 4 Проект'!$A$9:$T$871</definedName>
    <definedName name="А">#REF!</definedName>
    <definedName name="_xlnm.Print_Titles" localSheetId="0">'Прил 4 Проект'!$7:$7</definedName>
    <definedName name="_xlnm.Print_Area" localSheetId="0">'Прил 4 Проект'!$B$1:$J$871</definedName>
  </definedNames>
  <calcPr calcId="124519"/>
</workbook>
</file>

<file path=xl/calcChain.xml><?xml version="1.0" encoding="utf-8"?>
<calcChain xmlns="http://schemas.openxmlformats.org/spreadsheetml/2006/main">
  <c r="H868" i="1"/>
  <c r="H867" s="1"/>
  <c r="H866" s="1"/>
  <c r="H865" s="1"/>
  <c r="H864" s="1"/>
  <c r="H863" s="1"/>
  <c r="J867"/>
  <c r="I867"/>
  <c r="J866"/>
  <c r="J865" s="1"/>
  <c r="J864" s="1"/>
  <c r="J863" s="1"/>
  <c r="I866"/>
  <c r="I865" s="1"/>
  <c r="I864" s="1"/>
  <c r="I863" s="1"/>
  <c r="H862"/>
  <c r="H861" s="1"/>
  <c r="H860" s="1"/>
  <c r="J861"/>
  <c r="I861"/>
  <c r="I860" s="1"/>
  <c r="J860"/>
  <c r="H859"/>
  <c r="J858"/>
  <c r="J857" s="1"/>
  <c r="I858"/>
  <c r="I857" s="1"/>
  <c r="I853" s="1"/>
  <c r="I852" s="1"/>
  <c r="I851" s="1"/>
  <c r="I850" s="1"/>
  <c r="H858"/>
  <c r="H857"/>
  <c r="H853" s="1"/>
  <c r="H852" s="1"/>
  <c r="H851" s="1"/>
  <c r="H850" s="1"/>
  <c r="J855"/>
  <c r="I855"/>
  <c r="H855"/>
  <c r="H854" s="1"/>
  <c r="J854"/>
  <c r="I854"/>
  <c r="J848"/>
  <c r="J847" s="1"/>
  <c r="J846" s="1"/>
  <c r="J845" s="1"/>
  <c r="J844" s="1"/>
  <c r="J843" s="1"/>
  <c r="I848"/>
  <c r="I847" s="1"/>
  <c r="I846" s="1"/>
  <c r="I845" s="1"/>
  <c r="I844" s="1"/>
  <c r="I843" s="1"/>
  <c r="H848"/>
  <c r="H847" s="1"/>
  <c r="H846" s="1"/>
  <c r="H845" s="1"/>
  <c r="H844" s="1"/>
  <c r="H843" s="1"/>
  <c r="H842"/>
  <c r="H841" s="1"/>
  <c r="H840" s="1"/>
  <c r="H839" s="1"/>
  <c r="H838" s="1"/>
  <c r="H837" s="1"/>
  <c r="J841"/>
  <c r="J840" s="1"/>
  <c r="J839" s="1"/>
  <c r="J838" s="1"/>
  <c r="J837" s="1"/>
  <c r="I841"/>
  <c r="I840" s="1"/>
  <c r="I839" s="1"/>
  <c r="I838" s="1"/>
  <c r="I837" s="1"/>
  <c r="J835"/>
  <c r="I835"/>
  <c r="H835"/>
  <c r="H834" s="1"/>
  <c r="H833" s="1"/>
  <c r="H832" s="1"/>
  <c r="H831" s="1"/>
  <c r="H830" s="1"/>
  <c r="J834"/>
  <c r="J833" s="1"/>
  <c r="J832" s="1"/>
  <c r="J831" s="1"/>
  <c r="J830" s="1"/>
  <c r="I834"/>
  <c r="I833" s="1"/>
  <c r="I832" s="1"/>
  <c r="I831" s="1"/>
  <c r="I830" s="1"/>
  <c r="J828"/>
  <c r="I828"/>
  <c r="H828"/>
  <c r="J825"/>
  <c r="I825"/>
  <c r="I824" s="1"/>
  <c r="H825"/>
  <c r="H824" s="1"/>
  <c r="H823" s="1"/>
  <c r="H822" s="1"/>
  <c r="H821" s="1"/>
  <c r="H820" s="1"/>
  <c r="H819" s="1"/>
  <c r="J824"/>
  <c r="J823" s="1"/>
  <c r="J822" s="1"/>
  <c r="J821" s="1"/>
  <c r="J820" s="1"/>
  <c r="J819" s="1"/>
  <c r="H817"/>
  <c r="H816" s="1"/>
  <c r="H815" s="1"/>
  <c r="H814" s="1"/>
  <c r="H813" s="1"/>
  <c r="H812" s="1"/>
  <c r="J816"/>
  <c r="J815" s="1"/>
  <c r="J814" s="1"/>
  <c r="J813" s="1"/>
  <c r="J812" s="1"/>
  <c r="I816"/>
  <c r="I815" s="1"/>
  <c r="I814" s="1"/>
  <c r="I813" s="1"/>
  <c r="I812" s="1"/>
  <c r="H811"/>
  <c r="H810" s="1"/>
  <c r="H809" s="1"/>
  <c r="J810"/>
  <c r="J809" s="1"/>
  <c r="I810"/>
  <c r="I809" s="1"/>
  <c r="H808"/>
  <c r="J807"/>
  <c r="I807"/>
  <c r="I806" s="1"/>
  <c r="H807"/>
  <c r="H806" s="1"/>
  <c r="J806"/>
  <c r="J804"/>
  <c r="J803" s="1"/>
  <c r="I804"/>
  <c r="H804"/>
  <c r="H803" s="1"/>
  <c r="I803"/>
  <c r="J797"/>
  <c r="J796" s="1"/>
  <c r="J795" s="1"/>
  <c r="J794" s="1"/>
  <c r="J793" s="1"/>
  <c r="J792" s="1"/>
  <c r="I797"/>
  <c r="I796" s="1"/>
  <c r="I795" s="1"/>
  <c r="I794" s="1"/>
  <c r="I793" s="1"/>
  <c r="I792" s="1"/>
  <c r="H797"/>
  <c r="H796" s="1"/>
  <c r="H795" s="1"/>
  <c r="H794" s="1"/>
  <c r="H793" s="1"/>
  <c r="H792" s="1"/>
  <c r="H791"/>
  <c r="H790" s="1"/>
  <c r="H789" s="1"/>
  <c r="H788" s="1"/>
  <c r="H787" s="1"/>
  <c r="H786" s="1"/>
  <c r="J790"/>
  <c r="J789" s="1"/>
  <c r="J788" s="1"/>
  <c r="J787" s="1"/>
  <c r="J786" s="1"/>
  <c r="I790"/>
  <c r="I789"/>
  <c r="I788" s="1"/>
  <c r="I787" s="1"/>
  <c r="I786" s="1"/>
  <c r="J784"/>
  <c r="J783" s="1"/>
  <c r="J782" s="1"/>
  <c r="J781" s="1"/>
  <c r="J780" s="1"/>
  <c r="J779" s="1"/>
  <c r="I784"/>
  <c r="H784"/>
  <c r="H783" s="1"/>
  <c r="H782" s="1"/>
  <c r="H781" s="1"/>
  <c r="H780" s="1"/>
  <c r="H779" s="1"/>
  <c r="I783"/>
  <c r="I782" s="1"/>
  <c r="I781" s="1"/>
  <c r="I780" s="1"/>
  <c r="I779" s="1"/>
  <c r="J777"/>
  <c r="I777"/>
  <c r="H777"/>
  <c r="J775"/>
  <c r="I775"/>
  <c r="I773" s="1"/>
  <c r="I772" s="1"/>
  <c r="I771" s="1"/>
  <c r="I770" s="1"/>
  <c r="I769" s="1"/>
  <c r="I768" s="1"/>
  <c r="H775"/>
  <c r="H773" s="1"/>
  <c r="H772" s="1"/>
  <c r="H771" s="1"/>
  <c r="H770" s="1"/>
  <c r="H769" s="1"/>
  <c r="H768" s="1"/>
  <c r="J774"/>
  <c r="I774"/>
  <c r="H774"/>
  <c r="J765"/>
  <c r="J764" s="1"/>
  <c r="J763" s="1"/>
  <c r="J762" s="1"/>
  <c r="J761" s="1"/>
  <c r="I765"/>
  <c r="I764" s="1"/>
  <c r="I763" s="1"/>
  <c r="I762" s="1"/>
  <c r="I761" s="1"/>
  <c r="H765"/>
  <c r="H764"/>
  <c r="H763" s="1"/>
  <c r="H762" s="1"/>
  <c r="H761" s="1"/>
  <c r="J759"/>
  <c r="J758" s="1"/>
  <c r="J757" s="1"/>
  <c r="J756" s="1"/>
  <c r="J755" s="1"/>
  <c r="I759"/>
  <c r="I758" s="1"/>
  <c r="I757" s="1"/>
  <c r="I756" s="1"/>
  <c r="I755" s="1"/>
  <c r="H759"/>
  <c r="H758" s="1"/>
  <c r="H757" s="1"/>
  <c r="H756" s="1"/>
  <c r="H755" s="1"/>
  <c r="J753"/>
  <c r="I753"/>
  <c r="I752" s="1"/>
  <c r="I751" s="1"/>
  <c r="I750" s="1"/>
  <c r="I749" s="1"/>
  <c r="I748" s="1"/>
  <c r="H753"/>
  <c r="H752" s="1"/>
  <c r="H751" s="1"/>
  <c r="H750" s="1"/>
  <c r="H749" s="1"/>
  <c r="H748" s="1"/>
  <c r="J752"/>
  <c r="J751" s="1"/>
  <c r="J750" s="1"/>
  <c r="J749" s="1"/>
  <c r="J748" s="1"/>
  <c r="J746"/>
  <c r="J745" s="1"/>
  <c r="J744" s="1"/>
  <c r="J743" s="1"/>
  <c r="J742" s="1"/>
  <c r="I746"/>
  <c r="I745" s="1"/>
  <c r="I744" s="1"/>
  <c r="I743" s="1"/>
  <c r="I742" s="1"/>
  <c r="I741" s="1"/>
  <c r="H746"/>
  <c r="H745" s="1"/>
  <c r="H744" s="1"/>
  <c r="H743" s="1"/>
  <c r="H742" s="1"/>
  <c r="H741" s="1"/>
  <c r="J740"/>
  <c r="I740"/>
  <c r="I739" s="1"/>
  <c r="I738" s="1"/>
  <c r="H740"/>
  <c r="H739" s="1"/>
  <c r="H738" s="1"/>
  <c r="J739"/>
  <c r="J738" s="1"/>
  <c r="H736"/>
  <c r="J735"/>
  <c r="J734" s="1"/>
  <c r="J733" s="1"/>
  <c r="I735"/>
  <c r="I734" s="1"/>
  <c r="I733" s="1"/>
  <c r="I732" s="1"/>
  <c r="H735"/>
  <c r="H734"/>
  <c r="H733"/>
  <c r="H732" s="1"/>
  <c r="H731"/>
  <c r="H730" s="1"/>
  <c r="J730"/>
  <c r="I730"/>
  <c r="H729"/>
  <c r="H728" s="1"/>
  <c r="J728"/>
  <c r="I728"/>
  <c r="H727"/>
  <c r="H726" s="1"/>
  <c r="J726"/>
  <c r="J725" s="1"/>
  <c r="I726"/>
  <c r="I725"/>
  <c r="J722"/>
  <c r="J721" s="1"/>
  <c r="I722"/>
  <c r="I721" s="1"/>
  <c r="H722"/>
  <c r="H721"/>
  <c r="J719"/>
  <c r="J718" s="1"/>
  <c r="I719"/>
  <c r="H719"/>
  <c r="H718" s="1"/>
  <c r="I718"/>
  <c r="J716"/>
  <c r="J715" s="1"/>
  <c r="I716"/>
  <c r="I715" s="1"/>
  <c r="H716"/>
  <c r="H715"/>
  <c r="J711"/>
  <c r="J710" s="1"/>
  <c r="J709" s="1"/>
  <c r="J708" s="1"/>
  <c r="I711"/>
  <c r="I710" s="1"/>
  <c r="I709" s="1"/>
  <c r="I708" s="1"/>
  <c r="H711"/>
  <c r="H710"/>
  <c r="H709" s="1"/>
  <c r="H708" s="1"/>
  <c r="J705"/>
  <c r="J704" s="1"/>
  <c r="J703" s="1"/>
  <c r="I705"/>
  <c r="I704" s="1"/>
  <c r="I703" s="1"/>
  <c r="H705"/>
  <c r="H704"/>
  <c r="H703" s="1"/>
  <c r="J700"/>
  <c r="J699" s="1"/>
  <c r="I700"/>
  <c r="I699" s="1"/>
  <c r="H700"/>
  <c r="H699"/>
  <c r="J697"/>
  <c r="I697"/>
  <c r="H697"/>
  <c r="H696" s="1"/>
  <c r="J696"/>
  <c r="I696"/>
  <c r="H695"/>
  <c r="H694" s="1"/>
  <c r="J694"/>
  <c r="I694"/>
  <c r="J692"/>
  <c r="I692"/>
  <c r="H692"/>
  <c r="J690"/>
  <c r="I690"/>
  <c r="H690"/>
  <c r="J689"/>
  <c r="J688" s="1"/>
  <c r="J687" s="1"/>
  <c r="J686" s="1"/>
  <c r="J685" s="1"/>
  <c r="J684" s="1"/>
  <c r="I689"/>
  <c r="I688" s="1"/>
  <c r="I687" s="1"/>
  <c r="I686" s="1"/>
  <c r="I685" s="1"/>
  <c r="I684" s="1"/>
  <c r="H689"/>
  <c r="H688" s="1"/>
  <c r="J683"/>
  <c r="J682" s="1"/>
  <c r="J681" s="1"/>
  <c r="I683"/>
  <c r="I682" s="1"/>
  <c r="I681" s="1"/>
  <c r="H683"/>
  <c r="H682"/>
  <c r="H681" s="1"/>
  <c r="J679"/>
  <c r="J678" s="1"/>
  <c r="I679"/>
  <c r="H679"/>
  <c r="H678" s="1"/>
  <c r="I678"/>
  <c r="J676"/>
  <c r="I676"/>
  <c r="I675" s="1"/>
  <c r="H676"/>
  <c r="H675" s="1"/>
  <c r="J675"/>
  <c r="J673"/>
  <c r="J672" s="1"/>
  <c r="I673"/>
  <c r="I672" s="1"/>
  <c r="H673"/>
  <c r="H672" s="1"/>
  <c r="J670"/>
  <c r="J669" s="1"/>
  <c r="I670"/>
  <c r="I669" s="1"/>
  <c r="H670"/>
  <c r="H669" s="1"/>
  <c r="J667"/>
  <c r="J666" s="1"/>
  <c r="I667"/>
  <c r="I666" s="1"/>
  <c r="H667"/>
  <c r="H666"/>
  <c r="J665"/>
  <c r="J664" s="1"/>
  <c r="J663" s="1"/>
  <c r="I665"/>
  <c r="I664" s="1"/>
  <c r="I663" s="1"/>
  <c r="H665"/>
  <c r="H664" s="1"/>
  <c r="H663" s="1"/>
  <c r="J662"/>
  <c r="J661" s="1"/>
  <c r="I662"/>
  <c r="I661" s="1"/>
  <c r="H662"/>
  <c r="H661"/>
  <c r="J659"/>
  <c r="I659"/>
  <c r="H659"/>
  <c r="H658"/>
  <c r="H657" s="1"/>
  <c r="J657"/>
  <c r="I657"/>
  <c r="I656"/>
  <c r="I655" s="1"/>
  <c r="J655"/>
  <c r="H655"/>
  <c r="I654"/>
  <c r="I653" s="1"/>
  <c r="H654"/>
  <c r="H653" s="1"/>
  <c r="J653"/>
  <c r="I652"/>
  <c r="H652"/>
  <c r="H651" s="1"/>
  <c r="J651"/>
  <c r="I651"/>
  <c r="J650"/>
  <c r="J649" s="1"/>
  <c r="I650"/>
  <c r="I649" s="1"/>
  <c r="H650"/>
  <c r="H649" s="1"/>
  <c r="J647"/>
  <c r="I647"/>
  <c r="H647"/>
  <c r="J645"/>
  <c r="J644" s="1"/>
  <c r="I645"/>
  <c r="I644" s="1"/>
  <c r="H645"/>
  <c r="H644" s="1"/>
  <c r="J643"/>
  <c r="I643"/>
  <c r="I642" s="1"/>
  <c r="H643"/>
  <c r="H642" s="1"/>
  <c r="J642"/>
  <c r="J641"/>
  <c r="J640" s="1"/>
  <c r="I641"/>
  <c r="I640" s="1"/>
  <c r="H641"/>
  <c r="H640" s="1"/>
  <c r="J634"/>
  <c r="J633" s="1"/>
  <c r="I634"/>
  <c r="I633" s="1"/>
  <c r="H634"/>
  <c r="H633" s="1"/>
  <c r="J632"/>
  <c r="J631" s="1"/>
  <c r="I632"/>
  <c r="I631" s="1"/>
  <c r="H632"/>
  <c r="H631"/>
  <c r="H630"/>
  <c r="H629" s="1"/>
  <c r="J629"/>
  <c r="I629"/>
  <c r="J628"/>
  <c r="J627" s="1"/>
  <c r="I628"/>
  <c r="H628"/>
  <c r="H627" s="1"/>
  <c r="I627"/>
  <c r="J626"/>
  <c r="J625" s="1"/>
  <c r="I626"/>
  <c r="I625" s="1"/>
  <c r="H626"/>
  <c r="H625"/>
  <c r="J618"/>
  <c r="J617" s="1"/>
  <c r="J616" s="1"/>
  <c r="J615" s="1"/>
  <c r="J614" s="1"/>
  <c r="I618"/>
  <c r="H618"/>
  <c r="H617" s="1"/>
  <c r="H616" s="1"/>
  <c r="H615" s="1"/>
  <c r="H614" s="1"/>
  <c r="I617"/>
  <c r="I616" s="1"/>
  <c r="I615" s="1"/>
  <c r="I614" s="1"/>
  <c r="J611"/>
  <c r="J610" s="1"/>
  <c r="J609" s="1"/>
  <c r="J608" s="1"/>
  <c r="J607" s="1"/>
  <c r="I611"/>
  <c r="I610" s="1"/>
  <c r="I609" s="1"/>
  <c r="I608" s="1"/>
  <c r="I607" s="1"/>
  <c r="H611"/>
  <c r="H610" s="1"/>
  <c r="H609" s="1"/>
  <c r="H608" s="1"/>
  <c r="H607" s="1"/>
  <c r="J604"/>
  <c r="J603" s="1"/>
  <c r="J602" s="1"/>
  <c r="J601" s="1"/>
  <c r="J600" s="1"/>
  <c r="J599" s="1"/>
  <c r="I604"/>
  <c r="I603" s="1"/>
  <c r="I602" s="1"/>
  <c r="I601" s="1"/>
  <c r="I600" s="1"/>
  <c r="I599" s="1"/>
  <c r="H604"/>
  <c r="H603" s="1"/>
  <c r="H602" s="1"/>
  <c r="H601" s="1"/>
  <c r="H600" s="1"/>
  <c r="H599" s="1"/>
  <c r="J598"/>
  <c r="J597" s="1"/>
  <c r="J596" s="1"/>
  <c r="J595" s="1"/>
  <c r="J594" s="1"/>
  <c r="J593" s="1"/>
  <c r="I598"/>
  <c r="I597" s="1"/>
  <c r="I596" s="1"/>
  <c r="I595" s="1"/>
  <c r="I594" s="1"/>
  <c r="I593" s="1"/>
  <c r="H598"/>
  <c r="H597"/>
  <c r="H596"/>
  <c r="H595" s="1"/>
  <c r="H594" s="1"/>
  <c r="H593" s="1"/>
  <c r="J591"/>
  <c r="I591"/>
  <c r="H591"/>
  <c r="H590" s="1"/>
  <c r="H589" s="1"/>
  <c r="J590"/>
  <c r="J589" s="1"/>
  <c r="I590"/>
  <c r="I589"/>
  <c r="H587"/>
  <c r="J586"/>
  <c r="J585" s="1"/>
  <c r="J584" s="1"/>
  <c r="I586"/>
  <c r="H586"/>
  <c r="H585" s="1"/>
  <c r="H584" s="1"/>
  <c r="H583" s="1"/>
  <c r="I585"/>
  <c r="I584" s="1"/>
  <c r="I583" s="1"/>
  <c r="J581"/>
  <c r="J580" s="1"/>
  <c r="J579" s="1"/>
  <c r="J578" s="1"/>
  <c r="I581"/>
  <c r="I580" s="1"/>
  <c r="I579" s="1"/>
  <c r="I578" s="1"/>
  <c r="H581"/>
  <c r="H580"/>
  <c r="H579"/>
  <c r="H578" s="1"/>
  <c r="H575"/>
  <c r="J574"/>
  <c r="I574"/>
  <c r="H574"/>
  <c r="H573"/>
  <c r="J572"/>
  <c r="I572"/>
  <c r="H572"/>
  <c r="H571"/>
  <c r="J570"/>
  <c r="I570"/>
  <c r="H570"/>
  <c r="J568"/>
  <c r="I568"/>
  <c r="H568"/>
  <c r="H567" s="1"/>
  <c r="J567"/>
  <c r="J566" s="1"/>
  <c r="I567"/>
  <c r="I566"/>
  <c r="H565"/>
  <c r="H564" s="1"/>
  <c r="H563" s="1"/>
  <c r="J564"/>
  <c r="J563" s="1"/>
  <c r="I564"/>
  <c r="I563"/>
  <c r="J561"/>
  <c r="I561"/>
  <c r="I560" s="1"/>
  <c r="H561"/>
  <c r="H560" s="1"/>
  <c r="J560"/>
  <c r="J556"/>
  <c r="J555" s="1"/>
  <c r="I556"/>
  <c r="I555" s="1"/>
  <c r="H556"/>
  <c r="H555" s="1"/>
  <c r="J550"/>
  <c r="J549" s="1"/>
  <c r="I550"/>
  <c r="H550"/>
  <c r="I549"/>
  <c r="H549"/>
  <c r="J547"/>
  <c r="I547"/>
  <c r="I546" s="1"/>
  <c r="H547"/>
  <c r="H546" s="1"/>
  <c r="H542" s="1"/>
  <c r="H541" s="1"/>
  <c r="H540" s="1"/>
  <c r="J546"/>
  <c r="J544"/>
  <c r="J543" s="1"/>
  <c r="I544"/>
  <c r="I543" s="1"/>
  <c r="H544"/>
  <c r="H543"/>
  <c r="J538"/>
  <c r="I538"/>
  <c r="H538"/>
  <c r="H536"/>
  <c r="J534"/>
  <c r="J533" s="1"/>
  <c r="I534"/>
  <c r="H534"/>
  <c r="H533" s="1"/>
  <c r="I533"/>
  <c r="J531"/>
  <c r="I531"/>
  <c r="I530" s="1"/>
  <c r="H531"/>
  <c r="H530" s="1"/>
  <c r="J530"/>
  <c r="J526"/>
  <c r="I526"/>
  <c r="H526"/>
  <c r="H524"/>
  <c r="J523"/>
  <c r="J522" s="1"/>
  <c r="J521" s="1"/>
  <c r="J520" s="1"/>
  <c r="I523"/>
  <c r="I522" s="1"/>
  <c r="I521" s="1"/>
  <c r="I520" s="1"/>
  <c r="I511" s="1"/>
  <c r="H523"/>
  <c r="H522" s="1"/>
  <c r="H521" s="1"/>
  <c r="H520" s="1"/>
  <c r="J518"/>
  <c r="J517" s="1"/>
  <c r="J516" s="1"/>
  <c r="J515" s="1"/>
  <c r="I518"/>
  <c r="I517" s="1"/>
  <c r="I516" s="1"/>
  <c r="I515" s="1"/>
  <c r="H518"/>
  <c r="H517" s="1"/>
  <c r="H516" s="1"/>
  <c r="H515" s="1"/>
  <c r="J513"/>
  <c r="J512" s="1"/>
  <c r="I513"/>
  <c r="I512" s="1"/>
  <c r="H513"/>
  <c r="H512" s="1"/>
  <c r="H511" s="1"/>
  <c r="J506"/>
  <c r="J505" s="1"/>
  <c r="J504" s="1"/>
  <c r="J503" s="1"/>
  <c r="J502" s="1"/>
  <c r="J501" s="1"/>
  <c r="I506"/>
  <c r="H506"/>
  <c r="I505"/>
  <c r="I504" s="1"/>
  <c r="I503" s="1"/>
  <c r="I502" s="1"/>
  <c r="I501" s="1"/>
  <c r="H505"/>
  <c r="H504"/>
  <c r="H503"/>
  <c r="H502" s="1"/>
  <c r="H501" s="1"/>
  <c r="J499"/>
  <c r="I499"/>
  <c r="I498" s="1"/>
  <c r="I497" s="1"/>
  <c r="I496" s="1"/>
  <c r="H499"/>
  <c r="H498" s="1"/>
  <c r="H497" s="1"/>
  <c r="H496" s="1"/>
  <c r="J498"/>
  <c r="J497" s="1"/>
  <c r="J496" s="1"/>
  <c r="J491"/>
  <c r="J490" s="1"/>
  <c r="I491"/>
  <c r="I490" s="1"/>
  <c r="H491"/>
  <c r="H490"/>
  <c r="J485"/>
  <c r="I485"/>
  <c r="H485"/>
  <c r="H484" s="1"/>
  <c r="H483" s="1"/>
  <c r="H482" s="1"/>
  <c r="J484"/>
  <c r="J483" s="1"/>
  <c r="J482" s="1"/>
  <c r="I484"/>
  <c r="I483"/>
  <c r="I482"/>
  <c r="J481"/>
  <c r="I481"/>
  <c r="H481"/>
  <c r="H480" s="1"/>
  <c r="J480"/>
  <c r="I480"/>
  <c r="H479"/>
  <c r="H478" s="1"/>
  <c r="J478"/>
  <c r="I478"/>
  <c r="J474"/>
  <c r="I474"/>
  <c r="H474"/>
  <c r="J472"/>
  <c r="I472"/>
  <c r="H472"/>
  <c r="H471"/>
  <c r="J470"/>
  <c r="I470"/>
  <c r="I469" s="1"/>
  <c r="H470"/>
  <c r="J469"/>
  <c r="H469"/>
  <c r="H468" s="1"/>
  <c r="H467" s="1"/>
  <c r="H466" s="1"/>
  <c r="H465" s="1"/>
  <c r="J462"/>
  <c r="I462"/>
  <c r="H462"/>
  <c r="H461"/>
  <c r="H460" s="1"/>
  <c r="H459" s="1"/>
  <c r="H458" s="1"/>
  <c r="J460"/>
  <c r="I460"/>
  <c r="J459"/>
  <c r="J458" s="1"/>
  <c r="I459"/>
  <c r="I458" s="1"/>
  <c r="J457"/>
  <c r="I457"/>
  <c r="I456" s="1"/>
  <c r="I453" s="1"/>
  <c r="I452" s="1"/>
  <c r="H457"/>
  <c r="H456" s="1"/>
  <c r="H453" s="1"/>
  <c r="H452" s="1"/>
  <c r="J456"/>
  <c r="J454"/>
  <c r="I454"/>
  <c r="H454"/>
  <c r="J450"/>
  <c r="I450"/>
  <c r="H450"/>
  <c r="J445"/>
  <c r="I445"/>
  <c r="I444" s="1"/>
  <c r="I442" s="1"/>
  <c r="H445"/>
  <c r="H444" s="1"/>
  <c r="J438"/>
  <c r="J437" s="1"/>
  <c r="J436" s="1"/>
  <c r="J435" s="1"/>
  <c r="J434" s="1"/>
  <c r="I438"/>
  <c r="I437" s="1"/>
  <c r="I436" s="1"/>
  <c r="I435" s="1"/>
  <c r="I434" s="1"/>
  <c r="H438"/>
  <c r="H437"/>
  <c r="H436" s="1"/>
  <c r="H435" s="1"/>
  <c r="H434" s="1"/>
  <c r="H432"/>
  <c r="H431" s="1"/>
  <c r="H430" s="1"/>
  <c r="H429" s="1"/>
  <c r="H428" s="1"/>
  <c r="J431"/>
  <c r="J430" s="1"/>
  <c r="J429" s="1"/>
  <c r="J428" s="1"/>
  <c r="I431"/>
  <c r="I430"/>
  <c r="I429" s="1"/>
  <c r="I428" s="1"/>
  <c r="H427"/>
  <c r="H426" s="1"/>
  <c r="H422" s="1"/>
  <c r="H421" s="1"/>
  <c r="H420" s="1"/>
  <c r="J426"/>
  <c r="I426"/>
  <c r="J423"/>
  <c r="J422" s="1"/>
  <c r="J421" s="1"/>
  <c r="J420" s="1"/>
  <c r="I423"/>
  <c r="H423"/>
  <c r="J418"/>
  <c r="J417" s="1"/>
  <c r="I418"/>
  <c r="H418"/>
  <c r="H417" s="1"/>
  <c r="I417"/>
  <c r="J415"/>
  <c r="J414" s="1"/>
  <c r="I415"/>
  <c r="H415"/>
  <c r="H414" s="1"/>
  <c r="I414"/>
  <c r="J412"/>
  <c r="I412"/>
  <c r="H412"/>
  <c r="H411"/>
  <c r="H410" s="1"/>
  <c r="J410"/>
  <c r="I410"/>
  <c r="J408"/>
  <c r="I408"/>
  <c r="H408"/>
  <c r="J407"/>
  <c r="J406" s="1"/>
  <c r="I407"/>
  <c r="I406" s="1"/>
  <c r="H407"/>
  <c r="H406" s="1"/>
  <c r="J404"/>
  <c r="J403" s="1"/>
  <c r="J402" s="1"/>
  <c r="I404"/>
  <c r="I403" s="1"/>
  <c r="H404"/>
  <c r="H403" s="1"/>
  <c r="J400"/>
  <c r="I400"/>
  <c r="H400"/>
  <c r="H399"/>
  <c r="H398" s="1"/>
  <c r="J398"/>
  <c r="I398"/>
  <c r="J397"/>
  <c r="I397"/>
  <c r="J396"/>
  <c r="I396"/>
  <c r="H396"/>
  <c r="H394"/>
  <c r="J393"/>
  <c r="J392" s="1"/>
  <c r="J391" s="1"/>
  <c r="I393"/>
  <c r="I392" s="1"/>
  <c r="I391" s="1"/>
  <c r="H393"/>
  <c r="H392" s="1"/>
  <c r="J389"/>
  <c r="J388" s="1"/>
  <c r="J381" s="1"/>
  <c r="I389"/>
  <c r="I388" s="1"/>
  <c r="H389"/>
  <c r="H388"/>
  <c r="H387"/>
  <c r="J386"/>
  <c r="I386"/>
  <c r="H386"/>
  <c r="J384"/>
  <c r="I384"/>
  <c r="H384"/>
  <c r="J383"/>
  <c r="J382" s="1"/>
  <c r="I383"/>
  <c r="I382" s="1"/>
  <c r="I381" s="1"/>
  <c r="H383"/>
  <c r="H382" s="1"/>
  <c r="H381"/>
  <c r="J379"/>
  <c r="I379"/>
  <c r="I378" s="1"/>
  <c r="H379"/>
  <c r="H378" s="1"/>
  <c r="J378"/>
  <c r="J376"/>
  <c r="I376"/>
  <c r="H376"/>
  <c r="H373" s="1"/>
  <c r="H375"/>
  <c r="H374" s="1"/>
  <c r="J374"/>
  <c r="I374"/>
  <c r="J373"/>
  <c r="J368"/>
  <c r="J367" s="1"/>
  <c r="I368"/>
  <c r="I367" s="1"/>
  <c r="H368"/>
  <c r="H367" s="1"/>
  <c r="H366"/>
  <c r="H365"/>
  <c r="H364" s="1"/>
  <c r="H363" s="1"/>
  <c r="H362" s="1"/>
  <c r="H361" s="1"/>
  <c r="J364"/>
  <c r="J363" s="1"/>
  <c r="I364"/>
  <c r="I363"/>
  <c r="J362"/>
  <c r="J361" s="1"/>
  <c r="J359"/>
  <c r="I359"/>
  <c r="H359"/>
  <c r="J358"/>
  <c r="J357" s="1"/>
  <c r="J356" s="1"/>
  <c r="J355" s="1"/>
  <c r="J354" s="1"/>
  <c r="I358"/>
  <c r="I357" s="1"/>
  <c r="H358"/>
  <c r="H357"/>
  <c r="H356" s="1"/>
  <c r="H355" s="1"/>
  <c r="H354" s="1"/>
  <c r="I356"/>
  <c r="I355" s="1"/>
  <c r="I354" s="1"/>
  <c r="J352"/>
  <c r="J351" s="1"/>
  <c r="J350" s="1"/>
  <c r="J349" s="1"/>
  <c r="J348" s="1"/>
  <c r="I352"/>
  <c r="I351" s="1"/>
  <c r="I350" s="1"/>
  <c r="I349" s="1"/>
  <c r="I348" s="1"/>
  <c r="H352"/>
  <c r="H351" s="1"/>
  <c r="H350" s="1"/>
  <c r="H349" s="1"/>
  <c r="H348" s="1"/>
  <c r="J345"/>
  <c r="J344" s="1"/>
  <c r="I345"/>
  <c r="I344" s="1"/>
  <c r="H345"/>
  <c r="H344" s="1"/>
  <c r="J341"/>
  <c r="J340" s="1"/>
  <c r="I341"/>
  <c r="H341"/>
  <c r="H340" s="1"/>
  <c r="I340"/>
  <c r="H339"/>
  <c r="H338" s="1"/>
  <c r="J338"/>
  <c r="I338"/>
  <c r="J336"/>
  <c r="J333" s="1"/>
  <c r="I336"/>
  <c r="H336"/>
  <c r="J334"/>
  <c r="I334"/>
  <c r="H334"/>
  <c r="H333" s="1"/>
  <c r="J330"/>
  <c r="I330"/>
  <c r="I329" s="1"/>
  <c r="H330"/>
  <c r="H329" s="1"/>
  <c r="J329"/>
  <c r="I325"/>
  <c r="I324" s="1"/>
  <c r="H325"/>
  <c r="H324" s="1"/>
  <c r="H323" s="1"/>
  <c r="H322" s="1"/>
  <c r="J324"/>
  <c r="J323" s="1"/>
  <c r="J322" s="1"/>
  <c r="I323"/>
  <c r="I322"/>
  <c r="J321"/>
  <c r="I321"/>
  <c r="I320" s="1"/>
  <c r="H321"/>
  <c r="H320" s="1"/>
  <c r="H319" s="1"/>
  <c r="J320"/>
  <c r="J319" s="1"/>
  <c r="I319"/>
  <c r="J317"/>
  <c r="I317"/>
  <c r="H317"/>
  <c r="J316"/>
  <c r="I316"/>
  <c r="I315" s="1"/>
  <c r="H316"/>
  <c r="H315" s="1"/>
  <c r="H314" s="1"/>
  <c r="J315"/>
  <c r="J314" s="1"/>
  <c r="I314"/>
  <c r="J312"/>
  <c r="I312"/>
  <c r="H312"/>
  <c r="J310"/>
  <c r="J309" s="1"/>
  <c r="J308" s="1"/>
  <c r="I310"/>
  <c r="I309" s="1"/>
  <c r="I308" s="1"/>
  <c r="I307" s="1"/>
  <c r="H310"/>
  <c r="H309" s="1"/>
  <c r="H308" s="1"/>
  <c r="J305"/>
  <c r="I305"/>
  <c r="H305"/>
  <c r="H304"/>
  <c r="J303"/>
  <c r="I303"/>
  <c r="H303"/>
  <c r="H302"/>
  <c r="J301"/>
  <c r="I301"/>
  <c r="I300" s="1"/>
  <c r="H301"/>
  <c r="H300" s="1"/>
  <c r="H299" s="1"/>
  <c r="J300"/>
  <c r="J299" s="1"/>
  <c r="I299"/>
  <c r="H296"/>
  <c r="H295" s="1"/>
  <c r="H294" s="1"/>
  <c r="H293" s="1"/>
  <c r="J295"/>
  <c r="J294" s="1"/>
  <c r="J293" s="1"/>
  <c r="I295"/>
  <c r="I294" s="1"/>
  <c r="I293" s="1"/>
  <c r="H292"/>
  <c r="H291" s="1"/>
  <c r="H290" s="1"/>
  <c r="J291"/>
  <c r="J290" s="1"/>
  <c r="I291"/>
  <c r="I290" s="1"/>
  <c r="J288"/>
  <c r="I288"/>
  <c r="H288"/>
  <c r="J286"/>
  <c r="I286"/>
  <c r="H286"/>
  <c r="J284"/>
  <c r="I284"/>
  <c r="H284"/>
  <c r="H283"/>
  <c r="H282" s="1"/>
  <c r="J282"/>
  <c r="I282"/>
  <c r="H281"/>
  <c r="H280" s="1"/>
  <c r="J278"/>
  <c r="I278"/>
  <c r="H278"/>
  <c r="H277" s="1"/>
  <c r="J277"/>
  <c r="I277"/>
  <c r="J275"/>
  <c r="I275"/>
  <c r="H275"/>
  <c r="H274"/>
  <c r="J273"/>
  <c r="I273"/>
  <c r="H273"/>
  <c r="I271"/>
  <c r="H270"/>
  <c r="H269" s="1"/>
  <c r="J269"/>
  <c r="I269"/>
  <c r="I268" s="1"/>
  <c r="H267"/>
  <c r="H266"/>
  <c r="J265"/>
  <c r="J264" s="1"/>
  <c r="I265"/>
  <c r="I264" s="1"/>
  <c r="J260"/>
  <c r="I260"/>
  <c r="H260"/>
  <c r="J258"/>
  <c r="J257" s="1"/>
  <c r="I258"/>
  <c r="H258"/>
  <c r="H257" s="1"/>
  <c r="J255"/>
  <c r="I255"/>
  <c r="H255"/>
  <c r="H254" s="1"/>
  <c r="J254"/>
  <c r="I254"/>
  <c r="H252"/>
  <c r="J251"/>
  <c r="I251"/>
  <c r="H251"/>
  <c r="H250"/>
  <c r="J249"/>
  <c r="J246" s="1"/>
  <c r="J243" s="1"/>
  <c r="I249"/>
  <c r="H249"/>
  <c r="J247"/>
  <c r="I247"/>
  <c r="H247"/>
  <c r="H245"/>
  <c r="H244" s="1"/>
  <c r="J244"/>
  <c r="I244"/>
  <c r="H242"/>
  <c r="H241" s="1"/>
  <c r="H240" s="1"/>
  <c r="J241"/>
  <c r="J240" s="1"/>
  <c r="I241"/>
  <c r="I240" s="1"/>
  <c r="J237"/>
  <c r="J236" s="1"/>
  <c r="J235" s="1"/>
  <c r="I237"/>
  <c r="H237"/>
  <c r="H236" s="1"/>
  <c r="H235" s="1"/>
  <c r="I236"/>
  <c r="I235" s="1"/>
  <c r="J232"/>
  <c r="J231" s="1"/>
  <c r="J230" s="1"/>
  <c r="J229" s="1"/>
  <c r="J228" s="1"/>
  <c r="I232"/>
  <c r="H232"/>
  <c r="H231" s="1"/>
  <c r="H230" s="1"/>
  <c r="H229" s="1"/>
  <c r="H228" s="1"/>
  <c r="I231"/>
  <c r="I230" s="1"/>
  <c r="I229" s="1"/>
  <c r="I228" s="1"/>
  <c r="J226"/>
  <c r="J225" s="1"/>
  <c r="I226"/>
  <c r="I225" s="1"/>
  <c r="H226"/>
  <c r="H225" s="1"/>
  <c r="J224"/>
  <c r="I224"/>
  <c r="I223" s="1"/>
  <c r="H224"/>
  <c r="H223" s="1"/>
  <c r="J223"/>
  <c r="J222"/>
  <c r="J221" s="1"/>
  <c r="J218" s="1"/>
  <c r="J217" s="1"/>
  <c r="J216" s="1"/>
  <c r="I222"/>
  <c r="I221" s="1"/>
  <c r="H222"/>
  <c r="H221" s="1"/>
  <c r="H220"/>
  <c r="H219" s="1"/>
  <c r="J219"/>
  <c r="I219"/>
  <c r="H215"/>
  <c r="H214" s="1"/>
  <c r="H213" s="1"/>
  <c r="H212" s="1"/>
  <c r="J214"/>
  <c r="J213" s="1"/>
  <c r="I214"/>
  <c r="I213" s="1"/>
  <c r="I212" s="1"/>
  <c r="J212"/>
  <c r="J210"/>
  <c r="J209" s="1"/>
  <c r="J206" s="1"/>
  <c r="J205" s="1"/>
  <c r="J204" s="1"/>
  <c r="J203" s="1"/>
  <c r="I210"/>
  <c r="H210"/>
  <c r="H209" s="1"/>
  <c r="I209"/>
  <c r="J207"/>
  <c r="I207"/>
  <c r="H207"/>
  <c r="I206"/>
  <c r="I205" s="1"/>
  <c r="I204" s="1"/>
  <c r="I203" s="1"/>
  <c r="J201"/>
  <c r="I201"/>
  <c r="I200" s="1"/>
  <c r="I199" s="1"/>
  <c r="I198" s="1"/>
  <c r="H201"/>
  <c r="J200"/>
  <c r="J199" s="1"/>
  <c r="J198" s="1"/>
  <c r="H200"/>
  <c r="H199" s="1"/>
  <c r="H198" s="1"/>
  <c r="J195"/>
  <c r="J194" s="1"/>
  <c r="I195"/>
  <c r="H195"/>
  <c r="H194" s="1"/>
  <c r="I194"/>
  <c r="J193"/>
  <c r="J192" s="1"/>
  <c r="I193"/>
  <c r="H193"/>
  <c r="H192" s="1"/>
  <c r="I192"/>
  <c r="J190"/>
  <c r="I190"/>
  <c r="H190"/>
  <c r="J188"/>
  <c r="I188"/>
  <c r="H188"/>
  <c r="J185"/>
  <c r="J184" s="1"/>
  <c r="I185"/>
  <c r="I184" s="1"/>
  <c r="H185"/>
  <c r="H184"/>
  <c r="J181"/>
  <c r="I181"/>
  <c r="I180" s="1"/>
  <c r="H181"/>
  <c r="J180"/>
  <c r="H180"/>
  <c r="J175"/>
  <c r="J174" s="1"/>
  <c r="J173" s="1"/>
  <c r="J172" s="1"/>
  <c r="I175"/>
  <c r="H175"/>
  <c r="H174" s="1"/>
  <c r="H173" s="1"/>
  <c r="H172" s="1"/>
  <c r="I174"/>
  <c r="I173" s="1"/>
  <c r="I172" s="1"/>
  <c r="I171"/>
  <c r="I170" s="1"/>
  <c r="H171"/>
  <c r="J170"/>
  <c r="J167" s="1"/>
  <c r="H170"/>
  <c r="J168"/>
  <c r="I168"/>
  <c r="H168"/>
  <c r="H167" s="1"/>
  <c r="J165"/>
  <c r="I165"/>
  <c r="I164" s="1"/>
  <c r="H165"/>
  <c r="H164" s="1"/>
  <c r="J164"/>
  <c r="I162"/>
  <c r="I161" s="1"/>
  <c r="I160" s="1"/>
  <c r="J161"/>
  <c r="J160" s="1"/>
  <c r="H161"/>
  <c r="H160" s="1"/>
  <c r="J158"/>
  <c r="J157" s="1"/>
  <c r="I158"/>
  <c r="H158"/>
  <c r="H157" s="1"/>
  <c r="I157"/>
  <c r="J155"/>
  <c r="J154" s="1"/>
  <c r="J153" s="1"/>
  <c r="I155"/>
  <c r="H155"/>
  <c r="H154" s="1"/>
  <c r="H153" s="1"/>
  <c r="I154"/>
  <c r="I153" s="1"/>
  <c r="J148"/>
  <c r="I148"/>
  <c r="I147" s="1"/>
  <c r="I146" s="1"/>
  <c r="I145" s="1"/>
  <c r="I144" s="1"/>
  <c r="I143" s="1"/>
  <c r="I142" s="1"/>
  <c r="H148"/>
  <c r="J147"/>
  <c r="J146" s="1"/>
  <c r="J145" s="1"/>
  <c r="J144" s="1"/>
  <c r="J143" s="1"/>
  <c r="J142" s="1"/>
  <c r="H147"/>
  <c r="H146" s="1"/>
  <c r="H145" s="1"/>
  <c r="H144" s="1"/>
  <c r="H143" s="1"/>
  <c r="H142" s="1"/>
  <c r="J140"/>
  <c r="J139" s="1"/>
  <c r="J138" s="1"/>
  <c r="J137" s="1"/>
  <c r="I140"/>
  <c r="H140"/>
  <c r="H139" s="1"/>
  <c r="H138" s="1"/>
  <c r="H137" s="1"/>
  <c r="I139"/>
  <c r="I138" s="1"/>
  <c r="I137" s="1"/>
  <c r="J135"/>
  <c r="J134" s="1"/>
  <c r="J133" s="1"/>
  <c r="J132" s="1"/>
  <c r="I135"/>
  <c r="H135"/>
  <c r="H134" s="1"/>
  <c r="H133" s="1"/>
  <c r="H132" s="1"/>
  <c r="I134"/>
  <c r="I133" s="1"/>
  <c r="I132" s="1"/>
  <c r="J130"/>
  <c r="J129" s="1"/>
  <c r="I130"/>
  <c r="H130"/>
  <c r="H129" s="1"/>
  <c r="I129"/>
  <c r="I125" s="1"/>
  <c r="J127"/>
  <c r="J126" s="1"/>
  <c r="I127"/>
  <c r="H127"/>
  <c r="H126" s="1"/>
  <c r="I126"/>
  <c r="J123"/>
  <c r="I123"/>
  <c r="H123"/>
  <c r="J121"/>
  <c r="J120" s="1"/>
  <c r="J119" s="1"/>
  <c r="I121"/>
  <c r="H121"/>
  <c r="I120"/>
  <c r="I119" s="1"/>
  <c r="J117"/>
  <c r="I117"/>
  <c r="I116" s="1"/>
  <c r="H117"/>
  <c r="J116"/>
  <c r="J111" s="1"/>
  <c r="J110" s="1"/>
  <c r="H116"/>
  <c r="J112"/>
  <c r="I112"/>
  <c r="H112"/>
  <c r="H111" s="1"/>
  <c r="H110" s="1"/>
  <c r="J108"/>
  <c r="J107" s="1"/>
  <c r="J106" s="1"/>
  <c r="I108"/>
  <c r="I107" s="1"/>
  <c r="I106" s="1"/>
  <c r="H108"/>
  <c r="H107" s="1"/>
  <c r="H106" s="1"/>
  <c r="J104"/>
  <c r="I104"/>
  <c r="I103" s="1"/>
  <c r="H104"/>
  <c r="H103" s="1"/>
  <c r="J103"/>
  <c r="J101"/>
  <c r="I101"/>
  <c r="H101"/>
  <c r="J99"/>
  <c r="I99"/>
  <c r="I98" s="1"/>
  <c r="H99"/>
  <c r="H98" s="1"/>
  <c r="J94"/>
  <c r="J93" s="1"/>
  <c r="I94"/>
  <c r="I93" s="1"/>
  <c r="H94"/>
  <c r="H93" s="1"/>
  <c r="J90"/>
  <c r="J89" s="1"/>
  <c r="J88" s="1"/>
  <c r="I90"/>
  <c r="I89" s="1"/>
  <c r="I88" s="1"/>
  <c r="H90"/>
  <c r="H89" s="1"/>
  <c r="H88" s="1"/>
  <c r="J86"/>
  <c r="I86"/>
  <c r="I85" s="1"/>
  <c r="H86"/>
  <c r="H85" s="1"/>
  <c r="J85"/>
  <c r="H84"/>
  <c r="H83" s="1"/>
  <c r="H82" s="1"/>
  <c r="J83"/>
  <c r="J82" s="1"/>
  <c r="J81" s="1"/>
  <c r="I83"/>
  <c r="I82"/>
  <c r="I81" s="1"/>
  <c r="I76" s="1"/>
  <c r="J79"/>
  <c r="I79"/>
  <c r="I78" s="1"/>
  <c r="I77" s="1"/>
  <c r="H79"/>
  <c r="J78"/>
  <c r="J77" s="1"/>
  <c r="H78"/>
  <c r="H77" s="1"/>
  <c r="H75"/>
  <c r="J74"/>
  <c r="I74"/>
  <c r="H74"/>
  <c r="H71" s="1"/>
  <c r="J72"/>
  <c r="I72"/>
  <c r="H72"/>
  <c r="J71"/>
  <c r="J68"/>
  <c r="I68"/>
  <c r="I67" s="1"/>
  <c r="H68"/>
  <c r="H67" s="1"/>
  <c r="J67"/>
  <c r="H65"/>
  <c r="H64" s="1"/>
  <c r="H63" s="1"/>
  <c r="H62" s="1"/>
  <c r="J64"/>
  <c r="J63" s="1"/>
  <c r="J62" s="1"/>
  <c r="I64"/>
  <c r="I63" s="1"/>
  <c r="I62" s="1"/>
  <c r="J60"/>
  <c r="J59" s="1"/>
  <c r="J58" s="1"/>
  <c r="I60"/>
  <c r="I59" s="1"/>
  <c r="I58" s="1"/>
  <c r="H60"/>
  <c r="H59" s="1"/>
  <c r="H58" s="1"/>
  <c r="H57"/>
  <c r="H56" s="1"/>
  <c r="H55" s="1"/>
  <c r="J56"/>
  <c r="J55" s="1"/>
  <c r="I56"/>
  <c r="I55"/>
  <c r="H54"/>
  <c r="H53" s="1"/>
  <c r="H52" s="1"/>
  <c r="J53"/>
  <c r="I53"/>
  <c r="I52" s="1"/>
  <c r="J52"/>
  <c r="J48"/>
  <c r="J47" s="1"/>
  <c r="J46" s="1"/>
  <c r="I48"/>
  <c r="H48"/>
  <c r="H47" s="1"/>
  <c r="H46" s="1"/>
  <c r="I47"/>
  <c r="I46" s="1"/>
  <c r="J43"/>
  <c r="I43"/>
  <c r="I42" s="1"/>
  <c r="I41" s="1"/>
  <c r="I40" s="1"/>
  <c r="H43"/>
  <c r="J42"/>
  <c r="J41" s="1"/>
  <c r="J40" s="1"/>
  <c r="H42"/>
  <c r="H41" s="1"/>
  <c r="H40" s="1"/>
  <c r="J38"/>
  <c r="I38"/>
  <c r="I37" s="1"/>
  <c r="H38"/>
  <c r="H37" s="1"/>
  <c r="J37"/>
  <c r="J36"/>
  <c r="I36"/>
  <c r="I35" s="1"/>
  <c r="H36"/>
  <c r="H35" s="1"/>
  <c r="J35"/>
  <c r="J32"/>
  <c r="I32"/>
  <c r="H32"/>
  <c r="J30"/>
  <c r="I30"/>
  <c r="H30"/>
  <c r="J29"/>
  <c r="I29"/>
  <c r="H29"/>
  <c r="H28" s="1"/>
  <c r="J28"/>
  <c r="J22"/>
  <c r="J21" s="1"/>
  <c r="J20" s="1"/>
  <c r="J19" s="1"/>
  <c r="I22"/>
  <c r="I21" s="1"/>
  <c r="I20" s="1"/>
  <c r="I19" s="1"/>
  <c r="H22"/>
  <c r="H21" s="1"/>
  <c r="H20" s="1"/>
  <c r="H19" s="1"/>
  <c r="J17"/>
  <c r="I17"/>
  <c r="I16" s="1"/>
  <c r="I15" s="1"/>
  <c r="I14" s="1"/>
  <c r="I13" s="1"/>
  <c r="I12" s="1"/>
  <c r="H17"/>
  <c r="H16" s="1"/>
  <c r="H15" s="1"/>
  <c r="H14" s="1"/>
  <c r="H13" s="1"/>
  <c r="H12" s="1"/>
  <c r="J16"/>
  <c r="J15" s="1"/>
  <c r="J14" s="1"/>
  <c r="J13" s="1"/>
  <c r="J12" s="1"/>
  <c r="H442" l="1"/>
  <c r="H443"/>
  <c r="J307"/>
  <c r="I402"/>
  <c r="J489"/>
  <c r="J488" s="1"/>
  <c r="J487" s="1"/>
  <c r="H27"/>
  <c r="H26" s="1"/>
  <c r="H25" s="1"/>
  <c r="H81"/>
  <c r="J542"/>
  <c r="J541" s="1"/>
  <c r="J540" s="1"/>
  <c r="J27"/>
  <c r="J26" s="1"/>
  <c r="J25" s="1"/>
  <c r="H97"/>
  <c r="I187"/>
  <c r="J187"/>
  <c r="I218"/>
  <c r="H218"/>
  <c r="H217" s="1"/>
  <c r="H216" s="1"/>
  <c r="H246"/>
  <c r="H268"/>
  <c r="J281"/>
  <c r="J280" s="1"/>
  <c r="H402"/>
  <c r="J453"/>
  <c r="J452" s="1"/>
  <c r="I468"/>
  <c r="I467" s="1"/>
  <c r="I466" s="1"/>
  <c r="I465" s="1"/>
  <c r="J468"/>
  <c r="J467" s="1"/>
  <c r="J466" s="1"/>
  <c r="J529"/>
  <c r="J528" s="1"/>
  <c r="J559"/>
  <c r="J558" s="1"/>
  <c r="J554" s="1"/>
  <c r="J553" s="1"/>
  <c r="J583"/>
  <c r="J577" s="1"/>
  <c r="J576" s="1"/>
  <c r="H18"/>
  <c r="H51"/>
  <c r="J76"/>
  <c r="I28"/>
  <c r="I27" s="1"/>
  <c r="I26" s="1"/>
  <c r="I25" s="1"/>
  <c r="I51"/>
  <c r="I71"/>
  <c r="J98"/>
  <c r="J97" s="1"/>
  <c r="J96" s="1"/>
  <c r="I111"/>
  <c r="I110" s="1"/>
  <c r="H120"/>
  <c r="H119" s="1"/>
  <c r="H152"/>
  <c r="H151" s="1"/>
  <c r="H150" s="1"/>
  <c r="I167"/>
  <c r="H206"/>
  <c r="H205" s="1"/>
  <c r="H204" s="1"/>
  <c r="H203" s="1"/>
  <c r="J239"/>
  <c r="J234" s="1"/>
  <c r="H243"/>
  <c r="I257"/>
  <c r="H265"/>
  <c r="H264" s="1"/>
  <c r="H263" s="1"/>
  <c r="J268"/>
  <c r="I281"/>
  <c r="I280" s="1"/>
  <c r="I298"/>
  <c r="I297" s="1"/>
  <c r="I422"/>
  <c r="I421" s="1"/>
  <c r="I420" s="1"/>
  <c r="J444"/>
  <c r="I624"/>
  <c r="I623" s="1"/>
  <c r="I622" s="1"/>
  <c r="I621" s="1"/>
  <c r="I714"/>
  <c r="I713" s="1"/>
  <c r="I702" s="1"/>
  <c r="J773"/>
  <c r="J772" s="1"/>
  <c r="J771" s="1"/>
  <c r="J770" s="1"/>
  <c r="J769" s="1"/>
  <c r="J768" s="1"/>
  <c r="I152"/>
  <c r="I151" s="1"/>
  <c r="I150" s="1"/>
  <c r="J179"/>
  <c r="J178" s="1"/>
  <c r="J177" s="1"/>
  <c r="H187"/>
  <c r="H179" s="1"/>
  <c r="H178" s="1"/>
  <c r="H177" s="1"/>
  <c r="J211"/>
  <c r="I217"/>
  <c r="I216" s="1"/>
  <c r="I211" s="1"/>
  <c r="J263"/>
  <c r="J262" s="1"/>
  <c r="I542"/>
  <c r="I541" s="1"/>
  <c r="I540" s="1"/>
  <c r="H566"/>
  <c r="J732"/>
  <c r="I823"/>
  <c r="I822" s="1"/>
  <c r="I821" s="1"/>
  <c r="I820" s="1"/>
  <c r="I819" s="1"/>
  <c r="J152"/>
  <c r="J151" s="1"/>
  <c r="J150" s="1"/>
  <c r="J149" s="1"/>
  <c r="I263"/>
  <c r="I262" s="1"/>
  <c r="H328"/>
  <c r="H327" s="1"/>
  <c r="H326" s="1"/>
  <c r="J372"/>
  <c r="J371" s="1"/>
  <c r="J370" s="1"/>
  <c r="H489"/>
  <c r="H488" s="1"/>
  <c r="H487" s="1"/>
  <c r="H529"/>
  <c r="H528" s="1"/>
  <c r="I529"/>
  <c r="I528" s="1"/>
  <c r="I510" s="1"/>
  <c r="I509" s="1"/>
  <c r="H559"/>
  <c r="H558" s="1"/>
  <c r="H554" s="1"/>
  <c r="H553" s="1"/>
  <c r="I559"/>
  <c r="I558" s="1"/>
  <c r="I554" s="1"/>
  <c r="I553" s="1"/>
  <c r="H624"/>
  <c r="H623" s="1"/>
  <c r="H622" s="1"/>
  <c r="H621" s="1"/>
  <c r="H639"/>
  <c r="H638" s="1"/>
  <c r="H637" s="1"/>
  <c r="H636" s="1"/>
  <c r="H802"/>
  <c r="H801" s="1"/>
  <c r="H800" s="1"/>
  <c r="H799" s="1"/>
  <c r="H818"/>
  <c r="J853"/>
  <c r="J852" s="1"/>
  <c r="J851" s="1"/>
  <c r="J850" s="1"/>
  <c r="J818" s="1"/>
  <c r="I18"/>
  <c r="I97"/>
  <c r="I96" s="1"/>
  <c r="I66" s="1"/>
  <c r="J125"/>
  <c r="I179"/>
  <c r="I178" s="1"/>
  <c r="I177" s="1"/>
  <c r="I197"/>
  <c r="H211"/>
  <c r="H239"/>
  <c r="H234" s="1"/>
  <c r="J253"/>
  <c r="J233" s="1"/>
  <c r="H262"/>
  <c r="H253" s="1"/>
  <c r="J298"/>
  <c r="J297" s="1"/>
  <c r="H307"/>
  <c r="H76"/>
  <c r="H347"/>
  <c r="J51"/>
  <c r="J18" s="1"/>
  <c r="H125"/>
  <c r="I149"/>
  <c r="J197"/>
  <c r="H298"/>
  <c r="H297" s="1"/>
  <c r="J347"/>
  <c r="J66"/>
  <c r="H197"/>
  <c r="I333"/>
  <c r="I328" s="1"/>
  <c r="I327" s="1"/>
  <c r="I326" s="1"/>
  <c r="H391"/>
  <c r="H372" s="1"/>
  <c r="H371" s="1"/>
  <c r="H370" s="1"/>
  <c r="I441"/>
  <c r="I433" s="1"/>
  <c r="J465"/>
  <c r="I489"/>
  <c r="I488" s="1"/>
  <c r="I487" s="1"/>
  <c r="H510"/>
  <c r="H509" s="1"/>
  <c r="J552"/>
  <c r="J624"/>
  <c r="J623" s="1"/>
  <c r="J622" s="1"/>
  <c r="J621" s="1"/>
  <c r="J639"/>
  <c r="J638" s="1"/>
  <c r="J637" s="1"/>
  <c r="J636" s="1"/>
  <c r="H687"/>
  <c r="H686" s="1"/>
  <c r="H685" s="1"/>
  <c r="H684" s="1"/>
  <c r="J714"/>
  <c r="J713" s="1"/>
  <c r="J702" s="1"/>
  <c r="J802"/>
  <c r="J801" s="1"/>
  <c r="J800" s="1"/>
  <c r="J799" s="1"/>
  <c r="J767" s="1"/>
  <c r="J443"/>
  <c r="J442"/>
  <c r="J441" s="1"/>
  <c r="J433" s="1"/>
  <c r="H577"/>
  <c r="H576" s="1"/>
  <c r="I639"/>
  <c r="I638" s="1"/>
  <c r="I637" s="1"/>
  <c r="I636" s="1"/>
  <c r="I246"/>
  <c r="I243" s="1"/>
  <c r="I239" s="1"/>
  <c r="I234" s="1"/>
  <c r="I362"/>
  <c r="I361" s="1"/>
  <c r="I347" s="1"/>
  <c r="I373"/>
  <c r="I372" s="1"/>
  <c r="I371" s="1"/>
  <c r="I370" s="1"/>
  <c r="H725"/>
  <c r="H714" s="1"/>
  <c r="H713" s="1"/>
  <c r="H702" s="1"/>
  <c r="H620" s="1"/>
  <c r="H606" s="1"/>
  <c r="J741"/>
  <c r="H767"/>
  <c r="I802"/>
  <c r="I801" s="1"/>
  <c r="I800" s="1"/>
  <c r="I799" s="1"/>
  <c r="I767" s="1"/>
  <c r="I818"/>
  <c r="J328"/>
  <c r="J327" s="1"/>
  <c r="J326" s="1"/>
  <c r="H441"/>
  <c r="H433" s="1"/>
  <c r="J511"/>
  <c r="J510" s="1"/>
  <c r="J509" s="1"/>
  <c r="H552"/>
  <c r="I577"/>
  <c r="I576" s="1"/>
  <c r="I552" s="1"/>
  <c r="I443"/>
  <c r="H149" l="1"/>
  <c r="I233"/>
  <c r="I253"/>
  <c r="I620"/>
  <c r="I606" s="1"/>
  <c r="H96"/>
  <c r="H66" s="1"/>
  <c r="H11" s="1"/>
  <c r="J620"/>
  <c r="J606" s="1"/>
  <c r="J11"/>
  <c r="J10" s="1"/>
  <c r="J869" s="1"/>
  <c r="J871" s="1"/>
  <c r="I11"/>
  <c r="I10" s="1"/>
  <c r="I869" s="1"/>
  <c r="I871" s="1"/>
  <c r="H233"/>
  <c r="H10" l="1"/>
  <c r="H869" s="1"/>
  <c r="H871" s="1"/>
</calcChain>
</file>

<file path=xl/comments1.xml><?xml version="1.0" encoding="utf-8"?>
<comments xmlns="http://schemas.openxmlformats.org/spreadsheetml/2006/main">
  <authors>
    <author>Администратор07</author>
  </authors>
  <commentList>
    <comment ref="H270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645,0 тр долг на 3 мес Газпромэнерго с февр по апрель
</t>
        </r>
      </text>
    </comment>
    <comment ref="H272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Пени + госпошлина Газпром энерго на 3 мес с февр по апрель
</t>
        </r>
      </text>
    </comment>
    <comment ref="H387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Проведение кап.ремонта кровли здания МБУКиТ "Нюксенский этнокультурный центр Пожарище" поручение Губернатора данное в ходе заседания Градостроительного совета (27.07.2023)</t>
        </r>
      </text>
    </comment>
    <comment ref="H399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Ремонт+обор-е Игмас ф-л
</t>
        </r>
      </text>
    </comment>
    <comment ref="H402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Востровский клуб
</t>
        </r>
      </text>
    </comment>
    <comment ref="H411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Востровский клуб</t>
        </r>
      </text>
    </comment>
  </commentList>
</comments>
</file>

<file path=xl/sharedStrings.xml><?xml version="1.0" encoding="utf-8"?>
<sst xmlns="http://schemas.openxmlformats.org/spreadsheetml/2006/main" count="4361" uniqueCount="705">
  <si>
    <t>Приложение 4  
к решению Представительного Собрания Нюксенского муниципального округа Вологодской области  от ХХ.ХХ.2023 года № ХХ  "О бюджете Нюксенского муниципального округа Вологодской области на 2024 год и плановый период 2025 и 2026 годов"</t>
  </si>
  <si>
    <t>Ведомственная структура расходов бюджета муниципального округа по главным распорядителям бюджетных средств, разделам, подразделам и (или) целевым статьям (государственным программам и непрограммным направлениям деятельности), группам (группам и подгруппам) видов расходов классификации расходов бюджетов на 2024 год и плановый период 2025 и 2026 годов</t>
  </si>
  <si>
    <t>(тыс.рублей)</t>
  </si>
  <si>
    <t>Наименование</t>
  </si>
  <si>
    <t>ГРБС</t>
  </si>
  <si>
    <t>РЗ</t>
  </si>
  <si>
    <t>ПР</t>
  </si>
  <si>
    <t>КЦСР</t>
  </si>
  <si>
    <t>КВР</t>
  </si>
  <si>
    <t>2024 год</t>
  </si>
  <si>
    <t>2025 год</t>
  </si>
  <si>
    <t>2026 год</t>
  </si>
  <si>
    <t>Администрация Нюксенского муниципального округа</t>
  </si>
  <si>
    <t>158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</si>
  <si>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</si>
  <si>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</si>
  <si>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</si>
  <si>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</si>
  <si>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в Нюксенском муниципальном округе"</t>
  </si>
  <si>
    <t>05 0 00 00000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</si>
  <si>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округе"</t>
  </si>
  <si>
    <t>05 4 00 00000</t>
  </si>
  <si>
    <t>Основное мероприятие "Обеспечение деятельности администрации округа"</t>
  </si>
  <si>
    <t>05 4 01 00000</t>
  </si>
  <si>
    <t>Глава муниципального округа</t>
  </si>
  <si>
    <t>05 4 01 00191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</si>
  <si>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</si>
  <si>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</si>
  <si>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РФ , местных администраций</t>
  </si>
  <si>
    <t xml:space="preserve">01 </t>
  </si>
  <si>
    <t>04</t>
  </si>
  <si>
    <t>Муниципальная программа "Социальная поддержка граждан и социально ориентированных некоммерческих организаций Нюксенского муниципального округа на 2021-2030 годы"</t>
  </si>
  <si>
    <t>01 0 00 00000</t>
  </si>
  <si>
    <t>Подпрограмма "Социальная поддержка граждан Нюксенского муниципального округа на 2021-2030 годы"</t>
  </si>
  <si>
    <t>01 1 00 00000</t>
  </si>
  <si>
    <t>Основное мероприятие "Обеспечение организации и осуществления органами местного самоуправления деятельности по опеке и попечительству"</t>
  </si>
  <si>
    <t>01 1 01 00000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</si>
  <si>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</si>
  <si>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01 1 01 72310</t>
  </si>
  <si>
    <t>Иные закупки товаров, работ и услуг для обеспечения государственных (муниципальных) нужд</t>
  </si>
  <si>
    <t>240</t>
  </si>
  <si>
    <t>Расходы на обеспечение функций муниципальных органов</t>
  </si>
  <si>
    <t>05 4 01 00190</t>
  </si>
  <si>
    <t>Уплата налогов, сборов и иных платежей</t>
  </si>
  <si>
    <t>850</t>
  </si>
  <si>
    <t>Реализация расходных обязательств в части обеспечения выплаты заработной платы работникам муниципальных учреждений</t>
  </si>
  <si>
    <t>05 4 01 70030</t>
  </si>
  <si>
    <t xml:space="preserve">Социальные выплаты гражданам, кроме публичных нормативных социальных выплат
</t>
  </si>
  <si>
    <t>320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</si>
  <si>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</si>
  <si>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05 4 01 72190</t>
  </si>
  <si>
    <t>Основное мероприятие "Поощрение муниципальной управленческой команды Нюксенского муниципального округа"</t>
  </si>
  <si>
    <t>05 4 02 00000</t>
  </si>
  <si>
    <t>Иные межбюджетные трансферты на 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</si>
  <si>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05 4 02 55490</t>
  </si>
  <si>
    <t>Муниципальная программа "Обеспечение профилактики правонарушений, безопасности населения и территории Нюксенского муниципального округа"</t>
  </si>
  <si>
    <t>09 0 00 00000</t>
  </si>
  <si>
    <t>Подпрограмма "Профилактика преступлений и иных правонарушений"</t>
  </si>
  <si>
    <t>09 1 00 00000</t>
  </si>
  <si>
    <t>Основное мероприятие "Осуществление отдельных государственных полномочий"</t>
  </si>
  <si>
    <t>09 1 05 00000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</si>
  <si>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</si>
  <si>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09 1 05 72310</t>
  </si>
  <si>
    <t>Муниципальная программа "Охрана окружающей среды и обеспечение экологической безопасности Нюксенского муниципального округа"</t>
  </si>
  <si>
    <t>10 0 00 00000</t>
  </si>
  <si>
    <t>Основное мероприятие "Предотвращение загрязнения окружающей среды отходами производства и потребления"</t>
  </si>
  <si>
    <t>10 2 00 00000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</si>
  <si>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</si>
  <si>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10 2 00 72310</t>
  </si>
  <si>
    <t>Муниципальная программа "Информатизация Нюксенского муниципального округа"</t>
  </si>
  <si>
    <t>18 0 00 00000</t>
  </si>
  <si>
    <t>Основное мероприятие " Повышение открытости и доступности информации о деятельности органов местного самоуправления, предоставляемых государственных и муниципальных услугах"</t>
  </si>
  <si>
    <t>18 1 00 00000</t>
  </si>
  <si>
    <t>Реализация мероприятий по развитию информационного общества</t>
  </si>
  <si>
    <t>18 1 00 20320</t>
  </si>
  <si>
    <t>Основное мероприятие "Развитие сетевой и серверной инфраструктуры органов исполнительной муниципальной власти округа"</t>
  </si>
  <si>
    <t>18 2 00 00000</t>
  </si>
  <si>
    <t>Реализация мероприятий, направленных на развитие сетевой и серверной инфраструктуры органов исполнительной муниципальной власти округа</t>
  </si>
  <si>
    <t>18 2 00 20330</t>
  </si>
  <si>
    <t>Судебная система</t>
  </si>
  <si>
    <t>05</t>
  </si>
  <si>
    <t>Осуществление отдельных государственных полномочий</t>
  </si>
  <si>
    <t>78 0 00 00000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</si>
  <si>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</si>
  <si>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78 0 00 51200</t>
  </si>
  <si>
    <t>Резервные фонды</t>
  </si>
  <si>
    <t>11</t>
  </si>
  <si>
    <t>70 0 00 00000</t>
  </si>
  <si>
    <t>Резервные фонды местных администраций</t>
  </si>
  <si>
    <t>70 5 00 00000</t>
  </si>
  <si>
    <t>Резервные средства</t>
  </si>
  <si>
    <t>870</t>
  </si>
  <si>
    <t>Другие общегосударственные вопросы</t>
  </si>
  <si>
    <t>13</t>
  </si>
  <si>
    <t xml:space="preserve">Иные выплаты населению </t>
  </si>
  <si>
    <t>360</t>
  </si>
  <si>
    <t>Реализация муниципальных функций, связанных с решением вопросов местного значения</t>
  </si>
  <si>
    <t>97 0 00 00000</t>
  </si>
  <si>
    <t>Мероприятия, связанные с градостроительной деятельностью муниципального округа</t>
  </si>
  <si>
    <t>97 0 00 21140</t>
  </si>
  <si>
    <t>Иные закупки товаров, работ и услуг для государственных (муниципальных) нужд</t>
  </si>
  <si>
    <t>Мероприятия, связанные с выполнением работ по мобилизационной подготовке</t>
  </si>
  <si>
    <t>97 0 00 21170</t>
  </si>
  <si>
    <t xml:space="preserve">Основное мероприятие "Обеспечение мер социальной поддержки отдельным категориям граждан и предоставление иных социальных выплат"
</t>
  </si>
  <si>
    <t>01 1 02 00000</t>
  </si>
  <si>
    <t>Ежемесячное денежное вознаграждение лицам, удостоенным звания "Почетный гражданин Нюксенского муниципального округа"</t>
  </si>
  <si>
    <t>01 1 02 80020</t>
  </si>
  <si>
    <t xml:space="preserve">Публичные нормативные выплаты гражданам несоциального характера
</t>
  </si>
  <si>
    <t>330</t>
  </si>
  <si>
    <t>Подпрограмма "Поддержка социально-ориентированных некоммерческих организаций Нюксенского муниципального округа на 2021-2030 годы"</t>
  </si>
  <si>
    <t>01 2 00 00000</t>
  </si>
  <si>
    <t>Основное мероприятие "Предоставление финансовой и имущественной поддержки социально ориентированным некоммерческим организациям"</t>
  </si>
  <si>
    <t>01 2 01 00000</t>
  </si>
  <si>
    <t xml:space="preserve">Предоставление субсидий социально ориентированным некоммерческим организациям </t>
  </si>
  <si>
    <t>01 2 01 25150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</si>
  <si>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</si>
  <si>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</si>
  <si>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"Организация свободного времени и культурного досуга и меры по укреплению здоровья граждан пожилого возраста"</t>
  </si>
  <si>
    <t>01 2 02 00000</t>
  </si>
  <si>
    <t>01 2 02 25150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</si>
  <si>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</si>
  <si>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Муниципальная программа  "Здоровье нюксян"</t>
  </si>
  <si>
    <t>02 0 00 00000</t>
  </si>
  <si>
    <t>Основное мероприятие "Формирование здорового образа жизни населения"</t>
  </si>
  <si>
    <t>02 1 00 00000</t>
  </si>
  <si>
    <t>Реализация мероприятий, направленных на формирование здорового образа жизни населения</t>
  </si>
  <si>
    <t>02 1 00 29070</t>
  </si>
  <si>
    <t xml:space="preserve">Субсидии бюджетным учреждениям </t>
  </si>
  <si>
    <t>610</t>
  </si>
  <si>
    <t>Основное мероприятие "Реализация мероприятий, направленных на развитие кадрового потенциала в области здравоохранения"</t>
  </si>
  <si>
    <t>02 2 00 00000</t>
  </si>
  <si>
    <t>Реализация мероприятий, направленных на развитие кадрового потенциала</t>
  </si>
  <si>
    <t>02 2 00 29030</t>
  </si>
  <si>
    <t>Муниципальная программа  "Совершенствование муниципального управления в Нюксенском муниципальном округе"</t>
  </si>
  <si>
    <t>Подпрограмма "Развитие кадрового потенциала в Нюксенском муниципальном округе"</t>
  </si>
  <si>
    <t>05 1 00 00000</t>
  </si>
  <si>
    <t>Основное мероприятие "Привлечение квалифицированных специалистов на территорию муниципального округа"</t>
  </si>
  <si>
    <t>05 1 01 00000</t>
  </si>
  <si>
    <t>Ежемесячная денежная выплата студентам, заключившим договора с администрацией округа</t>
  </si>
  <si>
    <t>05 1 01 80800</t>
  </si>
  <si>
    <t>Мероприятия, направленные на стимулирование кадров</t>
  </si>
  <si>
    <t>05 1 01 20810</t>
  </si>
  <si>
    <t>Основное мероприятие "Совершенствование и повышение профессионального уровня кадров"</t>
  </si>
  <si>
    <t>05 1 02 00000</t>
  </si>
  <si>
    <t xml:space="preserve">Мероприятия, направленные на повышение квалификационного уровня </t>
  </si>
  <si>
    <t>05 1 02 20800</t>
  </si>
  <si>
    <t>Подпрограмма "Обеспечение защиты прав и законных интересов граждан, общества от угроз, связанных с коррупцией"</t>
  </si>
  <si>
    <t>05 2 00 00000</t>
  </si>
  <si>
    <t>Основное мероприятие "Организация правового просвещения и правового информирования граждан по вопросам противодействия коррупции"</t>
  </si>
  <si>
    <t>05 2 01 00000</t>
  </si>
  <si>
    <t>Мероприятия по противодействию коррупции</t>
  </si>
  <si>
    <t>05 2 01 20240</t>
  </si>
  <si>
    <t>Подпрограмма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</si>
  <si>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>05 3 00 00000</t>
  </si>
  <si>
    <t>Основное мероприятие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округа"</t>
  </si>
  <si>
    <t>05 3 01 00000</t>
  </si>
  <si>
    <t>Расходы на обеспечение деятельности (оказание услуг) муниципальных учреждений</t>
  </si>
  <si>
    <t>05 3 01 00590</t>
  </si>
  <si>
    <t>Расходы на выплаты персоналу казенных учреждений</t>
  </si>
  <si>
    <t>110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</si>
  <si>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</si>
  <si>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05 3 01 72250</t>
  </si>
  <si>
    <t>Членский взнос в ассоциацию муниципальных образований</t>
  </si>
  <si>
    <t>05 4 01 21010</t>
  </si>
  <si>
    <t>Членский взнос в ассоциацию "Здоровые города, районы и поселки"</t>
  </si>
  <si>
    <t>05 4 01 21020</t>
  </si>
  <si>
    <t>Муниципальная программа "Развитие культуры и туризма Нюксенского муниципального округа"</t>
  </si>
  <si>
    <t>06 0 00 00000</t>
  </si>
  <si>
    <t>Основное мероприятие "Организация и проведение культурных проектов, мероприятий, посвященных праздничным и памятным датам"</t>
  </si>
  <si>
    <t>06 5 00 00000</t>
  </si>
  <si>
    <t>Мероприятия в сфере культуры</t>
  </si>
  <si>
    <t>06 5 00 28010</t>
  </si>
  <si>
    <t>Основное мероприятие "Развитие туристического потенциала в Нюксенском муниципальном округе"</t>
  </si>
  <si>
    <t>06 6 00 00000</t>
  </si>
  <si>
    <t>Учреждения культуры</t>
  </si>
  <si>
    <t>06 6 00 01590</t>
  </si>
  <si>
    <t>Субсидии бюджетным учреждениям</t>
  </si>
  <si>
    <t>Подпрограмма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</si>
  <si>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09 3 00 00000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</si>
  <si>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</si>
  <si>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09 3 01 00000</t>
  </si>
  <si>
    <t>Мероприятия по информационному обеспечению (публикация статей по проблемам подростковой преступности, наркомании и токсикомании среди молодежи, пропаганде здорового образа жизни подростков и молодежи, их ориентации на духовные ценности)</t>
  </si>
  <si>
    <t>09 3 01 23090</t>
  </si>
  <si>
    <t>Муниципальная программа "Совершенствование системы управления и распоряжения земельно-имущественным комплексом Нюксенского муниципального округа"</t>
  </si>
  <si>
    <t>16 0 00 00000</t>
  </si>
  <si>
    <t>Основное мероприятие "Содержание имущества, находящегося в муниципальной собственности"</t>
  </si>
  <si>
    <t>16 2 00 00000</t>
  </si>
  <si>
    <t>Мероприятия, направленные на реализацию регионального проекта "Культурная среда"</t>
  </si>
  <si>
    <t>16 2 A1 00000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</si>
  <si>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</si>
  <si>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16 2 А1 55198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</si>
  <si>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</si>
  <si>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</si>
  <si>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</si>
  <si>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</si>
  <si>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05 4 01 51180</t>
  </si>
  <si>
    <t>Национальная безопасность и правоохранительная деятельность</t>
  </si>
  <si>
    <t>Гражданская оборона</t>
  </si>
  <si>
    <t>09</t>
  </si>
  <si>
    <t>Подпрограмма "Развитие системы комплексной безопасности жизнедеятельности населения округа"</t>
  </si>
  <si>
    <t>09 2 00 00000</t>
  </si>
  <si>
    <t>Основное мероприятие "Обеспечение деятельности ЕДДС"</t>
  </si>
  <si>
    <t>09 2 01 00000</t>
  </si>
  <si>
    <t>Мероприятия по снижению  рисков и смягчению последствий чрезвычайных ситуаций природного и техногенного характера</t>
  </si>
  <si>
    <t>09 2 01 23040</t>
  </si>
  <si>
    <t>Основное мероприятие "Обеспечение прогнозных данных для принятия предупредительных мер"</t>
  </si>
  <si>
    <t>09 2 02 00000</t>
  </si>
  <si>
    <t>09 2 02 23040</t>
  </si>
  <si>
    <t>Основное мероприятие "Обеспечение безопасности граждан труднодоступных населенных пунктов"</t>
  </si>
  <si>
    <t>09 2 03 00000</t>
  </si>
  <si>
    <t>09 2 03 23040</t>
  </si>
  <si>
    <t>Основное мероприятие "Ликвидация чрезвычайных ситуаций природного и техногенного характера"</t>
  </si>
  <si>
    <t>09 2 04 00000</t>
  </si>
  <si>
    <t>Создание и обслуживание системы оповещения населения, создание запасов и резервов материальных ресурсов, предназначенных в целях гражданской обороны и для предупреждения и ликвидации чрезвычайных ситуаций природного и техногенного характера</t>
  </si>
  <si>
    <t>09 2 04 23050</t>
  </si>
  <si>
    <t>Основное мероприятие "Обеспечение безопасности населения при чрезвычайных ситуациях природного и техногенного характера"</t>
  </si>
  <si>
    <t>09 2 05 00000</t>
  </si>
  <si>
    <t xml:space="preserve">Мероприятия по безопасности населения на водных объектах </t>
  </si>
  <si>
    <t>09 2 05 23100</t>
  </si>
  <si>
    <t>Мероприятия по поддержанию в готовности и совершенствованию системы оповещения населения</t>
  </si>
  <si>
    <t>09 2 05 23120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</si>
  <si>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</si>
  <si>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"Совершенствование системы управления и распоряжения земельно-имущественным комплексом Нюксенского муниципального округа на 2021-2025 годы</t>
  </si>
  <si>
    <t>10</t>
  </si>
  <si>
    <t>Мероприятия в сфере управления и распоряжения имуществом, земельными ресурсами</t>
  </si>
  <si>
    <t>16 2 00 20500</t>
  </si>
  <si>
    <t>Другие вопросы в области национальной безопасности и правоохранительной деятельности</t>
  </si>
  <si>
    <t>14</t>
  </si>
  <si>
    <t>Основное мероприятие "Воссоздание института социальной профилактики и вовлечение общественности в предупреждение правонарушений"</t>
  </si>
  <si>
    <t>09 1 01 00000</t>
  </si>
  <si>
    <t>Мероприятия по профилактики преступлений и иных правонарушений</t>
  </si>
  <si>
    <t>09 1 01 23060</t>
  </si>
  <si>
    <t>Иные выплаты населению</t>
  </si>
  <si>
    <t>Основное мероприятие "Профилактика правонарушений несовершеннолетних и молодежи"</t>
  </si>
  <si>
    <t>09 1 02 00000</t>
  </si>
  <si>
    <t>09 1 02 23060</t>
  </si>
  <si>
    <t>Основное мероприятие "Предупреждение терроризма и экстремизма"</t>
  </si>
  <si>
    <t>09 1 03 00000</t>
  </si>
  <si>
    <t>09 1 03 23060</t>
  </si>
  <si>
    <t>Мероприятия по обеспечению антитеррористической защищенности объектов</t>
  </si>
  <si>
    <t>09 1 03 23130</t>
  </si>
  <si>
    <t>Внедрение и (или) эксплуатация аппаратно-программного комплекса "Безопасный город"</t>
  </si>
  <si>
    <t>09 1 03 S1060</t>
  </si>
  <si>
    <t>Основное мероприятие "Обеспечение социальной адаптации и реабилитации лиц, отбывших наказание в местах лишения свободы"</t>
  </si>
  <si>
    <t>09 1 04 00000</t>
  </si>
  <si>
    <t>09 1 04 23060</t>
  </si>
  <si>
    <t>Национальная экономика</t>
  </si>
  <si>
    <t>Общеэкономические вопросы</t>
  </si>
  <si>
    <t>Муниципальная программа "Содействие занятости населения Нюксенского муниципального округа"</t>
  </si>
  <si>
    <t>13 0 00 00000</t>
  </si>
  <si>
    <t>Основное мероприятие "Создание рабочих мест для организации временного трудоустройства несовершеннолетних граждан"</t>
  </si>
  <si>
    <t>13 1 00 00000</t>
  </si>
  <si>
    <t xml:space="preserve">Мероприятия по содействию занятости населения </t>
  </si>
  <si>
    <t>13 1 00 24010</t>
  </si>
  <si>
    <t>Транспорт</t>
  </si>
  <si>
    <t>08</t>
  </si>
  <si>
    <t>Муниципальная программа "Дорожная сеть и транспортное обслуживание"</t>
  </si>
  <si>
    <t>11 0 00 00000</t>
  </si>
  <si>
    <t>Подпрограмма "Транспортное обслуживание населения"</t>
  </si>
  <si>
    <t>11 2 00 00000</t>
  </si>
  <si>
    <t>Основное мероприятие "Муниципальная поддержка  транспортных организаций"</t>
  </si>
  <si>
    <t>11 2 01 00000</t>
  </si>
  <si>
    <t>Мероприятия в области автомобильного транспорта</t>
  </si>
  <si>
    <t>11 2 01 60620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</si>
  <si>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</si>
  <si>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</si>
  <si>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</si>
  <si>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11 2 01 S1370</t>
  </si>
  <si>
    <t>Дорожное хозяйство (дорожные фонды)</t>
  </si>
  <si>
    <t>Муниципальная программа "Формирование законопослушного поведения участников дорожного движения на территории Нюксенского муниципального округа на 2019-2030 годы"</t>
  </si>
  <si>
    <t>03 0 00 00000</t>
  </si>
  <si>
    <t>Основное мероприятие  "Безопасность дорожного движения"</t>
  </si>
  <si>
    <t>03 2 00 00000</t>
  </si>
  <si>
    <t>Мероприятия по профилактике дорожно-транспортных происшествий</t>
  </si>
  <si>
    <t>03 2 00 23070</t>
  </si>
  <si>
    <t>Подпрограмма "Автомобильные дороги"</t>
  </si>
  <si>
    <t>11 1 00 00000</t>
  </si>
  <si>
    <t>Основное мероприятие "Ремонт и капитальный ремонт автомобильных дорог и искусственных сооружений"</t>
  </si>
  <si>
    <t>11 1 01 00000</t>
  </si>
  <si>
    <t>Выполнение работ по ремонту и капитальному ремонту автомобильных дорог и искусственных сооружений</t>
  </si>
  <si>
    <t>11 1 01 41300</t>
  </si>
  <si>
    <t xml:space="preserve">Осуществление дорожной деятельности в отношении автомобильных дорог общего пользования местного значения </t>
  </si>
  <si>
    <t>11 1 01 S1350</t>
  </si>
  <si>
    <t xml:space="preserve"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</t>
  </si>
  <si>
    <t>11 1 01 S1360</t>
  </si>
  <si>
    <t>Основное мероприятие "Содержание автомобильных дорог и искусственных сооружений"</t>
  </si>
  <si>
    <t>11 1 02 00000</t>
  </si>
  <si>
    <t xml:space="preserve">Выполнение работ по содержанию автомобильных дорог и  искусственных сооружений
</t>
  </si>
  <si>
    <t>11 1 02 41200</t>
  </si>
  <si>
    <t>Другие вопросы в области национальной экономики</t>
  </si>
  <si>
    <t>12</t>
  </si>
  <si>
    <t>Муниципальная программа "Развитие малого и среднего предпринимательства в Нюксенском муниципальном округе"</t>
  </si>
  <si>
    <t>14 0 00 00000</t>
  </si>
  <si>
    <t>Основное мероприятие "Создание условий для развития мобильной торговли в малонаселенных и труднодоступных населенных пунктах"</t>
  </si>
  <si>
    <t>14 4 00 00000</t>
  </si>
  <si>
    <t>Развитие мобильной торговли в малонаселенных и труднодоступных населенных пунктах</t>
  </si>
  <si>
    <t>14 4 00 S1250</t>
  </si>
  <si>
    <t>Жилищно-коммунальное хозяйство</t>
  </si>
  <si>
    <t>Жилищное хозяйство</t>
  </si>
  <si>
    <t>Муниципальная программа "Обеспечение населения Нюксенского муниципального округа доступным жильем и создание благоприятных условий проживания"</t>
  </si>
  <si>
    <t>19 0 00 00000</t>
  </si>
  <si>
    <t>Основное мероприятие "Капитальный и текущий ремонт объектов жилищного фонда"</t>
  </si>
  <si>
    <t>19 2 00 00000</t>
  </si>
  <si>
    <t>Мероприятия, связанные с капитальным и текущем ремонтом объектов жилищного фонда</t>
  </si>
  <si>
    <t>19 2 00 20570</t>
  </si>
  <si>
    <t>Основное мероприятие "Обеспечение устойчивого сокращения непригодного для проживания жилищного фонда"</t>
  </si>
  <si>
    <t>19 3 00 00000</t>
  </si>
  <si>
    <t>Мероприятия, направленные на демонтаж и снос аварийного и ветхого жилья на территории муниципального округа</t>
  </si>
  <si>
    <t>19 3 00 20580</t>
  </si>
  <si>
    <t>Реализация регионального проекта "Обеспечение устойчивого сокращения непригодного для проживания жилищного фонда"</t>
  </si>
  <si>
    <t>19 3 F3 00000</t>
  </si>
  <si>
    <t>Мероприятия, направленные на реализацию регионального проекта "Обеспечение устойчивого сокращения непригодного для проживания жилищного фонда"</t>
  </si>
  <si>
    <t>19 3 F3 20580</t>
  </si>
  <si>
    <t>Реализация мероприятий по переселению граждан из аварийного жилищного фонда счет средств, поступивших от государственной корпорации - Фонд содействия реформированию жилищно-коммунального хозяйства</t>
  </si>
  <si>
    <t>19 3 F3 67483</t>
  </si>
  <si>
    <t>Бюджетные инвестиции</t>
  </si>
  <si>
    <t>410</t>
  </si>
  <si>
    <t>Реализация мероприятий по переселению граждан из аварийного жилищного фонда за счет средств областного бюджета</t>
  </si>
  <si>
    <t>19 3 F3 67484</t>
  </si>
  <si>
    <t>Коммунальное хозяйство</t>
  </si>
  <si>
    <t>Мероприятия, связанные с поддержкой муниципальных предприятий в области ЖКХ</t>
  </si>
  <si>
    <t>97 0 00 21190</t>
  </si>
  <si>
    <t xml:space="preserve">Финансовое обеспечение затрат в рамках мер по предупреждению банкротства и восстановлению платежеспособности муниципальных предприятий Нюксенского муниципального округа Вологодской области </t>
  </si>
  <si>
    <t>97 0 00 21200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</si>
  <si>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округа"</t>
  </si>
  <si>
    <t>12 0 00 00000</t>
  </si>
  <si>
    <t>Подпрограмма "Энергосбережение и повышение энергетической эффективности на территории Нюксенского муниципального округа"</t>
  </si>
  <si>
    <t>12 1 00 00000</t>
  </si>
  <si>
    <t>Основное мероприятие "Подготовка объектов теплоэнергетики к работе в осенне-зимний период"</t>
  </si>
  <si>
    <t>12 1 01 00000</t>
  </si>
  <si>
    <t>Мероприятия в области энергосбережения</t>
  </si>
  <si>
    <t>12 1 01 20560</t>
  </si>
  <si>
    <t xml:space="preserve">Бюджетные инвестиции
</t>
  </si>
  <si>
    <t>Основное мероприятие "Ремонты систем водоснабжения и водоотведения на территории Нюксенского муниципального округа"</t>
  </si>
  <si>
    <t>12 1 02 00000</t>
  </si>
  <si>
    <t>12 1 02 20560</t>
  </si>
  <si>
    <t xml:space="preserve">Исполнение судебных актов Российской Федерации и мировых соглашений по возмещению причиненного вреда
</t>
  </si>
  <si>
    <t>830</t>
  </si>
  <si>
    <t>Производственный контроль качества питьевой воды из источников водоснабжения</t>
  </si>
  <si>
    <t>12 1 02 20610</t>
  </si>
  <si>
    <t>Мероприятия, направленные на производственный контроль качества сточных вод</t>
  </si>
  <si>
    <t>12 1 02 20620</t>
  </si>
  <si>
    <t>Основное мероприятие "Реализация проекта "Народный бюджет"</t>
  </si>
  <si>
    <t>12 1 03 00000</t>
  </si>
  <si>
    <t>Мероприятия, связанные с реализацией проекта "Народный бюджет"</t>
  </si>
  <si>
    <t>12 1 03 S2270</t>
  </si>
  <si>
    <t>Подпрограмма"Развитие жилищно-коммунальной инфраструктуры муниципального округа"</t>
  </si>
  <si>
    <t>12 2 00 00000</t>
  </si>
  <si>
    <t>Основное мероприятие "Строительство, реконструкция и модернизация объектов жилищно-коммунальной инфраструктуры муниципального округа"</t>
  </si>
  <si>
    <t>12 2 01 00000</t>
  </si>
  <si>
    <t>12 2 01 20560</t>
  </si>
  <si>
    <t>Мероприятия по строительству, реконструкции и капитальному ремонту централизованных систем водоснабжения и водоотведения населенных пунктов</t>
  </si>
  <si>
    <t>12 2 01 S3040</t>
  </si>
  <si>
    <t>Мероприятия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</si>
  <si>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12 2 01 09505</t>
  </si>
  <si>
    <t>Мероприятия по модернизации систем коммунальной инфраструктуры за счет средств областного бюджета</t>
  </si>
  <si>
    <t>12 2 01 S9605</t>
  </si>
  <si>
    <t>Основное мероприятие "Реализация регионального проекта "Чистая вода"</t>
  </si>
  <si>
    <t>12 2 F5 00000</t>
  </si>
  <si>
    <t>Мероприятия по строительству и реконструкции (модернизации) объектов питьевого водоснабжения в рамках регионального проекта "Чистая вода"</t>
  </si>
  <si>
    <t>12 2 F5 52430</t>
  </si>
  <si>
    <t>Благоустройство</t>
  </si>
  <si>
    <t>Муниципальная программа "Формирование современной городской среды и благоустройства Нюксенского муниципального округа"</t>
  </si>
  <si>
    <t>04 0 00 00000</t>
  </si>
  <si>
    <t>Подпрограмма "Формирование современной городской среды на территории Нюксенского муниципального округа"</t>
  </si>
  <si>
    <t>04 1 00 00000</t>
  </si>
  <si>
    <t>Реализация регионального проекта "Формирование комфортной городской среды" в части благоустройства общественных и дворовых территорий муниципальных образований области</t>
  </si>
  <si>
    <t>04 1 F2 00000</t>
  </si>
  <si>
    <t>Проведение мероприятий по благоустройству дворовых территорий</t>
  </si>
  <si>
    <t>04 1 F2 55551</t>
  </si>
  <si>
    <t>Проведение мероприятий по благоустройству дворовых территорий многоквартирных домов</t>
  </si>
  <si>
    <t>04 1 F2 71551</t>
  </si>
  <si>
    <t>Проведение мероприятий по благоустройству общественных пространств</t>
  </si>
  <si>
    <t>04 1 F2 71552</t>
  </si>
  <si>
    <t>Подпрограмма "Благоустройство территорий населенных пунктов Нюксенского муниципального округа"</t>
  </si>
  <si>
    <t>04 2 00 00000</t>
  </si>
  <si>
    <t>Основное мероприятие "Организация уличного освещения"</t>
  </si>
  <si>
    <t>04 2 01 00000</t>
  </si>
  <si>
    <t xml:space="preserve">Уличное освещение </t>
  </si>
  <si>
    <t>04 2 01 S1090</t>
  </si>
  <si>
    <t xml:space="preserve">Уплата налогов, сборов и иных платежей
</t>
  </si>
  <si>
    <t>Реализация проекта "Народный бюджет"</t>
  </si>
  <si>
    <t>04 2 01 S2270</t>
  </si>
  <si>
    <t>Основное мероприятие "Мероприятия в сфере благоустройства"</t>
  </si>
  <si>
    <t>04 2 02 00000</t>
  </si>
  <si>
    <t>Проведение мероприятий в сфере благоустройства</t>
  </si>
  <si>
    <t>04 2 02 23200</t>
  </si>
  <si>
    <t>04 2 02 S2270</t>
  </si>
  <si>
    <t>Основное мероприятие "Организация ритуальных услуг и содержание мест захоронения"</t>
  </si>
  <si>
    <t>04 2 03 00000</t>
  </si>
  <si>
    <t>Организация ритуальных услуг и содержание мест захоронения</t>
  </si>
  <si>
    <t>04 2 03 23300</t>
  </si>
  <si>
    <t>Муниципальная программа "Комплексное развитие сельских территорий Нюксенского муниципального округа Вологодской области"</t>
  </si>
  <si>
    <t>20 0 00 00000</t>
  </si>
  <si>
    <t>Основное мероприятие "Предотвращение распространения сорного растения борщевик Сосновского"</t>
  </si>
  <si>
    <t>20 4 00 00000</t>
  </si>
  <si>
    <t>Мероприятия по предотвращению распространения сорного растения борщевик Сосновского</t>
  </si>
  <si>
    <t>20 4 00 S1400</t>
  </si>
  <si>
    <t>Охрана окружающей среды</t>
  </si>
  <si>
    <t>06</t>
  </si>
  <si>
    <t>Другие вопросы в области охраны окружающей среды</t>
  </si>
  <si>
    <t>Основное мероприятие "Охрана и рациональное использование водных ресурсов"</t>
  </si>
  <si>
    <t>10 1 00 00000</t>
  </si>
  <si>
    <t>Природоохранные мероприятия</t>
  </si>
  <si>
    <t>10 1 00 20110</t>
  </si>
  <si>
    <t>10 2 00 20110</t>
  </si>
  <si>
    <t>Мероприятия по разработке проекта рекультивации земельных участков, занятых несанкционированными свалками</t>
  </si>
  <si>
    <t>10 2 00 S3370</t>
  </si>
  <si>
    <t>Мероприятия, направленные на рекультивацию земельных участков, занятых несанкционированными свалками отходов</t>
  </si>
  <si>
    <t>10 2 00 S3390</t>
  </si>
  <si>
    <t>Основное мероприятие "Экологическое образование, просвещение и информирование населения"</t>
  </si>
  <si>
    <t>10 3 00 00000</t>
  </si>
  <si>
    <t>10 3 00 20110</t>
  </si>
  <si>
    <t>Основное мероприятие "Обустройство и охрана особо охраняемых природных территорий"</t>
  </si>
  <si>
    <t>10 4 00 00000</t>
  </si>
  <si>
    <t>10 4 00 20110</t>
  </si>
  <si>
    <t>Образование</t>
  </si>
  <si>
    <t>07</t>
  </si>
  <si>
    <t>Общее образование</t>
  </si>
  <si>
    <t>Муниципальная программа "Развитие образования Нюксенского муниципального округа"</t>
  </si>
  <si>
    <t>08 0 00 00000</t>
  </si>
  <si>
    <t>Подпрограмма "Развитие дошкольного, общего и дополнительного образования детей"</t>
  </si>
  <si>
    <t>08 1 00 00000</t>
  </si>
  <si>
    <t>Основное мероприятие "Строительство, реконструкция, капитальный ремонт и ремонт образовательных организаций"</t>
  </si>
  <si>
    <t>08 1 08 00000</t>
  </si>
  <si>
    <t>Мероприятия по разработке проектно-сметной документации на строительство, реконструкцию, капитальный ремонт и ремонт образовательных организаций муниципальной собственности</t>
  </si>
  <si>
    <t>08 1 08 13600</t>
  </si>
  <si>
    <t>Дополнительное образование детей</t>
  </si>
  <si>
    <t>Основное мероприятие "Организация предоставления дополнительного образования"</t>
  </si>
  <si>
    <t>06 4 00 00000</t>
  </si>
  <si>
    <t xml:space="preserve">Учреждения по внешкольной работе с детьми </t>
  </si>
  <si>
    <t>06 4 00 15590</t>
  </si>
  <si>
    <t>06 4 00 70030</t>
  </si>
  <si>
    <t>Молодёжная политика</t>
  </si>
  <si>
    <t>Муниципальная программа "Развитие молодежной политики в Нюксенском муниципальном округе"</t>
  </si>
  <si>
    <t>17 0 00 00000</t>
  </si>
  <si>
    <t>Основное мероприятие "Вовлечение молодежи в общественно-политическую жизнь, повышение гражданской активности молодых граждан"</t>
  </si>
  <si>
    <t>17 1 00 00000</t>
  </si>
  <si>
    <t>Проведение мероприятий для детей и молодежи</t>
  </si>
  <si>
    <t>17 1 00 20590</t>
  </si>
  <si>
    <t>Основное мероприятие "Формирование системы информирования подростков и молодежи об общественных движениях, социальных инициативах в сфере молодежной политики"</t>
  </si>
  <si>
    <t>17 2 00 00000</t>
  </si>
  <si>
    <t>17 2 00 20590</t>
  </si>
  <si>
    <t>Культура, кинематография</t>
  </si>
  <si>
    <t>Культура</t>
  </si>
  <si>
    <t>Основное мероприятие "Сохранение, пополнение и популяризация музейных предметов и музейных коллекций"</t>
  </si>
  <si>
    <t>06 1 00 00000</t>
  </si>
  <si>
    <t>06 1 00 01590</t>
  </si>
  <si>
    <t>06 1 00 70030</t>
  </si>
  <si>
    <t>Мероприятия, направленные на реализацию регионального проекта "Творческие люди"</t>
  </si>
  <si>
    <t>06 1 A2 00000</t>
  </si>
  <si>
    <t>Мероприятия, направленные на государственную поддержку лучших сельских учреждений культуры и лучших работников сельских учреждений культуры</t>
  </si>
  <si>
    <t>06 1 A2 55192</t>
  </si>
  <si>
    <t>Основное мероприятие "Выявление, изучение, сохранение, развитие и популяризация объектов нематериального культурного наследия Нюксенского муниципального округа в области традиционной народной культуры"</t>
  </si>
  <si>
    <t>06 2 00 00000</t>
  </si>
  <si>
    <t>06 2 00 01590</t>
  </si>
  <si>
    <t>06 2 00 70030</t>
  </si>
  <si>
    <t>Мероприятия, направленные на капитальный ремонт и ремонт объектов культуры</t>
  </si>
  <si>
    <t>06 2 00 S1270</t>
  </si>
  <si>
    <t>06 2 A2 00000</t>
  </si>
  <si>
    <t>06 2 A2 55192</t>
  </si>
  <si>
    <t>Основное мероприятие "Развитие библиотечного дела"</t>
  </si>
  <si>
    <t>06 3 00 00000</t>
  </si>
  <si>
    <t>06 3 00 01590</t>
  </si>
  <si>
    <t>06 3 00 70030</t>
  </si>
  <si>
    <t>Мероприятия, направленные на обеспечение развития и укрепление материально-технической базы муниципальных учреждений отрасли культуры</t>
  </si>
  <si>
    <t>06 3 00 S1960</t>
  </si>
  <si>
    <t>Мероприятия, направленные на комплектование книжных фондов муниципальных библиотек</t>
  </si>
  <si>
    <t>06 3 00 S1980</t>
  </si>
  <si>
    <t>06 5 00 01590</t>
  </si>
  <si>
    <t>06 5 00 70030</t>
  </si>
  <si>
    <t>06 5 00 S1960</t>
  </si>
  <si>
    <t>06 5 00 S2270</t>
  </si>
  <si>
    <t>Основное мероприятие "Создание и модернизация учреждений культурно-досугового типа в сельской местности"</t>
  </si>
  <si>
    <t>06 7 00 00000</t>
  </si>
  <si>
    <t>Мероприятия по обеспечению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</t>
  </si>
  <si>
    <t>06 7 00 S1800</t>
  </si>
  <si>
    <t>Реализация регионального проекта "Культурная среда"</t>
  </si>
  <si>
    <t>06 7 А1 00000</t>
  </si>
  <si>
    <t>Мероприятия по развитию сети учреждений культурно-досугового типа</t>
  </si>
  <si>
    <t>06 7 A1 55130</t>
  </si>
  <si>
    <t>Другие вопросы в области культуры, кинематографии</t>
  </si>
  <si>
    <t>Основное мероприятие "Строительство культурно-досуговых учреждений"</t>
  </si>
  <si>
    <t>06 8 00 00000</t>
  </si>
  <si>
    <t>06 8 00 28010</t>
  </si>
  <si>
    <t xml:space="preserve">Исполнение судебных актов
</t>
  </si>
  <si>
    <t>Строительство культурно-досугового центра в с.Нюксеница</t>
  </si>
  <si>
    <t>06 8 00 S3280</t>
  </si>
  <si>
    <t>Здравоохранение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</si>
  <si>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</si>
  <si>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</si>
  <si>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78 0 00 72230</t>
  </si>
  <si>
    <t>Социальная политика</t>
  </si>
  <si>
    <t>Пенсионное обеспечение</t>
  </si>
  <si>
    <t xml:space="preserve">Доплаты к пенсиям </t>
  </si>
  <si>
    <t>01 1 02 80010</t>
  </si>
  <si>
    <t xml:space="preserve">Публичные нормативные социальные выплаты гражданам
</t>
  </si>
  <si>
    <t>310</t>
  </si>
  <si>
    <t>Социальное обеспечение населения</t>
  </si>
  <si>
    <t>Мероприятия в области социальной политики</t>
  </si>
  <si>
    <t>01 1 02 25140</t>
  </si>
  <si>
    <t>Социальные выплаты гражданам, кроме публичных нормативных социальных выплат</t>
  </si>
  <si>
    <t>Реализация мер социальной поддержки граждан, призванных на военную службу по мобилизации, по контракту и членов их семей</t>
  </si>
  <si>
    <t>01 1 02 25160</t>
  </si>
  <si>
    <t>Публичные нормативные социальные выплаты гражданам</t>
  </si>
  <si>
    <t>Основное мероприятие "Оказание поддержки отдельным категориям граждан в приобретении жилья"</t>
  </si>
  <si>
    <t>19 1 00 00000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</si>
  <si>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</si>
  <si>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19 1 00 51760</t>
  </si>
  <si>
    <t>Предоставление социальных выплат молодым семьям – участникам основного мероприятия "Оказание государственной поддержки отдельным категориям граждан на приобретение жилья" подпрограммы "Создание условий для обеспечения доступным жильем граждан области" государственной программы Вологодской области "Наследие Вологодчины"</t>
  </si>
  <si>
    <t>19 1 00 L4970</t>
  </si>
  <si>
    <t>Основное мероприятие "Оказание содействия в обеспечении сельского населения доступным и комфортным жильем"</t>
  </si>
  <si>
    <t>20 1 00 00000</t>
  </si>
  <si>
    <t>Улучшение жилищных условий граждан, проживающих на сельских территориях</t>
  </si>
  <si>
    <t>20 1 00 L5764</t>
  </si>
  <si>
    <t>Реализация мер социальной поддержки граждан, призванных на военную службу по мобилизации, по контракту, и членов их семей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</si>
  <si>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</si>
  <si>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</si>
  <si>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Нюксенском муниципальном округе"</t>
  </si>
  <si>
    <t>07 0 00 00000</t>
  </si>
  <si>
    <t>Основное мероприятие "Физическое воспитание и обеспечение организации проведения физкультурных мероприятий и массовых спортивных мероприятий"</t>
  </si>
  <si>
    <t>07 1 00 00000</t>
  </si>
  <si>
    <t>07 1 00 00590</t>
  </si>
  <si>
    <t xml:space="preserve">Субсидии автономным учреждениям
</t>
  </si>
  <si>
    <t>620</t>
  </si>
  <si>
    <t xml:space="preserve"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</si>
  <si>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>460</t>
  </si>
  <si>
    <t>07 1 00 70030</t>
  </si>
  <si>
    <t>Мероприятия в области физической культуры и спорта</t>
  </si>
  <si>
    <t>07 1 00 20600</t>
  </si>
  <si>
    <t>Мероприятия, направленные на создание условий для занятий инвалидов, лиц с ограниченными возможностями здоровья физической культурой и спортом</t>
  </si>
  <si>
    <t>07 1 00 S1610</t>
  </si>
  <si>
    <t>Мероприятия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</si>
  <si>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07 1 00 S1760</t>
  </si>
  <si>
    <t>Другие вопросы в области физической культуры и спорта</t>
  </si>
  <si>
    <t>Муниципальная программа "Развитие физической культуры и спорта в Нюксенском муниципальном округе на 2021-2025 годы"</t>
  </si>
  <si>
    <t>07 1 00 S2270</t>
  </si>
  <si>
    <t>Представительное Собрание Нюксенского муниципального округа</t>
  </si>
  <si>
    <t>154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</si>
  <si>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</si>
  <si>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представительных  органов муниципальной власти</t>
  </si>
  <si>
    <t>92 0 00 00000</t>
  </si>
  <si>
    <t>92 0 00 00190</t>
  </si>
  <si>
    <t>Основное мероприятие "Поощрение муниципальной управленческой команды Нюксенского муниципального района"</t>
  </si>
  <si>
    <t>Контрольно-счетная комиссия</t>
  </si>
  <si>
    <t>152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</si>
  <si>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</si>
  <si>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органов муниципальной власти</t>
  </si>
  <si>
    <t>91 0 00 00000</t>
  </si>
  <si>
    <t>Обеспечение деятельности контрольно-счетной комиссии</t>
  </si>
  <si>
    <t>91 0 00 00190</t>
  </si>
  <si>
    <t>Финансовое управление администрации Нюксенского муниципального округа</t>
  </si>
  <si>
    <t>151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</si>
  <si>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(тарифов)"</t>
  </si>
  <si>
    <t>78 0 00 72310</t>
  </si>
  <si>
    <t>Муниципальная программа "Управление муниципальными финансами Нюксенского муниципального округа"</t>
  </si>
  <si>
    <t>15 0 00 00000</t>
  </si>
  <si>
    <t>Основное мероприятие "Обеспечение деятельности финансового управления администрации округа,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бюджета муниципального округа"</t>
  </si>
  <si>
    <t>15 4 00 00000</t>
  </si>
  <si>
    <t>15 4 00 00190</t>
  </si>
  <si>
    <t>Мероприятия, направленные на повышение квалификационного уровня муниципальных служащих</t>
  </si>
  <si>
    <t>15 4 00 20800</t>
  </si>
  <si>
    <t>Членский взнос в НП "Сообщество финансистов России"</t>
  </si>
  <si>
    <t>15 4 00 20820</t>
  </si>
  <si>
    <t>Основное мероприятие "Организация работы казенного учреждения "Межведомственная централизованная бухгалтерия Нюксенского муниципального округа"</t>
  </si>
  <si>
    <t>15 5 00 00000</t>
  </si>
  <si>
    <t>15 5 00 00590</t>
  </si>
  <si>
    <t>15 5 00 70030</t>
  </si>
  <si>
    <t>Основное мероприятие "Создание условий для малого и среднего предпринимательства, направленных на формирование положительного образа предпринимателя, популяризации роли предпринимательства"</t>
  </si>
  <si>
    <t>14 1 00 00000</t>
  </si>
  <si>
    <t>Мероприятия по популяризации роли предпринимательства</t>
  </si>
  <si>
    <t>14 1 00 20450</t>
  </si>
  <si>
    <t>Основное мероприятие "Повышение инвестиционной привлекательности Нюксенского муниципального округа"</t>
  </si>
  <si>
    <t>14 2 00 00000</t>
  </si>
  <si>
    <t>Мероприятия, направленные на повышение инвестиционной привлекательности муниципального округа</t>
  </si>
  <si>
    <t>14 2 00 20460</t>
  </si>
  <si>
    <t>Основное мероприятие "Развитие малого  предпринимательства (грантовая поддержка)"</t>
  </si>
  <si>
    <t>14 3 00 00000</t>
  </si>
  <si>
    <t xml:space="preserve">Грантовая поддержка субъектов малого  предпринимательства </t>
  </si>
  <si>
    <t>14 3 00 20470</t>
  </si>
  <si>
    <t>Комитет земельно-имущественных отношений администрации Нюксенского муниципального округа</t>
  </si>
  <si>
    <t>040</t>
  </si>
  <si>
    <t>Основное мероприятие "Комплекс работ в области управления земельными ресурсами"</t>
  </si>
  <si>
    <t>16 3 00 00000</t>
  </si>
  <si>
    <t>16 3 00 20500</t>
  </si>
  <si>
    <t>Мероприятия, направленные на подготовку проектов межевания земельных участков</t>
  </si>
  <si>
    <t>16 3 00 L5991</t>
  </si>
  <si>
    <t>Мероприятия, направленные на проведение кадастровых работ</t>
  </si>
  <si>
    <t>16 3 00 L5992</t>
  </si>
  <si>
    <t>Мероприятия, направленные на 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</si>
  <si>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16 3 00 S5110</t>
  </si>
  <si>
    <t>Основное мероприятие "Обеспечение деятельности комитета земельно-имущественных отношений администрации Нюксенского муниципального округа"</t>
  </si>
  <si>
    <t>16 1 00 00000</t>
  </si>
  <si>
    <t>16 1 00 00190</t>
  </si>
  <si>
    <t xml:space="preserve"> Мероприятия, направленные на реализацию регионального проекта "Финансовая поддержка семей при рождении детей"</t>
  </si>
  <si>
    <t>16 3 Р1 00000</t>
  </si>
  <si>
    <t>Осуществление отдельных государственных полномочий в соответствии с законом области 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</si>
  <si>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16 3 Р1 72300</t>
  </si>
  <si>
    <t>Управление образования администрации Нюксенского муниципального округа</t>
  </si>
  <si>
    <t>156</t>
  </si>
  <si>
    <t>Основное мероприятие "Профилактика и предупреждение дорожно-транспортных происшествий с участием детей"</t>
  </si>
  <si>
    <t>03 1 00 00000</t>
  </si>
  <si>
    <t>03 1 00 23070</t>
  </si>
  <si>
    <t>Дошкольное образование</t>
  </si>
  <si>
    <t>Основное мероприятие "Организация предоставления дошкольного образования в бюджетном образовательном учреждении"</t>
  </si>
  <si>
    <t>08 1 01 00000</t>
  </si>
  <si>
    <t>Обеспечение дошкольного образования и общеобразовательного процесса в муниципальных образовательных организациях</t>
  </si>
  <si>
    <t>08 1 01 72010</t>
  </si>
  <si>
    <t>Дошкольные учреждения</t>
  </si>
  <si>
    <t>08 1 01 14590</t>
  </si>
  <si>
    <t>Мероприятия, направленные на приспособление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</si>
  <si>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08 1 01 S1180</t>
  </si>
  <si>
    <t>Мероприятия, направленные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</si>
  <si>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08 1 01 S1490</t>
  </si>
  <si>
    <t xml:space="preserve">Основное мероприятие "Организация методического сопровождения повышения профессиональной компетентности педагогических и руководящих кадров" </t>
  </si>
  <si>
    <t>08 1 05 00000</t>
  </si>
  <si>
    <t>08 1 05 14590</t>
  </si>
  <si>
    <t>Основное мероприятие "Организация предоставления общедоступного и бесплатного начального общего, основного общего, среднего общего образования в бюджетных образовательных организациях"</t>
  </si>
  <si>
    <t>08 1 02 00000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</si>
  <si>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</si>
  <si>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08 1 02 53031</t>
  </si>
  <si>
    <t>08 1 02 72010</t>
  </si>
  <si>
    <t xml:space="preserve">Школы - детские сады, школы начальные, неполные средние и средние </t>
  </si>
  <si>
    <t>08 1 02 13590</t>
  </si>
  <si>
    <t>08 1 02 70030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</si>
  <si>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</si>
  <si>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08 1 02 L3041</t>
  </si>
  <si>
    <t>Мероприятия, направленные на модернизацию школьных систем образования</t>
  </si>
  <si>
    <t>08 1 02 L7500</t>
  </si>
  <si>
    <t xml:space="preserve">Мероприятия, направленные на модернизацию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 за исключением расходов, предусмотренных на софинансирование субсидий из федерального бюджета </t>
  </si>
  <si>
    <t>08 1 02 A7501</t>
  </si>
  <si>
    <t>Мероприятия, направленные на модернизацию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</si>
  <si>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>08 1 02 L7501</t>
  </si>
  <si>
    <t>08 1 02 S1180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</si>
  <si>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</si>
  <si>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08 1 02 S1440</t>
  </si>
  <si>
    <t>08 1 02 S1490</t>
  </si>
  <si>
    <t>Основное мероприятие "Обеспечение предоставления мер социальной поддержки отдельным категориям обучающихся в муниципальных образовательных организациях"</t>
  </si>
  <si>
    <t>08 1 04 00000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</si>
  <si>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</si>
  <si>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08 1 04 72020</t>
  </si>
  <si>
    <t>08 1 05 13590</t>
  </si>
  <si>
    <t>Основное мероприятие "Развитие системы поддержки талантливых детей в образовательных учреждениях"</t>
  </si>
  <si>
    <t>08 1 06 00000</t>
  </si>
  <si>
    <t>08 1 06 13590</t>
  </si>
  <si>
    <t>Основное мероприятие "Реализация регионального проекта "Современная школа"</t>
  </si>
  <si>
    <t>08 1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</si>
  <si>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</si>
  <si>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08 1 Е1 51720</t>
  </si>
  <si>
    <t>Основное мероприятие "Реализация регионального проекта "Цифровая образовательная среда"</t>
  </si>
  <si>
    <t>08 1 Е4 00000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</si>
  <si>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</si>
  <si>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08 1 Е4 52130</t>
  </si>
  <si>
    <t>Основное мероприятие "Реализация регионального проекта "Патриотическое воспитание граждан Российской Федерации (Вологодская область)"</t>
  </si>
  <si>
    <t>08 1 ЕВ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</si>
  <si>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</si>
  <si>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08 1 ЕВ 51790</t>
  </si>
  <si>
    <t>08 1 03 00000</t>
  </si>
  <si>
    <t>08 1 03 15590</t>
  </si>
  <si>
    <t>08 1 03 70030</t>
  </si>
  <si>
    <t>Мероприятия, направленные на реализацию проекта по обеспечению системы дополнительного образования детей посредством внедрения принципа персонифицированного финансирования</t>
  </si>
  <si>
    <t>08 1 03 12590</t>
  </si>
  <si>
    <t>Обеспечение персонифицированного финансирования дополнительного образования детей</t>
  </si>
  <si>
    <t xml:space="preserve">08 1 03 16590 </t>
  </si>
  <si>
    <t>08 1 05 15590</t>
  </si>
  <si>
    <t>08 1 06 15590</t>
  </si>
  <si>
    <t>Другие вопросы в области образования</t>
  </si>
  <si>
    <t>Реализация мероприятий по обеспечению безопасности жизни и здоровья детей, обучающихся в общеобразовательных организациях района</t>
  </si>
  <si>
    <t>03 1 00 23080</t>
  </si>
  <si>
    <t>08 1 05 00190</t>
  </si>
  <si>
    <t xml:space="preserve">Расходы на обеспечение функций муниципальных органов </t>
  </si>
  <si>
    <t>08 1 06 00190</t>
  </si>
  <si>
    <t>Основное мероприятие "Организация содержательного досуга детей в каникулярное время"</t>
  </si>
  <si>
    <t>08 1 07 00000</t>
  </si>
  <si>
    <t>08 1 07 13590</t>
  </si>
  <si>
    <t>08 1 07 14590</t>
  </si>
  <si>
    <t>08 1 07 15590</t>
  </si>
  <si>
    <t>Подпрограмма "Обеспечение создания условий для реализации программы"</t>
  </si>
  <si>
    <t>08 2 00 00000</t>
  </si>
  <si>
    <t>Основное мероприятие "Обеспечение деятельности управления образования"</t>
  </si>
  <si>
    <t>08 2 01 00000</t>
  </si>
  <si>
    <t>08 2 01 00190</t>
  </si>
  <si>
    <t>Основное мероприятие "Приобретение услуг распределительно-логистического центра"</t>
  </si>
  <si>
    <t>08 2 02 00000</t>
  </si>
  <si>
    <t>Мероприятия, направленные на приобретение услуг распределительно-логистического центра на поставку продовольственных товаров для муниципальных общеобразовательных организаций</t>
  </si>
  <si>
    <t>08 2 02 S1460</t>
  </si>
  <si>
    <t>Охрана семьи и детства</t>
  </si>
  <si>
    <t>Другие вопросы в области социальной политики</t>
  </si>
  <si>
    <t>Основное мероприятие "Обеспечение мер социальной поддержки отдельным категориям граждан и предоставление иных социальных выплат"</t>
  </si>
  <si>
    <t>Городищенский территориальный отдел администрации Нюксенского муниципального округа Вологодской области</t>
  </si>
  <si>
    <t>162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</si>
  <si>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</si>
  <si>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Основное мероприятие "Обеспечение деятельности администрации муниципального округа"</t>
  </si>
  <si>
    <t>НАЦИОНАЛЬНАЯ БЕЗОПАСНОСТЬ И ПРАВООХРАНИТЕЛЬНАЯ ДЕЯТЕЛЬНОСТЬ</t>
  </si>
  <si>
    <t>Мероприятия по обеспечению пожарной безопасности населения</t>
  </si>
  <si>
    <t>09 2 05 23110</t>
  </si>
  <si>
    <t>НАЦИОНАЛЬНАЯ ЭКОНОМИКА</t>
  </si>
  <si>
    <t>ЖИЛИЩНО-КОММУНАЛЬНОЕ ХОЗЯЙСТВО</t>
  </si>
  <si>
    <t>ОХРАНА ОКРУЖАЮЩЕЙ СРЕДЫ</t>
  </si>
  <si>
    <t>Нюксенский территориальный отдел администрации Нюксенского муниципального округа Вологодской области</t>
  </si>
  <si>
    <t>163</t>
  </si>
  <si>
    <t>Итого расходов</t>
  </si>
  <si>
    <t>Условно утверждаемые расходы</t>
  </si>
  <si>
    <t>Всего расходов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</si>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</sst>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00"/>
    <numFmt numFmtId="166" formatCode="000"/>
    <numFmt numFmtId="167" formatCode="0.0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7" fillId="0" borderId="0"/>
    <xf numFmtId="0" fontId="18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10" applyNumberFormat="0" applyFont="0" applyAlignment="0" applyProtection="0"/>
    <xf numFmtId="0" fontId="2" fillId="5" borderId="1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Fill="1" applyAlignment="1">
      <alignment vertical="distributed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right" vertical="distributed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distributed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1" applyNumberFormat="1" applyFont="1" applyFill="1" applyBorder="1" applyAlignment="1" applyProtection="1">
      <alignment horizontal="center" wrapText="1"/>
      <protection hidden="1"/>
    </xf>
    <xf numFmtId="164" fontId="2" fillId="0" borderId="0" xfId="0" applyNumberFormat="1" applyFont="1" applyFill="1"/>
    <xf numFmtId="0" fontId="4" fillId="0" borderId="2" xfId="0" applyFont="1" applyFill="1" applyBorder="1" applyAlignment="1">
      <alignment horizontal="center" vertical="distributed" wrapText="1"/>
    </xf>
    <xf numFmtId="0" fontId="4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vertical="distributed" wrapText="1"/>
    </xf>
    <xf numFmtId="49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/>
    <xf numFmtId="0" fontId="0" fillId="0" borderId="0" xfId="0" applyFont="1" applyFill="1"/>
    <xf numFmtId="164" fontId="0" fillId="0" borderId="0" xfId="0" applyNumberFormat="1" applyFont="1" applyFill="1"/>
    <xf numFmtId="0" fontId="8" fillId="0" borderId="2" xfId="0" applyFont="1" applyFill="1" applyBorder="1" applyAlignment="1">
      <alignment vertical="distributed" wrapText="1"/>
    </xf>
    <xf numFmtId="164" fontId="4" fillId="0" borderId="2" xfId="0" applyNumberFormat="1" applyFont="1" applyFill="1" applyBorder="1" applyAlignment="1"/>
    <xf numFmtId="0" fontId="4" fillId="0" borderId="2" xfId="0" applyFont="1" applyFill="1" applyBorder="1" applyAlignment="1">
      <alignment vertical="distributed" wrapText="1"/>
    </xf>
    <xf numFmtId="49" fontId="4" fillId="0" borderId="2" xfId="0" applyNumberFormat="1" applyFont="1" applyFill="1" applyBorder="1" applyAlignment="1">
      <alignment horizontal="center"/>
    </xf>
    <xf numFmtId="0" fontId="4" fillId="0" borderId="6" xfId="1" applyNumberFormat="1" applyFont="1" applyFill="1" applyBorder="1" applyAlignment="1" applyProtection="1">
      <alignment horizontal="left" wrapText="1"/>
      <protection hidden="1"/>
    </xf>
    <xf numFmtId="0" fontId="4" fillId="0" borderId="2" xfId="0" applyFont="1" applyFill="1" applyBorder="1" applyAlignment="1">
      <alignment horizontal="center" wrapText="1"/>
    </xf>
    <xf numFmtId="49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left" vertical="distributed"/>
    </xf>
    <xf numFmtId="0" fontId="4" fillId="0" borderId="7" xfId="0" applyFont="1" applyFill="1" applyBorder="1" applyAlignment="1">
      <alignment vertical="distributed" wrapText="1"/>
    </xf>
    <xf numFmtId="0" fontId="4" fillId="0" borderId="6" xfId="1" applyNumberFormat="1" applyFont="1" applyFill="1" applyBorder="1" applyAlignment="1" applyProtection="1">
      <alignment horizontal="left" vertical="center" wrapText="1"/>
      <protection hidden="1"/>
    </xf>
    <xf numFmtId="0" fontId="4" fillId="0" borderId="6" xfId="1" applyNumberFormat="1" applyFont="1" applyFill="1" applyBorder="1" applyAlignment="1" applyProtection="1">
      <alignment horizontal="left" vertical="distributed" wrapText="1"/>
      <protection hidden="1"/>
    </xf>
    <xf numFmtId="0" fontId="4" fillId="0" borderId="2" xfId="0" applyNumberFormat="1" applyFont="1" applyFill="1" applyBorder="1" applyAlignment="1" applyProtection="1">
      <alignment vertical="distributed" wrapText="1"/>
    </xf>
    <xf numFmtId="0" fontId="9" fillId="0" borderId="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vertical="justify" wrapText="1"/>
    </xf>
    <xf numFmtId="0" fontId="4" fillId="0" borderId="2" xfId="0" applyFont="1" applyFill="1" applyBorder="1" applyAlignment="1">
      <alignment vertical="justify" wrapText="1"/>
    </xf>
    <xf numFmtId="0" fontId="10" fillId="0" borderId="0" xfId="0" applyFont="1" applyFill="1" applyAlignment="1"/>
    <xf numFmtId="164" fontId="0" fillId="0" borderId="0" xfId="0" applyNumberFormat="1"/>
    <xf numFmtId="0" fontId="0" fillId="0" borderId="0" xfId="0" applyFont="1" applyFill="1" applyBorder="1"/>
    <xf numFmtId="164" fontId="4" fillId="0" borderId="2" xfId="0" applyNumberFormat="1" applyFont="1" applyFill="1" applyBorder="1" applyAlignment="1" applyProtection="1">
      <alignment horizontal="right"/>
    </xf>
    <xf numFmtId="0" fontId="4" fillId="0" borderId="2" xfId="0" applyFont="1" applyFill="1" applyBorder="1" applyAlignment="1">
      <alignment vertical="distributed" shrinkToFit="1"/>
    </xf>
    <xf numFmtId="0" fontId="4" fillId="0" borderId="2" xfId="0" applyFont="1" applyFill="1" applyBorder="1" applyAlignment="1">
      <alignment vertical="distributed" wrapText="1" shrinkToFit="1"/>
    </xf>
    <xf numFmtId="0" fontId="4" fillId="0" borderId="2" xfId="0" applyNumberFormat="1" applyFont="1" applyFill="1" applyBorder="1" applyAlignment="1" applyProtection="1">
      <alignment horizontal="left" vertical="distributed" shrinkToFit="1"/>
    </xf>
    <xf numFmtId="0" fontId="4" fillId="0" borderId="2" xfId="0" applyNumberFormat="1" applyFont="1" applyFill="1" applyBorder="1" applyAlignment="1" applyProtection="1">
      <alignment vertical="top" wrapText="1"/>
    </xf>
    <xf numFmtId="0" fontId="9" fillId="0" borderId="2" xfId="0" applyFont="1" applyFill="1" applyBorder="1" applyAlignment="1">
      <alignment vertical="justify" wrapText="1"/>
    </xf>
    <xf numFmtId="0" fontId="4" fillId="0" borderId="2" xfId="0" applyNumberFormat="1" applyFont="1" applyFill="1" applyBorder="1" applyAlignment="1" applyProtection="1">
      <alignment vertical="distributed"/>
    </xf>
    <xf numFmtId="0" fontId="4" fillId="0" borderId="1" xfId="0" applyFont="1" applyFill="1" applyBorder="1" applyAlignment="1">
      <alignment vertical="justify" wrapText="1"/>
    </xf>
    <xf numFmtId="0" fontId="9" fillId="0" borderId="7" xfId="0" applyFont="1" applyFill="1" applyBorder="1" applyAlignment="1">
      <alignment vertical="justify" wrapText="1"/>
    </xf>
    <xf numFmtId="0" fontId="4" fillId="0" borderId="2" xfId="0" applyFont="1" applyFill="1" applyBorder="1" applyAlignment="1">
      <alignment vertical="center" wrapText="1"/>
    </xf>
    <xf numFmtId="0" fontId="6" fillId="0" borderId="7" xfId="1" applyNumberFormat="1" applyFont="1" applyFill="1" applyBorder="1" applyAlignment="1" applyProtection="1">
      <alignment horizontal="left" vertical="distributed" wrapText="1"/>
      <protection hidden="1"/>
    </xf>
    <xf numFmtId="49" fontId="6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justify" vertical="distributed"/>
    </xf>
    <xf numFmtId="0" fontId="4" fillId="0" borderId="5" xfId="0" applyFont="1" applyFill="1" applyBorder="1" applyAlignment="1">
      <alignment vertical="justify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distributed" wrapText="1"/>
    </xf>
    <xf numFmtId="0" fontId="4" fillId="0" borderId="7" xfId="1" applyNumberFormat="1" applyFont="1" applyFill="1" applyBorder="1" applyAlignment="1" applyProtection="1">
      <alignment horizontal="left" vertical="top" wrapText="1"/>
      <protection hidden="1"/>
    </xf>
    <xf numFmtId="164" fontId="9" fillId="0" borderId="2" xfId="0" applyNumberFormat="1" applyFont="1" applyFill="1" applyBorder="1" applyAlignment="1"/>
    <xf numFmtId="0" fontId="10" fillId="0" borderId="0" xfId="0" applyFont="1" applyFill="1"/>
    <xf numFmtId="0" fontId="4" fillId="0" borderId="1" xfId="0" applyFont="1" applyFill="1" applyBorder="1" applyAlignment="1">
      <alignment horizontal="left" vertical="distributed" wrapText="1"/>
    </xf>
    <xf numFmtId="0" fontId="4" fillId="0" borderId="7" xfId="1" applyNumberFormat="1" applyFont="1" applyFill="1" applyBorder="1" applyAlignment="1" applyProtection="1">
      <alignment horizontal="left" vertical="distributed" wrapText="1"/>
      <protection hidden="1"/>
    </xf>
    <xf numFmtId="0" fontId="4" fillId="0" borderId="6" xfId="1" applyNumberFormat="1" applyFont="1" applyFill="1" applyBorder="1" applyAlignment="1" applyProtection="1">
      <alignment wrapText="1"/>
      <protection hidden="1"/>
    </xf>
    <xf numFmtId="0" fontId="4" fillId="0" borderId="7" xfId="1" applyNumberFormat="1" applyFont="1" applyFill="1" applyBorder="1" applyAlignment="1" applyProtection="1">
      <alignment wrapText="1"/>
      <protection hidden="1"/>
    </xf>
    <xf numFmtId="0" fontId="4" fillId="0" borderId="7" xfId="1" applyNumberFormat="1" applyFont="1" applyFill="1" applyBorder="1" applyAlignment="1" applyProtection="1">
      <alignment vertical="center" wrapText="1"/>
      <protection hidden="1"/>
    </xf>
    <xf numFmtId="49" fontId="4" fillId="0" borderId="2" xfId="0" applyNumberFormat="1" applyFont="1" applyFill="1" applyBorder="1" applyAlignment="1" applyProtection="1">
      <alignment vertical="justify" wrapText="1"/>
    </xf>
    <xf numFmtId="0" fontId="4" fillId="0" borderId="2" xfId="0" applyNumberFormat="1" applyFont="1" applyFill="1" applyBorder="1" applyAlignment="1" applyProtection="1">
      <alignment vertical="justify" wrapText="1"/>
    </xf>
    <xf numFmtId="164" fontId="10" fillId="0" borderId="0" xfId="0" applyNumberFormat="1" applyFont="1" applyFill="1"/>
    <xf numFmtId="49" fontId="4" fillId="0" borderId="2" xfId="0" applyNumberFormat="1" applyFont="1" applyFill="1" applyBorder="1" applyAlignment="1" applyProtection="1">
      <alignment wrapText="1"/>
    </xf>
    <xf numFmtId="0" fontId="4" fillId="0" borderId="1" xfId="0" applyFont="1" applyFill="1" applyBorder="1" applyAlignment="1">
      <alignment horizontal="left" vertical="justify" wrapText="1"/>
    </xf>
    <xf numFmtId="49" fontId="4" fillId="0" borderId="1" xfId="0" applyNumberFormat="1" applyFont="1" applyFill="1" applyBorder="1" applyAlignment="1" applyProtection="1">
      <alignment vertical="justify" wrapText="1"/>
    </xf>
    <xf numFmtId="0" fontId="11" fillId="0" borderId="0" xfId="0" applyFont="1" applyFill="1"/>
    <xf numFmtId="49" fontId="4" fillId="0" borderId="2" xfId="0" applyNumberFormat="1" applyFont="1" applyFill="1" applyBorder="1" applyAlignment="1" applyProtection="1">
      <alignment horizontal="justify" vertical="justify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 applyProtection="1">
      <alignment vertical="distributed" wrapText="1"/>
    </xf>
    <xf numFmtId="0" fontId="6" fillId="0" borderId="2" xfId="0" applyNumberFormat="1" applyFont="1" applyFill="1" applyBorder="1" applyAlignment="1" applyProtection="1">
      <alignment vertical="distributed" shrinkToFit="1"/>
    </xf>
    <xf numFmtId="0" fontId="4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/>
    </xf>
    <xf numFmtId="165" fontId="12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justify" vertical="center"/>
    </xf>
    <xf numFmtId="49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10" fillId="2" borderId="0" xfId="0" applyFont="1" applyFill="1"/>
    <xf numFmtId="0" fontId="4" fillId="0" borderId="2" xfId="1" applyNumberFormat="1" applyFont="1" applyFill="1" applyBorder="1" applyAlignment="1" applyProtection="1">
      <alignment horizontal="left" wrapText="1"/>
      <protection hidden="1"/>
    </xf>
    <xf numFmtId="0" fontId="9" fillId="0" borderId="2" xfId="0" applyNumberFormat="1" applyFont="1" applyFill="1" applyBorder="1" applyAlignment="1" applyProtection="1">
      <alignment vertical="top" wrapText="1"/>
    </xf>
    <xf numFmtId="0" fontId="4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0" fontId="4" fillId="0" borderId="7" xfId="1" applyNumberFormat="1" applyFont="1" applyFill="1" applyBorder="1" applyAlignment="1" applyProtection="1">
      <alignment horizontal="left" wrapText="1"/>
      <protection hidden="1"/>
    </xf>
    <xf numFmtId="49" fontId="6" fillId="0" borderId="2" xfId="0" applyNumberFormat="1" applyFont="1" applyFill="1" applyBorder="1" applyAlignment="1" applyProtection="1">
      <alignment vertical="distributed" wrapText="1"/>
    </xf>
    <xf numFmtId="0" fontId="13" fillId="0" borderId="0" xfId="0" applyFont="1" applyFill="1"/>
    <xf numFmtId="0" fontId="4" fillId="0" borderId="7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 applyProtection="1">
      <alignment horizontal="justify" vertical="distributed" wrapText="1"/>
    </xf>
    <xf numFmtId="0" fontId="0" fillId="0" borderId="0" xfId="0" applyFill="1"/>
    <xf numFmtId="0" fontId="4" fillId="0" borderId="2" xfId="0" applyFont="1" applyFill="1" applyBorder="1" applyAlignment="1">
      <alignment vertical="top" wrapText="1" shrinkToFit="1"/>
    </xf>
    <xf numFmtId="0" fontId="4" fillId="0" borderId="6" xfId="0" applyFont="1" applyFill="1" applyBorder="1" applyAlignment="1">
      <alignment horizontal="left" vertical="justify" wrapText="1"/>
    </xf>
    <xf numFmtId="0" fontId="4" fillId="0" borderId="6" xfId="0" applyFont="1" applyFill="1" applyBorder="1" applyAlignment="1">
      <alignment vertical="justify" wrapText="1"/>
    </xf>
    <xf numFmtId="49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justify" wrapText="1"/>
    </xf>
    <xf numFmtId="0" fontId="14" fillId="0" borderId="8" xfId="0" applyNumberFormat="1" applyFont="1" applyFill="1" applyBorder="1" applyAlignment="1" applyProtection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left" vertical="center" wrapText="1" shrinkToFit="1"/>
    </xf>
    <xf numFmtId="0" fontId="6" fillId="0" borderId="2" xfId="0" applyNumberFormat="1" applyFont="1" applyFill="1" applyBorder="1" applyAlignment="1" applyProtection="1">
      <alignment horizontal="left" vertical="distributed"/>
    </xf>
    <xf numFmtId="0" fontId="6" fillId="0" borderId="2" xfId="0" applyNumberFormat="1" applyFont="1" applyFill="1" applyBorder="1" applyAlignment="1" applyProtection="1">
      <alignment vertical="distributed"/>
    </xf>
    <xf numFmtId="0" fontId="4" fillId="0" borderId="2" xfId="0" applyNumberFormat="1" applyFont="1" applyFill="1" applyBorder="1" applyAlignment="1" applyProtection="1">
      <alignment wrapText="1"/>
    </xf>
    <xf numFmtId="0" fontId="4" fillId="0" borderId="2" xfId="0" applyNumberFormat="1" applyFont="1" applyFill="1" applyBorder="1" applyAlignment="1" applyProtection="1">
      <alignment vertical="distributed" shrinkToFi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distributed" wrapText="1"/>
    </xf>
    <xf numFmtId="0" fontId="4" fillId="0" borderId="1" xfId="0" applyFont="1" applyFill="1" applyBorder="1" applyAlignment="1">
      <alignment vertical="distributed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left" vertical="distributed" shrinkToFit="1"/>
    </xf>
    <xf numFmtId="164" fontId="4" fillId="0" borderId="2" xfId="0" applyNumberFormat="1" applyFont="1" applyFill="1" applyBorder="1"/>
    <xf numFmtId="0" fontId="11" fillId="3" borderId="0" xfId="0" applyFont="1" applyFill="1"/>
    <xf numFmtId="0" fontId="4" fillId="0" borderId="2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left" vertical="distributed" wrapText="1"/>
    </xf>
    <xf numFmtId="49" fontId="4" fillId="0" borderId="2" xfId="0" applyNumberFormat="1" applyFont="1" applyFill="1" applyBorder="1" applyAlignment="1" applyProtection="1">
      <alignment horizontal="left" vertical="distributed" shrinkToFit="1"/>
    </xf>
    <xf numFmtId="164" fontId="4" fillId="0" borderId="2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 vertical="justify"/>
    </xf>
    <xf numFmtId="49" fontId="9" fillId="0" borderId="2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vertical="distributed" wrapText="1"/>
    </xf>
    <xf numFmtId="0" fontId="15" fillId="0" borderId="2" xfId="0" applyFont="1" applyFill="1" applyBorder="1" applyAlignment="1">
      <alignment horizontal="center" wrapText="1"/>
    </xf>
    <xf numFmtId="164" fontId="11" fillId="0" borderId="0" xfId="0" applyNumberFormat="1" applyFont="1" applyFill="1"/>
    <xf numFmtId="0" fontId="4" fillId="0" borderId="1" xfId="0" applyFont="1" applyFill="1" applyBorder="1" applyAlignment="1">
      <alignment horizontal="left" vertical="distributed" wrapText="1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distributed" shrinkToFit="1"/>
    </xf>
    <xf numFmtId="0" fontId="6" fillId="0" borderId="2" xfId="0" applyNumberFormat="1" applyFont="1" applyFill="1" applyBorder="1" applyAlignment="1" applyProtection="1">
      <alignment horizontal="left" vertical="distributed" wrapText="1"/>
    </xf>
    <xf numFmtId="0" fontId="4" fillId="0" borderId="2" xfId="0" applyNumberFormat="1" applyFont="1" applyFill="1" applyBorder="1" applyAlignment="1" applyProtection="1">
      <alignment horizontal="left" vertical="distributed" wrapText="1"/>
    </xf>
    <xf numFmtId="0" fontId="6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 vertical="center" wrapText="1" shrinkToFit="1"/>
    </xf>
    <xf numFmtId="2" fontId="10" fillId="0" borderId="0" xfId="0" applyNumberFormat="1" applyFont="1" applyFill="1"/>
    <xf numFmtId="0" fontId="4" fillId="0" borderId="2" xfId="1" applyNumberFormat="1" applyFont="1" applyFill="1" applyBorder="1" applyAlignment="1" applyProtection="1">
      <alignment horizontal="left" vertical="distributed" wrapText="1"/>
      <protection hidden="1"/>
    </xf>
    <xf numFmtId="0" fontId="4" fillId="0" borderId="2" xfId="1" applyNumberFormat="1" applyFont="1" applyFill="1" applyBorder="1" applyAlignment="1" applyProtection="1">
      <alignment horizontal="left" vertical="distributed" shrinkToFit="1"/>
      <protection hidden="1"/>
    </xf>
    <xf numFmtId="0" fontId="4" fillId="0" borderId="2" xfId="0" applyNumberFormat="1" applyFont="1" applyFill="1" applyBorder="1" applyAlignment="1" applyProtection="1">
      <alignment horizontal="justify" vertical="center"/>
    </xf>
    <xf numFmtId="0" fontId="6" fillId="0" borderId="2" xfId="0" applyFont="1" applyFill="1" applyBorder="1" applyAlignment="1">
      <alignment horizontal="left" vertical="distributed" wrapText="1"/>
    </xf>
    <xf numFmtId="0" fontId="4" fillId="0" borderId="2" xfId="0" applyFont="1" applyFill="1" applyBorder="1" applyAlignment="1">
      <alignment horizontal="left" vertical="top" wrapText="1" shrinkToFit="1"/>
    </xf>
    <xf numFmtId="0" fontId="10" fillId="4" borderId="0" xfId="0" applyFont="1" applyFill="1"/>
    <xf numFmtId="0" fontId="4" fillId="0" borderId="9" xfId="0" applyFont="1" applyFill="1" applyBorder="1" applyAlignment="1">
      <alignment horizontal="left" vertical="justify" wrapText="1"/>
    </xf>
    <xf numFmtId="0" fontId="4" fillId="0" borderId="9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 vertical="justify"/>
    </xf>
    <xf numFmtId="0" fontId="4" fillId="0" borderId="6" xfId="0" applyFont="1" applyFill="1" applyBorder="1" applyAlignment="1">
      <alignment horizontal="left" vertical="top" wrapText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49" fontId="6" fillId="0" borderId="2" xfId="0" applyNumberFormat="1" applyFont="1" applyFill="1" applyBorder="1" applyAlignment="1" applyProtection="1">
      <alignment horizontal="left" vertical="distributed" shrinkToFit="1"/>
    </xf>
    <xf numFmtId="0" fontId="4" fillId="0" borderId="2" xfId="0" applyFont="1" applyFill="1" applyBorder="1" applyAlignment="1">
      <alignment horizontal="left" vertical="distributed" shrinkToFit="1"/>
    </xf>
    <xf numFmtId="0" fontId="9" fillId="0" borderId="2" xfId="0" applyFont="1" applyFill="1" applyBorder="1" applyAlignment="1">
      <alignment vertical="distributed" shrinkToFit="1"/>
    </xf>
    <xf numFmtId="0" fontId="12" fillId="0" borderId="2" xfId="0" applyFont="1" applyFill="1" applyBorder="1" applyAlignment="1">
      <alignment horizontal="left" wrapText="1" shrinkToFit="1"/>
    </xf>
    <xf numFmtId="0" fontId="12" fillId="0" borderId="2" xfId="0" applyNumberFormat="1" applyFont="1" applyFill="1" applyBorder="1" applyAlignment="1">
      <alignment horizontal="left" vertical="top" wrapText="1" shrinkToFit="1"/>
    </xf>
    <xf numFmtId="0" fontId="4" fillId="0" borderId="7" xfId="0" applyFont="1" applyFill="1" applyBorder="1" applyAlignment="1">
      <alignment vertical="distributed" shrinkToFit="1"/>
    </xf>
    <xf numFmtId="0" fontId="4" fillId="0" borderId="6" xfId="1" applyNumberFormat="1" applyFont="1" applyFill="1" applyBorder="1" applyAlignment="1" applyProtection="1">
      <alignment horizontal="left" vertical="distributed" shrinkToFit="1"/>
      <protection hidden="1"/>
    </xf>
    <xf numFmtId="166" fontId="12" fillId="0" borderId="2" xfId="0" applyNumberFormat="1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justify" vertical="distributed" shrinkToFit="1"/>
    </xf>
    <xf numFmtId="0" fontId="6" fillId="0" borderId="2" xfId="0" applyNumberFormat="1" applyFont="1" applyFill="1" applyBorder="1" applyAlignment="1" applyProtection="1">
      <alignment horizontal="left" vertical="distributed" shrinkToFit="1"/>
    </xf>
    <xf numFmtId="0" fontId="4" fillId="0" borderId="7" xfId="1" applyNumberFormat="1" applyFont="1" applyFill="1" applyBorder="1" applyAlignment="1" applyProtection="1">
      <alignment horizontal="left" vertical="distributed" shrinkToFit="1"/>
      <protection hidden="1"/>
    </xf>
    <xf numFmtId="49" fontId="6" fillId="0" borderId="2" xfId="0" applyNumberFormat="1" applyFont="1" applyFill="1" applyBorder="1" applyAlignment="1" applyProtection="1">
      <alignment horizontal="center" wrapText="1"/>
    </xf>
    <xf numFmtId="49" fontId="4" fillId="0" borderId="2" xfId="0" applyNumberFormat="1" applyFont="1" applyFill="1" applyBorder="1" applyAlignment="1" applyProtection="1">
      <alignment horizontal="center" wrapText="1"/>
    </xf>
    <xf numFmtId="0" fontId="11" fillId="0" borderId="0" xfId="0" applyFont="1" applyFill="1" applyBorder="1"/>
    <xf numFmtId="0" fontId="11" fillId="4" borderId="0" xfId="0" applyFont="1" applyFill="1" applyBorder="1"/>
    <xf numFmtId="0" fontId="6" fillId="0" borderId="2" xfId="0" applyFont="1" applyFill="1" applyBorder="1" applyAlignment="1"/>
    <xf numFmtId="0" fontId="4" fillId="0" borderId="0" xfId="0" applyFont="1" applyFill="1" applyAlignment="1">
      <alignment vertical="distributed" wrapText="1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167" fontId="4" fillId="0" borderId="0" xfId="0" applyNumberFormat="1" applyFont="1" applyFill="1" applyBorder="1" applyAlignment="1"/>
    <xf numFmtId="0" fontId="2" fillId="0" borderId="0" xfId="0" applyFont="1" applyFill="1" applyBorder="1"/>
    <xf numFmtId="167" fontId="0" fillId="0" borderId="0" xfId="0" applyNumberFormat="1" applyFill="1" applyAlignment="1"/>
    <xf numFmtId="0" fontId="0" fillId="0" borderId="0" xfId="0" applyFill="1" applyAlignment="1"/>
    <xf numFmtId="167" fontId="4" fillId="0" borderId="0" xfId="0" applyNumberFormat="1" applyFont="1" applyFill="1" applyAlignment="1"/>
    <xf numFmtId="2" fontId="4" fillId="0" borderId="0" xfId="0" applyNumberFormat="1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distributed" wrapText="1"/>
    </xf>
    <xf numFmtId="0" fontId="6" fillId="0" borderId="5" xfId="0" applyFont="1" applyFill="1" applyBorder="1" applyAlignment="1">
      <alignment horizontal="center" vertical="distributed" wrapText="1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17">
    <cellStyle name="Обычный" xfId="0" builtinId="0"/>
    <cellStyle name="Обычный 2" xfId="1"/>
    <cellStyle name="Обычный 2 2" xfId="2"/>
    <cellStyle name="Обычный 2 2 2" xfId="3"/>
    <cellStyle name="Обычный 3" xfId="4"/>
    <cellStyle name="Обычный 3 2" xfId="5"/>
    <cellStyle name="Обычный 3 2 2" xfId="6"/>
    <cellStyle name="Обычный 3 2 2 2" xfId="7"/>
    <cellStyle name="Обычный 3 2_4 " xfId="8"/>
    <cellStyle name="Обычный 3 3" xfId="9"/>
    <cellStyle name="Обычный 3 4" xfId="10"/>
    <cellStyle name="Обычный 3 5" xfId="11"/>
    <cellStyle name="Обычный 3_4 " xfId="12"/>
    <cellStyle name="Примечание 2" xfId="13"/>
    <cellStyle name="Примечание 3" xfId="14"/>
    <cellStyle name="Финансовый 2" xfId="15"/>
    <cellStyle name="Финансовый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892"/>
  <sheetViews>
    <sheetView tabSelected="1" view="pageBreakPreview" topLeftCell="B1" zoomScale="90" zoomScaleNormal="115" zoomScaleSheetLayoutView="90" workbookViewId="0">
      <selection activeCell="O873" sqref="O873"/>
    </sheetView>
  </sheetViews>
  <sheetFormatPr defaultRowHeight="12.75"/>
  <cols>
    <col min="1" max="1" width="2.5703125" style="4" hidden="1" customWidth="1"/>
    <col min="2" max="2" width="60.140625" style="162" customWidth="1"/>
    <col min="3" max="3" width="6.140625" style="3" customWidth="1"/>
    <col min="4" max="4" width="4.85546875" style="3" customWidth="1"/>
    <col min="5" max="5" width="5.140625" style="3" customWidth="1"/>
    <col min="6" max="6" width="13.7109375" style="3" customWidth="1"/>
    <col min="7" max="7" width="10.42578125" style="9" customWidth="1"/>
    <col min="8" max="9" width="13.42578125" style="3" customWidth="1"/>
    <col min="10" max="10" width="15.42578125" style="3" customWidth="1"/>
    <col min="11" max="12" width="9.140625" style="4"/>
    <col min="13" max="13" width="14.85546875" style="4" customWidth="1"/>
    <col min="14" max="16384" width="9.140625" style="4"/>
  </cols>
  <sheetData>
    <row r="2" spans="2:13" ht="3" customHeight="1">
      <c r="B2" s="1"/>
      <c r="C2" s="2"/>
      <c r="D2" s="2"/>
      <c r="E2" s="173"/>
      <c r="F2" s="173"/>
      <c r="G2" s="173"/>
    </row>
    <row r="3" spans="2:13" ht="58.5" customHeight="1">
      <c r="B3" s="174" t="s">
        <v>0</v>
      </c>
      <c r="C3" s="174"/>
      <c r="D3" s="174"/>
      <c r="E3" s="174"/>
      <c r="F3" s="174"/>
      <c r="G3" s="174"/>
      <c r="H3" s="174"/>
      <c r="I3" s="174"/>
      <c r="J3" s="174"/>
    </row>
    <row r="4" spans="2:13" ht="18.600000000000001" customHeight="1">
      <c r="B4" s="5"/>
      <c r="C4" s="6"/>
      <c r="D4" s="6"/>
      <c r="E4" s="6"/>
      <c r="F4" s="6"/>
      <c r="G4" s="7"/>
    </row>
    <row r="5" spans="2:13" ht="55.5" customHeight="1">
      <c r="B5" s="175" t="s">
        <v>1</v>
      </c>
      <c r="C5" s="175"/>
      <c r="D5" s="175"/>
      <c r="E5" s="175"/>
      <c r="F5" s="175"/>
      <c r="G5" s="175"/>
      <c r="H5" s="175"/>
      <c r="I5" s="175"/>
      <c r="J5" s="175"/>
    </row>
    <row r="6" spans="2:13" ht="16.5" customHeight="1">
      <c r="B6" s="8"/>
      <c r="C6" s="9"/>
      <c r="D6" s="9"/>
      <c r="E6" s="9"/>
      <c r="F6" s="9"/>
      <c r="J6" s="10" t="s">
        <v>2</v>
      </c>
    </row>
    <row r="7" spans="2:13" ht="20.25" customHeight="1">
      <c r="B7" s="176" t="s">
        <v>3</v>
      </c>
      <c r="C7" s="178" t="s">
        <v>4</v>
      </c>
      <c r="D7" s="178" t="s">
        <v>5</v>
      </c>
      <c r="E7" s="178" t="s">
        <v>6</v>
      </c>
      <c r="F7" s="178" t="s">
        <v>7</v>
      </c>
      <c r="G7" s="180" t="s">
        <v>8</v>
      </c>
      <c r="H7" s="11"/>
      <c r="I7" s="11"/>
      <c r="J7" s="12"/>
    </row>
    <row r="8" spans="2:13" ht="48.75" customHeight="1">
      <c r="B8" s="177"/>
      <c r="C8" s="179"/>
      <c r="D8" s="179"/>
      <c r="E8" s="179"/>
      <c r="F8" s="179"/>
      <c r="G8" s="180"/>
      <c r="H8" s="13" t="s">
        <v>9</v>
      </c>
      <c r="I8" s="13" t="s">
        <v>10</v>
      </c>
      <c r="J8" s="13" t="s">
        <v>11</v>
      </c>
      <c r="M8" s="14"/>
    </row>
    <row r="9" spans="2:13" s="17" customFormat="1" ht="21" customHeight="1">
      <c r="B9" s="15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M9" s="18"/>
    </row>
    <row r="10" spans="2:13" s="22" customFormat="1">
      <c r="B10" s="19" t="s">
        <v>12</v>
      </c>
      <c r="C10" s="20" t="s">
        <v>13</v>
      </c>
      <c r="D10" s="20"/>
      <c r="E10" s="20"/>
      <c r="F10" s="20"/>
      <c r="G10" s="20"/>
      <c r="H10" s="21">
        <f>H11+H149+H197+H233+H326+H428+H433+H347+H370+H465+H142</f>
        <v>587724.9</v>
      </c>
      <c r="I10" s="21">
        <f>I11+I149+I197+I233+I326+I428+I433+I347+I370+I465+I142</f>
        <v>179201.67</v>
      </c>
      <c r="J10" s="21">
        <f>J11+J149+J197+J233+J326+J428+J433+J347+J370+J465+J142</f>
        <v>182614.67000000004</v>
      </c>
      <c r="L10" s="23"/>
      <c r="M10" s="23"/>
    </row>
    <row r="11" spans="2:13" s="22" customFormat="1" ht="15.75">
      <c r="B11" s="24" t="s">
        <v>14</v>
      </c>
      <c r="C11" s="20" t="s">
        <v>13</v>
      </c>
      <c r="D11" s="20" t="s">
        <v>15</v>
      </c>
      <c r="E11" s="20"/>
      <c r="F11" s="20"/>
      <c r="G11" s="20"/>
      <c r="H11" s="21">
        <f>H18+H58+H62+H66++H12</f>
        <v>47796.300000000017</v>
      </c>
      <c r="I11" s="21">
        <f>I18+I58+I62+I66++I12</f>
        <v>47108.600000000013</v>
      </c>
      <c r="J11" s="21">
        <f>J18+J58+J62+J66++J12</f>
        <v>47130.200000000012</v>
      </c>
      <c r="L11" s="23"/>
      <c r="M11" s="23"/>
    </row>
    <row r="12" spans="2:13" s="22" customFormat="1" ht="25.5">
      <c r="B12" s="19" t="s">
        <v>16</v>
      </c>
      <c r="C12" s="20" t="s">
        <v>13</v>
      </c>
      <c r="D12" s="20" t="s">
        <v>15</v>
      </c>
      <c r="E12" s="20" t="s">
        <v>17</v>
      </c>
      <c r="F12" s="20"/>
      <c r="G12" s="20"/>
      <c r="H12" s="25">
        <f t="shared" ref="H12:J16" si="0">H13</f>
        <v>2859.8</v>
      </c>
      <c r="I12" s="25">
        <f t="shared" si="0"/>
        <v>2859.8</v>
      </c>
      <c r="J12" s="25">
        <f t="shared" si="0"/>
        <v>2859.8</v>
      </c>
      <c r="L12" s="23"/>
      <c r="M12" s="23"/>
    </row>
    <row r="13" spans="2:13" s="22" customFormat="1" ht="25.5">
      <c r="B13" s="26" t="s">
        <v>18</v>
      </c>
      <c r="C13" s="27" t="s">
        <v>13</v>
      </c>
      <c r="D13" s="27" t="s">
        <v>15</v>
      </c>
      <c r="E13" s="27" t="s">
        <v>17</v>
      </c>
      <c r="F13" s="27" t="s">
        <v>19</v>
      </c>
      <c r="G13" s="20"/>
      <c r="H13" s="25">
        <f t="shared" si="0"/>
        <v>2859.8</v>
      </c>
      <c r="I13" s="25">
        <f t="shared" si="0"/>
        <v>2859.8</v>
      </c>
      <c r="J13" s="25">
        <f t="shared" si="0"/>
        <v>2859.8</v>
      </c>
      <c r="L13" s="23"/>
      <c r="M13" s="23"/>
    </row>
    <row r="14" spans="2:13" s="22" customFormat="1" ht="38.25">
      <c r="B14" s="28" t="s">
        <v>20</v>
      </c>
      <c r="C14" s="27" t="s">
        <v>13</v>
      </c>
      <c r="D14" s="27" t="s">
        <v>15</v>
      </c>
      <c r="E14" s="27" t="s">
        <v>17</v>
      </c>
      <c r="F14" s="29" t="s">
        <v>21</v>
      </c>
      <c r="G14" s="27"/>
      <c r="H14" s="25">
        <f t="shared" si="0"/>
        <v>2859.8</v>
      </c>
      <c r="I14" s="25">
        <f t="shared" si="0"/>
        <v>2859.8</v>
      </c>
      <c r="J14" s="25">
        <f t="shared" si="0"/>
        <v>2859.8</v>
      </c>
      <c r="M14" s="23"/>
    </row>
    <row r="15" spans="2:13" s="22" customFormat="1" ht="25.5">
      <c r="B15" s="28" t="s">
        <v>22</v>
      </c>
      <c r="C15" s="27" t="s">
        <v>13</v>
      </c>
      <c r="D15" s="27" t="s">
        <v>15</v>
      </c>
      <c r="E15" s="27" t="s">
        <v>17</v>
      </c>
      <c r="F15" s="30" t="s">
        <v>23</v>
      </c>
      <c r="G15" s="27"/>
      <c r="H15" s="25">
        <f t="shared" si="0"/>
        <v>2859.8</v>
      </c>
      <c r="I15" s="25">
        <f t="shared" si="0"/>
        <v>2859.8</v>
      </c>
      <c r="J15" s="25">
        <f t="shared" si="0"/>
        <v>2859.8</v>
      </c>
    </row>
    <row r="16" spans="2:13" s="22" customFormat="1">
      <c r="B16" s="26" t="s">
        <v>24</v>
      </c>
      <c r="C16" s="27" t="s">
        <v>13</v>
      </c>
      <c r="D16" s="27" t="s">
        <v>15</v>
      </c>
      <c r="E16" s="27" t="s">
        <v>17</v>
      </c>
      <c r="F16" s="29" t="s">
        <v>25</v>
      </c>
      <c r="G16" s="27"/>
      <c r="H16" s="25">
        <f t="shared" si="0"/>
        <v>2859.8</v>
      </c>
      <c r="I16" s="25">
        <f t="shared" si="0"/>
        <v>2859.8</v>
      </c>
      <c r="J16" s="25">
        <f t="shared" si="0"/>
        <v>2859.8</v>
      </c>
      <c r="L16" s="23"/>
    </row>
    <row r="17" spans="2:14" s="22" customFormat="1" ht="25.5">
      <c r="B17" s="31" t="s">
        <v>26</v>
      </c>
      <c r="C17" s="27" t="s">
        <v>13</v>
      </c>
      <c r="D17" s="27" t="s">
        <v>15</v>
      </c>
      <c r="E17" s="27" t="s">
        <v>17</v>
      </c>
      <c r="F17" s="29" t="s">
        <v>25</v>
      </c>
      <c r="G17" s="27" t="s">
        <v>27</v>
      </c>
      <c r="H17" s="25">
        <f>2859.8</f>
        <v>2859.8</v>
      </c>
      <c r="I17" s="25">
        <f>2859.8</f>
        <v>2859.8</v>
      </c>
      <c r="J17" s="25">
        <f>2859.8</f>
        <v>2859.8</v>
      </c>
    </row>
    <row r="18" spans="2:14" s="22" customFormat="1" ht="38.25">
      <c r="B18" s="19" t="s">
        <v>28</v>
      </c>
      <c r="C18" s="20" t="s">
        <v>13</v>
      </c>
      <c r="D18" s="20" t="s">
        <v>29</v>
      </c>
      <c r="E18" s="20" t="s">
        <v>30</v>
      </c>
      <c r="F18" s="20"/>
      <c r="G18" s="20"/>
      <c r="H18" s="25">
        <f>H19+H25+H40+H51+H46</f>
        <v>39311.000000000015</v>
      </c>
      <c r="I18" s="25">
        <f>I19+I25+I40+I51+I46</f>
        <v>40063.500000000007</v>
      </c>
      <c r="J18" s="25">
        <f>J19+J25+J40+J51+J46</f>
        <v>40075.200000000012</v>
      </c>
    </row>
    <row r="19" spans="2:14" s="22" customFormat="1" ht="39.75" customHeight="1">
      <c r="B19" s="32" t="s">
        <v>31</v>
      </c>
      <c r="C19" s="27" t="s">
        <v>13</v>
      </c>
      <c r="D19" s="27" t="s">
        <v>15</v>
      </c>
      <c r="E19" s="27" t="s">
        <v>30</v>
      </c>
      <c r="F19" s="27" t="s">
        <v>32</v>
      </c>
      <c r="G19" s="30"/>
      <c r="H19" s="25">
        <f t="shared" ref="H19:J21" si="1">H20</f>
        <v>994.8</v>
      </c>
      <c r="I19" s="25">
        <f t="shared" si="1"/>
        <v>994.8</v>
      </c>
      <c r="J19" s="25">
        <f t="shared" si="1"/>
        <v>994.8</v>
      </c>
    </row>
    <row r="20" spans="2:14" s="22" customFormat="1" ht="29.25" customHeight="1">
      <c r="B20" s="33" t="s">
        <v>33</v>
      </c>
      <c r="C20" s="27" t="s">
        <v>13</v>
      </c>
      <c r="D20" s="27" t="s">
        <v>15</v>
      </c>
      <c r="E20" s="27" t="s">
        <v>30</v>
      </c>
      <c r="F20" s="27" t="s">
        <v>34</v>
      </c>
      <c r="G20" s="30"/>
      <c r="H20" s="25">
        <f t="shared" si="1"/>
        <v>994.8</v>
      </c>
      <c r="I20" s="25">
        <f t="shared" si="1"/>
        <v>994.8</v>
      </c>
      <c r="J20" s="25">
        <f t="shared" si="1"/>
        <v>994.8</v>
      </c>
    </row>
    <row r="21" spans="2:14" s="22" customFormat="1" ht="36.75" customHeight="1">
      <c r="B21" s="34" t="s">
        <v>35</v>
      </c>
      <c r="C21" s="27" t="s">
        <v>13</v>
      </c>
      <c r="D21" s="27" t="s">
        <v>15</v>
      </c>
      <c r="E21" s="27" t="s">
        <v>30</v>
      </c>
      <c r="F21" s="27" t="s">
        <v>36</v>
      </c>
      <c r="G21" s="30"/>
      <c r="H21" s="25">
        <f t="shared" si="1"/>
        <v>994.8</v>
      </c>
      <c r="I21" s="25">
        <f t="shared" si="1"/>
        <v>994.8</v>
      </c>
      <c r="J21" s="25">
        <f t="shared" si="1"/>
        <v>994.8</v>
      </c>
    </row>
    <row r="22" spans="2:14" s="22" customFormat="1" ht="106.5" customHeight="1">
      <c r="B22" s="35" t="s">
        <v>37</v>
      </c>
      <c r="C22" s="27" t="s">
        <v>13</v>
      </c>
      <c r="D22" s="27" t="s">
        <v>15</v>
      </c>
      <c r="E22" s="27" t="s">
        <v>30</v>
      </c>
      <c r="F22" s="36" t="s">
        <v>38</v>
      </c>
      <c r="G22" s="30"/>
      <c r="H22" s="25">
        <f>H23+H24</f>
        <v>994.8</v>
      </c>
      <c r="I22" s="25">
        <f>I23+I24</f>
        <v>994.8</v>
      </c>
      <c r="J22" s="25">
        <f>J23+J24</f>
        <v>994.8</v>
      </c>
    </row>
    <row r="23" spans="2:14" s="22" customFormat="1" ht="26.25" customHeight="1">
      <c r="B23" s="26" t="s">
        <v>26</v>
      </c>
      <c r="C23" s="27" t="s">
        <v>13</v>
      </c>
      <c r="D23" s="27" t="s">
        <v>15</v>
      </c>
      <c r="E23" s="27" t="s">
        <v>30</v>
      </c>
      <c r="F23" s="36" t="s">
        <v>38</v>
      </c>
      <c r="G23" s="30" t="s">
        <v>27</v>
      </c>
      <c r="H23" s="25">
        <v>710.6</v>
      </c>
      <c r="I23" s="25">
        <v>710.6</v>
      </c>
      <c r="J23" s="25">
        <v>710.6</v>
      </c>
      <c r="K23"/>
    </row>
    <row r="24" spans="2:14" s="22" customFormat="1" ht="26.25" customHeight="1">
      <c r="B24" s="26" t="s">
        <v>39</v>
      </c>
      <c r="C24" s="27" t="s">
        <v>13</v>
      </c>
      <c r="D24" s="27" t="s">
        <v>15</v>
      </c>
      <c r="E24" s="27" t="s">
        <v>30</v>
      </c>
      <c r="F24" s="36" t="s">
        <v>38</v>
      </c>
      <c r="G24" s="30" t="s">
        <v>40</v>
      </c>
      <c r="H24" s="25">
        <v>284.2</v>
      </c>
      <c r="I24" s="25">
        <v>284.2</v>
      </c>
      <c r="J24" s="25">
        <v>284.2</v>
      </c>
    </row>
    <row r="25" spans="2:14" s="22" customFormat="1" ht="28.5" customHeight="1">
      <c r="B25" s="37" t="s">
        <v>18</v>
      </c>
      <c r="C25" s="27" t="s">
        <v>13</v>
      </c>
      <c r="D25" s="27" t="s">
        <v>15</v>
      </c>
      <c r="E25" s="27" t="s">
        <v>30</v>
      </c>
      <c r="F25" s="36" t="s">
        <v>19</v>
      </c>
      <c r="G25" s="30"/>
      <c r="H25" s="25">
        <f>H26</f>
        <v>36001.400000000009</v>
      </c>
      <c r="I25" s="25">
        <f>I26</f>
        <v>36607.800000000003</v>
      </c>
      <c r="J25" s="25">
        <f>J26</f>
        <v>36620.900000000009</v>
      </c>
    </row>
    <row r="26" spans="2:14" s="22" customFormat="1" ht="36.75" customHeight="1">
      <c r="B26" s="28" t="s">
        <v>20</v>
      </c>
      <c r="C26" s="27" t="s">
        <v>13</v>
      </c>
      <c r="D26" s="27" t="s">
        <v>15</v>
      </c>
      <c r="E26" s="27" t="s">
        <v>30</v>
      </c>
      <c r="F26" s="29" t="s">
        <v>21</v>
      </c>
      <c r="G26" s="30"/>
      <c r="H26" s="25">
        <f>H27+H37</f>
        <v>36001.400000000009</v>
      </c>
      <c r="I26" s="25">
        <f>I27+I37</f>
        <v>36607.800000000003</v>
      </c>
      <c r="J26" s="25">
        <f>J27+J37</f>
        <v>36620.900000000009</v>
      </c>
    </row>
    <row r="27" spans="2:14" s="22" customFormat="1" ht="26.25" customHeight="1">
      <c r="B27" s="28" t="s">
        <v>22</v>
      </c>
      <c r="C27" s="27" t="s">
        <v>13</v>
      </c>
      <c r="D27" s="27" t="s">
        <v>15</v>
      </c>
      <c r="E27" s="27" t="s">
        <v>30</v>
      </c>
      <c r="F27" s="36" t="s">
        <v>23</v>
      </c>
      <c r="G27" s="30"/>
      <c r="H27" s="25">
        <f>H28+H35+H32</f>
        <v>36001.400000000009</v>
      </c>
      <c r="I27" s="25">
        <f>I28+I35+I32</f>
        <v>36607.800000000003</v>
      </c>
      <c r="J27" s="25">
        <f>J28+J35+J32</f>
        <v>36620.900000000009</v>
      </c>
    </row>
    <row r="28" spans="2:14" s="22" customFormat="1" ht="18" customHeight="1">
      <c r="B28" s="38" t="s">
        <v>41</v>
      </c>
      <c r="C28" s="27" t="s">
        <v>13</v>
      </c>
      <c r="D28" s="27" t="s">
        <v>15</v>
      </c>
      <c r="E28" s="27" t="s">
        <v>30</v>
      </c>
      <c r="F28" s="29" t="s">
        <v>42</v>
      </c>
      <c r="G28" s="30"/>
      <c r="H28" s="25">
        <f>H29+H30+H31</f>
        <v>24920.700000000004</v>
      </c>
      <c r="I28" s="25">
        <f>I29+I30+I31</f>
        <v>25526.500000000007</v>
      </c>
      <c r="J28" s="25">
        <f>J29+J30+J31</f>
        <v>25539.100000000006</v>
      </c>
    </row>
    <row r="29" spans="2:14" s="22" customFormat="1" ht="26.25" customHeight="1">
      <c r="B29" s="38" t="s">
        <v>26</v>
      </c>
      <c r="C29" s="27" t="s">
        <v>13</v>
      </c>
      <c r="D29" s="27" t="s">
        <v>15</v>
      </c>
      <c r="E29" s="27" t="s">
        <v>30</v>
      </c>
      <c r="F29" s="29" t="s">
        <v>42</v>
      </c>
      <c r="G29" s="30" t="s">
        <v>27</v>
      </c>
      <c r="H29" s="25">
        <f>22322.9+6188.2+1169.7+181-252.5-221.7-710.6-673.7-10859</f>
        <v>17144.300000000003</v>
      </c>
      <c r="I29" s="25">
        <f>22322.9+6188.2+1169.7+181-252.6-222.3-710.6-673.7-10859</f>
        <v>17143.600000000006</v>
      </c>
      <c r="J29" s="25">
        <f>22322.9+6188.2+1169.7+181-251.5-222.8-710.6-673.7-10859</f>
        <v>17144.200000000004</v>
      </c>
      <c r="K29" s="39"/>
    </row>
    <row r="30" spans="2:14" s="22" customFormat="1" ht="26.25" customHeight="1">
      <c r="B30" s="38" t="s">
        <v>39</v>
      </c>
      <c r="C30" s="27" t="s">
        <v>13</v>
      </c>
      <c r="D30" s="27" t="s">
        <v>15</v>
      </c>
      <c r="E30" s="27" t="s">
        <v>30</v>
      </c>
      <c r="F30" s="29" t="s">
        <v>42</v>
      </c>
      <c r="G30" s="30" t="s">
        <v>40</v>
      </c>
      <c r="H30" s="25">
        <f>11018.6-150-3363.1</f>
        <v>7505.5</v>
      </c>
      <c r="I30" s="25">
        <f>11018.6-906.6-2000</f>
        <v>8112</v>
      </c>
      <c r="J30" s="25">
        <f>11018.6-1894.6-1000</f>
        <v>8124</v>
      </c>
      <c r="K30" s="40"/>
      <c r="N30" s="41"/>
    </row>
    <row r="31" spans="2:14" s="22" customFormat="1" ht="17.25" customHeight="1">
      <c r="B31" s="38" t="s">
        <v>43</v>
      </c>
      <c r="C31" s="27" t="s">
        <v>13</v>
      </c>
      <c r="D31" s="27" t="s">
        <v>15</v>
      </c>
      <c r="E31" s="27" t="s">
        <v>30</v>
      </c>
      <c r="F31" s="29" t="s">
        <v>42</v>
      </c>
      <c r="G31" s="30" t="s">
        <v>44</v>
      </c>
      <c r="H31" s="25">
        <v>270.89999999999998</v>
      </c>
      <c r="I31" s="42">
        <v>270.89999999999998</v>
      </c>
      <c r="J31" s="42">
        <v>270.89999999999998</v>
      </c>
    </row>
    <row r="32" spans="2:14" s="22" customFormat="1" ht="24" customHeight="1">
      <c r="B32" s="43" t="s">
        <v>45</v>
      </c>
      <c r="C32" s="27" t="s">
        <v>13</v>
      </c>
      <c r="D32" s="27" t="s">
        <v>15</v>
      </c>
      <c r="E32" s="27" t="s">
        <v>30</v>
      </c>
      <c r="F32" s="29" t="s">
        <v>46</v>
      </c>
      <c r="G32" s="30"/>
      <c r="H32" s="25">
        <f>H33+H34</f>
        <v>10859</v>
      </c>
      <c r="I32" s="25">
        <f>I33+I34</f>
        <v>10859</v>
      </c>
      <c r="J32" s="25">
        <f>J33+J34</f>
        <v>10859</v>
      </c>
    </row>
    <row r="33" spans="2:11" s="22" customFormat="1" ht="27" customHeight="1">
      <c r="B33" s="43" t="s">
        <v>26</v>
      </c>
      <c r="C33" s="27" t="s">
        <v>13</v>
      </c>
      <c r="D33" s="27" t="s">
        <v>15</v>
      </c>
      <c r="E33" s="27" t="s">
        <v>30</v>
      </c>
      <c r="F33" s="29" t="s">
        <v>46</v>
      </c>
      <c r="G33" s="30" t="s">
        <v>27</v>
      </c>
      <c r="H33" s="25">
        <v>10859</v>
      </c>
      <c r="I33" s="25">
        <v>10859</v>
      </c>
      <c r="J33" s="25">
        <v>10859</v>
      </c>
    </row>
    <row r="34" spans="2:11" s="22" customFormat="1" ht="27" hidden="1" customHeight="1">
      <c r="B34" s="44" t="s">
        <v>47</v>
      </c>
      <c r="C34" s="27" t="s">
        <v>13</v>
      </c>
      <c r="D34" s="27" t="s">
        <v>15</v>
      </c>
      <c r="E34" s="27" t="s">
        <v>30</v>
      </c>
      <c r="F34" s="29" t="s">
        <v>46</v>
      </c>
      <c r="G34" s="30" t="s">
        <v>48</v>
      </c>
      <c r="H34" s="25"/>
      <c r="I34" s="25"/>
      <c r="J34" s="25"/>
    </row>
    <row r="35" spans="2:11" s="22" customFormat="1" ht="73.5" customHeight="1">
      <c r="B35" s="38" t="s">
        <v>49</v>
      </c>
      <c r="C35" s="27" t="s">
        <v>13</v>
      </c>
      <c r="D35" s="27" t="s">
        <v>15</v>
      </c>
      <c r="E35" s="27" t="s">
        <v>30</v>
      </c>
      <c r="F35" s="29" t="s">
        <v>50</v>
      </c>
      <c r="G35" s="30"/>
      <c r="H35" s="25">
        <f>H36</f>
        <v>221.7</v>
      </c>
      <c r="I35" s="25">
        <f>I36</f>
        <v>222.3</v>
      </c>
      <c r="J35" s="25">
        <f>J36</f>
        <v>222.8</v>
      </c>
    </row>
    <row r="36" spans="2:11" s="22" customFormat="1" ht="26.25" customHeight="1">
      <c r="B36" s="38" t="s">
        <v>26</v>
      </c>
      <c r="C36" s="27" t="s">
        <v>13</v>
      </c>
      <c r="D36" s="27" t="s">
        <v>15</v>
      </c>
      <c r="E36" s="27" t="s">
        <v>30</v>
      </c>
      <c r="F36" s="29" t="s">
        <v>50</v>
      </c>
      <c r="G36" s="30" t="s">
        <v>27</v>
      </c>
      <c r="H36" s="25">
        <f>221.7</f>
        <v>221.7</v>
      </c>
      <c r="I36" s="25">
        <f>222.3</f>
        <v>222.3</v>
      </c>
      <c r="J36" s="25">
        <f>222.8</f>
        <v>222.8</v>
      </c>
    </row>
    <row r="37" spans="2:11" s="22" customFormat="1" ht="26.25" hidden="1" customHeight="1">
      <c r="B37" s="38" t="s">
        <v>51</v>
      </c>
      <c r="C37" s="27" t="s">
        <v>13</v>
      </c>
      <c r="D37" s="27" t="s">
        <v>15</v>
      </c>
      <c r="E37" s="27" t="s">
        <v>30</v>
      </c>
      <c r="F37" s="29" t="s">
        <v>52</v>
      </c>
      <c r="G37" s="30"/>
      <c r="H37" s="25">
        <f t="shared" ref="H37:J38" si="2">H38</f>
        <v>0</v>
      </c>
      <c r="I37" s="25">
        <f t="shared" si="2"/>
        <v>0</v>
      </c>
      <c r="J37" s="25">
        <f t="shared" si="2"/>
        <v>0</v>
      </c>
    </row>
    <row r="38" spans="2:11" s="22" customFormat="1" ht="114" hidden="1" customHeight="1">
      <c r="B38" s="45" t="s">
        <v>53</v>
      </c>
      <c r="C38" s="27" t="s">
        <v>13</v>
      </c>
      <c r="D38" s="27" t="s">
        <v>15</v>
      </c>
      <c r="E38" s="27" t="s">
        <v>30</v>
      </c>
      <c r="F38" s="29" t="s">
        <v>54</v>
      </c>
      <c r="G38" s="30"/>
      <c r="H38" s="25">
        <f t="shared" si="2"/>
        <v>0</v>
      </c>
      <c r="I38" s="25">
        <f t="shared" si="2"/>
        <v>0</v>
      </c>
      <c r="J38" s="25">
        <f t="shared" si="2"/>
        <v>0</v>
      </c>
    </row>
    <row r="39" spans="2:11" s="22" customFormat="1" ht="26.25" hidden="1" customHeight="1">
      <c r="B39" s="45" t="s">
        <v>26</v>
      </c>
      <c r="C39" s="27" t="s">
        <v>13</v>
      </c>
      <c r="D39" s="27" t="s">
        <v>15</v>
      </c>
      <c r="E39" s="27" t="s">
        <v>30</v>
      </c>
      <c r="F39" s="29" t="s">
        <v>54</v>
      </c>
      <c r="G39" s="30" t="s">
        <v>27</v>
      </c>
      <c r="H39" s="25"/>
      <c r="I39" s="42"/>
      <c r="J39" s="42"/>
    </row>
    <row r="40" spans="2:11" s="22" customFormat="1" ht="42" customHeight="1">
      <c r="B40" s="37" t="s">
        <v>55</v>
      </c>
      <c r="C40" s="27" t="s">
        <v>13</v>
      </c>
      <c r="D40" s="27" t="s">
        <v>15</v>
      </c>
      <c r="E40" s="27" t="s">
        <v>30</v>
      </c>
      <c r="F40" s="36" t="s">
        <v>56</v>
      </c>
      <c r="G40" s="30"/>
      <c r="H40" s="25">
        <f t="shared" ref="H40:J42" si="3">H41</f>
        <v>852.80000000000007</v>
      </c>
      <c r="I40" s="25">
        <f t="shared" si="3"/>
        <v>852.80000000000007</v>
      </c>
      <c r="J40" s="25">
        <f t="shared" si="3"/>
        <v>852.80000000000007</v>
      </c>
    </row>
    <row r="41" spans="2:11" s="22" customFormat="1" ht="13.5" customHeight="1">
      <c r="B41" s="46" t="s">
        <v>57</v>
      </c>
      <c r="C41" s="27" t="s">
        <v>13</v>
      </c>
      <c r="D41" s="27" t="s">
        <v>15</v>
      </c>
      <c r="E41" s="27" t="s">
        <v>30</v>
      </c>
      <c r="F41" s="36" t="s">
        <v>58</v>
      </c>
      <c r="G41" s="30"/>
      <c r="H41" s="25">
        <f t="shared" si="3"/>
        <v>852.80000000000007</v>
      </c>
      <c r="I41" s="25">
        <f t="shared" si="3"/>
        <v>852.80000000000007</v>
      </c>
      <c r="J41" s="25">
        <f t="shared" si="3"/>
        <v>852.80000000000007</v>
      </c>
    </row>
    <row r="42" spans="2:11" s="22" customFormat="1" ht="26.25" customHeight="1">
      <c r="B42" s="47" t="s">
        <v>59</v>
      </c>
      <c r="C42" s="27" t="s">
        <v>13</v>
      </c>
      <c r="D42" s="27" t="s">
        <v>15</v>
      </c>
      <c r="E42" s="27" t="s">
        <v>30</v>
      </c>
      <c r="F42" s="36" t="s">
        <v>60</v>
      </c>
      <c r="G42" s="30"/>
      <c r="H42" s="25">
        <f t="shared" si="3"/>
        <v>852.80000000000007</v>
      </c>
      <c r="I42" s="25">
        <f t="shared" si="3"/>
        <v>852.80000000000007</v>
      </c>
      <c r="J42" s="25">
        <f t="shared" si="3"/>
        <v>852.80000000000007</v>
      </c>
    </row>
    <row r="43" spans="2:11" s="22" customFormat="1" ht="61.5" customHeight="1">
      <c r="B43" s="47" t="s">
        <v>61</v>
      </c>
      <c r="C43" s="27" t="s">
        <v>13</v>
      </c>
      <c r="D43" s="27" t="s">
        <v>15</v>
      </c>
      <c r="E43" s="27" t="s">
        <v>30</v>
      </c>
      <c r="F43" s="36" t="s">
        <v>62</v>
      </c>
      <c r="G43" s="30"/>
      <c r="H43" s="25">
        <f>H44+H45</f>
        <v>852.80000000000007</v>
      </c>
      <c r="I43" s="25">
        <f>I44+I45</f>
        <v>852.80000000000007</v>
      </c>
      <c r="J43" s="25">
        <f>J44+J45</f>
        <v>852.80000000000007</v>
      </c>
    </row>
    <row r="44" spans="2:11" s="22" customFormat="1" ht="26.25" customHeight="1">
      <c r="B44" s="47" t="s">
        <v>26</v>
      </c>
      <c r="C44" s="27" t="s">
        <v>13</v>
      </c>
      <c r="D44" s="27" t="s">
        <v>15</v>
      </c>
      <c r="E44" s="27" t="s">
        <v>30</v>
      </c>
      <c r="F44" s="36" t="s">
        <v>62</v>
      </c>
      <c r="G44" s="30" t="s">
        <v>27</v>
      </c>
      <c r="H44" s="25">
        <v>673.7</v>
      </c>
      <c r="I44" s="25">
        <v>673.7</v>
      </c>
      <c r="J44" s="25">
        <v>673.7</v>
      </c>
      <c r="K44"/>
    </row>
    <row r="45" spans="2:11" s="22" customFormat="1" ht="26.25" customHeight="1">
      <c r="B45" s="47" t="s">
        <v>39</v>
      </c>
      <c r="C45" s="27" t="s">
        <v>13</v>
      </c>
      <c r="D45" s="27" t="s">
        <v>15</v>
      </c>
      <c r="E45" s="27" t="s">
        <v>30</v>
      </c>
      <c r="F45" s="36" t="s">
        <v>62</v>
      </c>
      <c r="G45" s="30" t="s">
        <v>40</v>
      </c>
      <c r="H45" s="25">
        <v>179.1</v>
      </c>
      <c r="I45" s="25">
        <v>179.1</v>
      </c>
      <c r="J45" s="25">
        <v>179.1</v>
      </c>
    </row>
    <row r="46" spans="2:11" s="22" customFormat="1" ht="27" customHeight="1">
      <c r="B46" s="48" t="s">
        <v>63</v>
      </c>
      <c r="C46" s="27" t="s">
        <v>13</v>
      </c>
      <c r="D46" s="27" t="s">
        <v>15</v>
      </c>
      <c r="E46" s="27" t="s">
        <v>30</v>
      </c>
      <c r="F46" s="29" t="s">
        <v>64</v>
      </c>
      <c r="G46" s="30"/>
      <c r="H46" s="25">
        <f t="shared" ref="H46:J47" si="4">H47</f>
        <v>307.89999999999998</v>
      </c>
      <c r="I46" s="25">
        <f t="shared" si="4"/>
        <v>308.10000000000002</v>
      </c>
      <c r="J46" s="25">
        <f t="shared" si="4"/>
        <v>306.7</v>
      </c>
    </row>
    <row r="47" spans="2:11" s="22" customFormat="1" ht="26.25" customHeight="1">
      <c r="B47" s="38" t="s">
        <v>65</v>
      </c>
      <c r="C47" s="27" t="s">
        <v>13</v>
      </c>
      <c r="D47" s="27" t="s">
        <v>15</v>
      </c>
      <c r="E47" s="27" t="s">
        <v>30</v>
      </c>
      <c r="F47" s="29" t="s">
        <v>66</v>
      </c>
      <c r="G47" s="30"/>
      <c r="H47" s="25">
        <f t="shared" si="4"/>
        <v>307.89999999999998</v>
      </c>
      <c r="I47" s="25">
        <f t="shared" si="4"/>
        <v>308.10000000000002</v>
      </c>
      <c r="J47" s="25">
        <f t="shared" si="4"/>
        <v>306.7</v>
      </c>
    </row>
    <row r="48" spans="2:11" s="22" customFormat="1" ht="50.25" customHeight="1">
      <c r="B48" s="49" t="s">
        <v>67</v>
      </c>
      <c r="C48" s="27" t="s">
        <v>13</v>
      </c>
      <c r="D48" s="27" t="s">
        <v>15</v>
      </c>
      <c r="E48" s="27" t="s">
        <v>30</v>
      </c>
      <c r="F48" s="29" t="s">
        <v>68</v>
      </c>
      <c r="G48" s="27"/>
      <c r="H48" s="25">
        <f>H49+H50</f>
        <v>307.89999999999998</v>
      </c>
      <c r="I48" s="25">
        <f>I49+I50</f>
        <v>308.10000000000002</v>
      </c>
      <c r="J48" s="25">
        <f>J49+J50</f>
        <v>306.7</v>
      </c>
    </row>
    <row r="49" spans="2:11" s="22" customFormat="1" ht="26.25" customHeight="1">
      <c r="B49" s="38" t="s">
        <v>26</v>
      </c>
      <c r="C49" s="27" t="s">
        <v>13</v>
      </c>
      <c r="D49" s="27" t="s">
        <v>15</v>
      </c>
      <c r="E49" s="27" t="s">
        <v>30</v>
      </c>
      <c r="F49" s="29" t="s">
        <v>68</v>
      </c>
      <c r="G49" s="27" t="s">
        <v>27</v>
      </c>
      <c r="H49" s="25">
        <v>252.5</v>
      </c>
      <c r="I49" s="25">
        <v>252.6</v>
      </c>
      <c r="J49" s="25">
        <v>251.5</v>
      </c>
      <c r="K49"/>
    </row>
    <row r="50" spans="2:11" s="22" customFormat="1" ht="26.25" customHeight="1">
      <c r="B50" s="38" t="s">
        <v>39</v>
      </c>
      <c r="C50" s="27" t="s">
        <v>13</v>
      </c>
      <c r="D50" s="27" t="s">
        <v>15</v>
      </c>
      <c r="E50" s="27" t="s">
        <v>30</v>
      </c>
      <c r="F50" s="29" t="s">
        <v>68</v>
      </c>
      <c r="G50" s="27" t="s">
        <v>40</v>
      </c>
      <c r="H50" s="25">
        <v>55.4</v>
      </c>
      <c r="I50" s="25">
        <v>55.5</v>
      </c>
      <c r="J50" s="25">
        <v>55.2</v>
      </c>
    </row>
    <row r="51" spans="2:11" s="22" customFormat="1" ht="26.25" customHeight="1">
      <c r="B51" s="50" t="s">
        <v>69</v>
      </c>
      <c r="C51" s="27" t="s">
        <v>13</v>
      </c>
      <c r="D51" s="27" t="s">
        <v>15</v>
      </c>
      <c r="E51" s="27" t="s">
        <v>30</v>
      </c>
      <c r="F51" s="36" t="s">
        <v>70</v>
      </c>
      <c r="G51" s="30"/>
      <c r="H51" s="25">
        <f>H52+H55</f>
        <v>1154.0999999999999</v>
      </c>
      <c r="I51" s="25">
        <f>I52+I55</f>
        <v>1300</v>
      </c>
      <c r="J51" s="25">
        <f>J52+J55</f>
        <v>1300</v>
      </c>
    </row>
    <row r="52" spans="2:11" s="22" customFormat="1" ht="39" customHeight="1">
      <c r="B52" s="38" t="s">
        <v>71</v>
      </c>
      <c r="C52" s="27" t="s">
        <v>13</v>
      </c>
      <c r="D52" s="27" t="s">
        <v>15</v>
      </c>
      <c r="E52" s="27" t="s">
        <v>30</v>
      </c>
      <c r="F52" s="29" t="s">
        <v>72</v>
      </c>
      <c r="G52" s="30"/>
      <c r="H52" s="25">
        <f t="shared" ref="H52:J53" si="5">H53</f>
        <v>353</v>
      </c>
      <c r="I52" s="25">
        <f t="shared" si="5"/>
        <v>500</v>
      </c>
      <c r="J52" s="25">
        <f t="shared" si="5"/>
        <v>500</v>
      </c>
    </row>
    <row r="53" spans="2:11" s="22" customFormat="1" ht="18" customHeight="1">
      <c r="B53" s="38" t="s">
        <v>73</v>
      </c>
      <c r="C53" s="27" t="s">
        <v>13</v>
      </c>
      <c r="D53" s="27" t="s">
        <v>15</v>
      </c>
      <c r="E53" s="27" t="s">
        <v>30</v>
      </c>
      <c r="F53" s="29" t="s">
        <v>74</v>
      </c>
      <c r="G53" s="30"/>
      <c r="H53" s="25">
        <f t="shared" si="5"/>
        <v>353</v>
      </c>
      <c r="I53" s="25">
        <f t="shared" si="5"/>
        <v>500</v>
      </c>
      <c r="J53" s="25">
        <f t="shared" si="5"/>
        <v>500</v>
      </c>
    </row>
    <row r="54" spans="2:11" s="22" customFormat="1" ht="26.25" customHeight="1">
      <c r="B54" s="38" t="s">
        <v>39</v>
      </c>
      <c r="C54" s="27" t="s">
        <v>13</v>
      </c>
      <c r="D54" s="27" t="s">
        <v>15</v>
      </c>
      <c r="E54" s="27" t="s">
        <v>30</v>
      </c>
      <c r="F54" s="29" t="s">
        <v>74</v>
      </c>
      <c r="G54" s="30" t="s">
        <v>40</v>
      </c>
      <c r="H54" s="25">
        <f>813-460</f>
        <v>353</v>
      </c>
      <c r="I54" s="25">
        <v>500</v>
      </c>
      <c r="J54" s="25">
        <v>500</v>
      </c>
    </row>
    <row r="55" spans="2:11" s="22" customFormat="1" ht="25.5" customHeight="1">
      <c r="B55" s="38" t="s">
        <v>75</v>
      </c>
      <c r="C55" s="27" t="s">
        <v>13</v>
      </c>
      <c r="D55" s="27" t="s">
        <v>15</v>
      </c>
      <c r="E55" s="27" t="s">
        <v>30</v>
      </c>
      <c r="F55" s="29" t="s">
        <v>76</v>
      </c>
      <c r="G55" s="30"/>
      <c r="H55" s="25">
        <f t="shared" ref="H55:J56" si="6">H56</f>
        <v>801.09999999999991</v>
      </c>
      <c r="I55" s="25">
        <f t="shared" si="6"/>
        <v>800</v>
      </c>
      <c r="J55" s="25">
        <f t="shared" si="6"/>
        <v>800</v>
      </c>
    </row>
    <row r="56" spans="2:11" s="22" customFormat="1" ht="36" customHeight="1">
      <c r="B56" s="51" t="s">
        <v>77</v>
      </c>
      <c r="C56" s="27" t="s">
        <v>13</v>
      </c>
      <c r="D56" s="27" t="s">
        <v>15</v>
      </c>
      <c r="E56" s="27" t="s">
        <v>30</v>
      </c>
      <c r="F56" s="29" t="s">
        <v>78</v>
      </c>
      <c r="G56" s="30"/>
      <c r="H56" s="25">
        <f t="shared" si="6"/>
        <v>801.09999999999991</v>
      </c>
      <c r="I56" s="25">
        <f t="shared" si="6"/>
        <v>800</v>
      </c>
      <c r="J56" s="25">
        <f t="shared" si="6"/>
        <v>800</v>
      </c>
    </row>
    <row r="57" spans="2:11" s="22" customFormat="1" ht="26.25" customHeight="1">
      <c r="B57" s="38" t="s">
        <v>39</v>
      </c>
      <c r="C57" s="27" t="s">
        <v>13</v>
      </c>
      <c r="D57" s="27" t="s">
        <v>15</v>
      </c>
      <c r="E57" s="27" t="s">
        <v>30</v>
      </c>
      <c r="F57" s="29" t="s">
        <v>78</v>
      </c>
      <c r="G57" s="30" t="s">
        <v>40</v>
      </c>
      <c r="H57" s="25">
        <f>2301.1-1500</f>
        <v>801.09999999999991</v>
      </c>
      <c r="I57" s="25">
        <v>800</v>
      </c>
      <c r="J57" s="25">
        <v>800</v>
      </c>
    </row>
    <row r="58" spans="2:11" s="22" customFormat="1" ht="13.5" customHeight="1">
      <c r="B58" s="52" t="s">
        <v>79</v>
      </c>
      <c r="C58" s="20" t="s">
        <v>13</v>
      </c>
      <c r="D58" s="20" t="s">
        <v>15</v>
      </c>
      <c r="E58" s="20" t="s">
        <v>80</v>
      </c>
      <c r="F58" s="20"/>
      <c r="G58" s="20"/>
      <c r="H58" s="25">
        <f t="shared" ref="H58:J60" si="7">H59</f>
        <v>1.7</v>
      </c>
      <c r="I58" s="25">
        <f t="shared" si="7"/>
        <v>1.8</v>
      </c>
      <c r="J58" s="25">
        <f t="shared" si="7"/>
        <v>11.7</v>
      </c>
    </row>
    <row r="59" spans="2:11" s="22" customFormat="1" ht="13.5" customHeight="1">
      <c r="B59" s="26" t="s">
        <v>81</v>
      </c>
      <c r="C59" s="27" t="s">
        <v>13</v>
      </c>
      <c r="D59" s="27" t="s">
        <v>15</v>
      </c>
      <c r="E59" s="27" t="s">
        <v>80</v>
      </c>
      <c r="F59" s="27" t="s">
        <v>82</v>
      </c>
      <c r="G59" s="27"/>
      <c r="H59" s="25">
        <f t="shared" si="7"/>
        <v>1.7</v>
      </c>
      <c r="I59" s="25">
        <f t="shared" si="7"/>
        <v>1.8</v>
      </c>
      <c r="J59" s="25">
        <f t="shared" si="7"/>
        <v>11.7</v>
      </c>
    </row>
    <row r="60" spans="2:11" s="22" customFormat="1" ht="38.25" customHeight="1">
      <c r="B60" s="26" t="s">
        <v>83</v>
      </c>
      <c r="C60" s="27" t="s">
        <v>13</v>
      </c>
      <c r="D60" s="27" t="s">
        <v>15</v>
      </c>
      <c r="E60" s="27" t="s">
        <v>80</v>
      </c>
      <c r="F60" s="27" t="s">
        <v>84</v>
      </c>
      <c r="G60" s="27"/>
      <c r="H60" s="25">
        <f t="shared" si="7"/>
        <v>1.7</v>
      </c>
      <c r="I60" s="25">
        <f t="shared" si="7"/>
        <v>1.8</v>
      </c>
      <c r="J60" s="25">
        <f t="shared" si="7"/>
        <v>11.7</v>
      </c>
    </row>
    <row r="61" spans="2:11" s="22" customFormat="1" ht="24.75" customHeight="1">
      <c r="B61" s="26" t="s">
        <v>39</v>
      </c>
      <c r="C61" s="27" t="s">
        <v>13</v>
      </c>
      <c r="D61" s="27" t="s">
        <v>15</v>
      </c>
      <c r="E61" s="27" t="s">
        <v>80</v>
      </c>
      <c r="F61" s="27" t="s">
        <v>84</v>
      </c>
      <c r="G61" s="27" t="s">
        <v>40</v>
      </c>
      <c r="H61" s="25">
        <v>1.7</v>
      </c>
      <c r="I61" s="25">
        <v>1.8</v>
      </c>
      <c r="J61" s="25">
        <v>11.7</v>
      </c>
    </row>
    <row r="62" spans="2:11" s="22" customFormat="1">
      <c r="B62" s="19" t="s">
        <v>85</v>
      </c>
      <c r="C62" s="20" t="s">
        <v>13</v>
      </c>
      <c r="D62" s="20" t="s">
        <v>15</v>
      </c>
      <c r="E62" s="20" t="s">
        <v>86</v>
      </c>
      <c r="F62" s="20"/>
      <c r="G62" s="20"/>
      <c r="H62" s="25">
        <f t="shared" ref="H62:J64" si="8">H63</f>
        <v>610</v>
      </c>
      <c r="I62" s="25">
        <f t="shared" si="8"/>
        <v>500</v>
      </c>
      <c r="J62" s="25">
        <f t="shared" si="8"/>
        <v>500</v>
      </c>
    </row>
    <row r="63" spans="2:11" s="22" customFormat="1">
      <c r="B63" s="26" t="s">
        <v>85</v>
      </c>
      <c r="C63" s="27" t="s">
        <v>13</v>
      </c>
      <c r="D63" s="27" t="s">
        <v>15</v>
      </c>
      <c r="E63" s="27" t="s">
        <v>86</v>
      </c>
      <c r="F63" s="27" t="s">
        <v>87</v>
      </c>
      <c r="G63" s="20"/>
      <c r="H63" s="25">
        <f t="shared" si="8"/>
        <v>610</v>
      </c>
      <c r="I63" s="25">
        <f t="shared" si="8"/>
        <v>500</v>
      </c>
      <c r="J63" s="25">
        <f t="shared" si="8"/>
        <v>500</v>
      </c>
    </row>
    <row r="64" spans="2:11" s="22" customFormat="1">
      <c r="B64" s="26" t="s">
        <v>88</v>
      </c>
      <c r="C64" s="27" t="s">
        <v>13</v>
      </c>
      <c r="D64" s="27" t="s">
        <v>15</v>
      </c>
      <c r="E64" s="27" t="s">
        <v>86</v>
      </c>
      <c r="F64" s="27" t="s">
        <v>89</v>
      </c>
      <c r="G64" s="27"/>
      <c r="H64" s="25">
        <f t="shared" si="8"/>
        <v>610</v>
      </c>
      <c r="I64" s="25">
        <f t="shared" si="8"/>
        <v>500</v>
      </c>
      <c r="J64" s="25">
        <f t="shared" si="8"/>
        <v>500</v>
      </c>
    </row>
    <row r="65" spans="2:11" s="22" customFormat="1">
      <c r="B65" s="26" t="s">
        <v>90</v>
      </c>
      <c r="C65" s="27" t="s">
        <v>13</v>
      </c>
      <c r="D65" s="27" t="s">
        <v>15</v>
      </c>
      <c r="E65" s="27" t="s">
        <v>86</v>
      </c>
      <c r="F65" s="27" t="s">
        <v>89</v>
      </c>
      <c r="G65" s="27" t="s">
        <v>91</v>
      </c>
      <c r="H65" s="25">
        <f>1000-390</f>
        <v>610</v>
      </c>
      <c r="I65" s="25">
        <v>500</v>
      </c>
      <c r="J65" s="25">
        <v>500</v>
      </c>
    </row>
    <row r="66" spans="2:11" s="22" customFormat="1" ht="12.75" customHeight="1">
      <c r="B66" s="19" t="s">
        <v>92</v>
      </c>
      <c r="C66" s="20" t="s">
        <v>13</v>
      </c>
      <c r="D66" s="20" t="s">
        <v>15</v>
      </c>
      <c r="E66" s="20" t="s">
        <v>93</v>
      </c>
      <c r="F66" s="20"/>
      <c r="G66" s="20"/>
      <c r="H66" s="25">
        <f>H71+H88+H96+H125+H76+H137+H67+H132</f>
        <v>5013.8</v>
      </c>
      <c r="I66" s="25">
        <f>I71+I88+I96+I125+I76+I137+I67+I132</f>
        <v>3683.4999999999995</v>
      </c>
      <c r="J66" s="25">
        <f>J71+J88+J96+J125+J76+J137+J67+J132</f>
        <v>3683.4999999999995</v>
      </c>
    </row>
    <row r="67" spans="2:11" s="22" customFormat="1" ht="12.75" hidden="1" customHeight="1">
      <c r="B67" s="43" t="s">
        <v>85</v>
      </c>
      <c r="C67" s="27" t="s">
        <v>13</v>
      </c>
      <c r="D67" s="27" t="s">
        <v>15</v>
      </c>
      <c r="E67" s="27" t="s">
        <v>93</v>
      </c>
      <c r="F67" s="27" t="s">
        <v>87</v>
      </c>
      <c r="G67" s="53"/>
      <c r="H67" s="25">
        <f>H68</f>
        <v>0</v>
      </c>
      <c r="I67" s="25">
        <f>I68</f>
        <v>0</v>
      </c>
      <c r="J67" s="25">
        <f>J68</f>
        <v>0</v>
      </c>
    </row>
    <row r="68" spans="2:11" s="22" customFormat="1" ht="12.75" hidden="1" customHeight="1">
      <c r="B68" s="43" t="s">
        <v>88</v>
      </c>
      <c r="C68" s="27" t="s">
        <v>13</v>
      </c>
      <c r="D68" s="27" t="s">
        <v>15</v>
      </c>
      <c r="E68" s="27" t="s">
        <v>93</v>
      </c>
      <c r="F68" s="27" t="s">
        <v>89</v>
      </c>
      <c r="G68" s="53"/>
      <c r="H68" s="25">
        <f>H69+H70</f>
        <v>0</v>
      </c>
      <c r="I68" s="25">
        <f>I69+I70</f>
        <v>0</v>
      </c>
      <c r="J68" s="25">
        <f>J69+J70</f>
        <v>0</v>
      </c>
    </row>
    <row r="69" spans="2:11" s="22" customFormat="1" ht="12.75" hidden="1" customHeight="1">
      <c r="B69" s="43" t="s">
        <v>90</v>
      </c>
      <c r="C69" s="27" t="s">
        <v>13</v>
      </c>
      <c r="D69" s="27" t="s">
        <v>15</v>
      </c>
      <c r="E69" s="27" t="s">
        <v>93</v>
      </c>
      <c r="F69" s="27" t="s">
        <v>89</v>
      </c>
      <c r="G69" s="30" t="s">
        <v>40</v>
      </c>
      <c r="H69" s="25">
        <v>0</v>
      </c>
      <c r="I69" s="25">
        <v>0</v>
      </c>
      <c r="J69" s="25">
        <v>0</v>
      </c>
    </row>
    <row r="70" spans="2:11" s="22" customFormat="1" ht="12.75" hidden="1" customHeight="1">
      <c r="B70" s="43" t="s">
        <v>94</v>
      </c>
      <c r="C70" s="27" t="s">
        <v>13</v>
      </c>
      <c r="D70" s="27" t="s">
        <v>15</v>
      </c>
      <c r="E70" s="27" t="s">
        <v>93</v>
      </c>
      <c r="F70" s="27" t="s">
        <v>89</v>
      </c>
      <c r="G70" s="30" t="s">
        <v>95</v>
      </c>
      <c r="H70" s="25"/>
      <c r="I70" s="25"/>
      <c r="J70" s="25"/>
    </row>
    <row r="71" spans="2:11" s="22" customFormat="1" ht="27.75" customHeight="1">
      <c r="B71" s="54" t="s">
        <v>96</v>
      </c>
      <c r="C71" s="27" t="s">
        <v>13</v>
      </c>
      <c r="D71" s="27" t="s">
        <v>15</v>
      </c>
      <c r="E71" s="27" t="s">
        <v>93</v>
      </c>
      <c r="F71" s="30" t="s">
        <v>97</v>
      </c>
      <c r="G71" s="27"/>
      <c r="H71" s="25">
        <f>H74+H72</f>
        <v>620</v>
      </c>
      <c r="I71" s="25">
        <f>I74+I72</f>
        <v>0</v>
      </c>
      <c r="J71" s="25">
        <f>J74+J72</f>
        <v>0</v>
      </c>
    </row>
    <row r="72" spans="2:11" s="22" customFormat="1" ht="26.25" hidden="1" customHeight="1">
      <c r="B72" s="32" t="s">
        <v>98</v>
      </c>
      <c r="C72" s="27" t="s">
        <v>13</v>
      </c>
      <c r="D72" s="27" t="s">
        <v>15</v>
      </c>
      <c r="E72" s="27" t="s">
        <v>93</v>
      </c>
      <c r="F72" s="27" t="s">
        <v>99</v>
      </c>
      <c r="G72" s="27"/>
      <c r="H72" s="25">
        <f>H73</f>
        <v>0</v>
      </c>
      <c r="I72" s="25">
        <f>I73</f>
        <v>0</v>
      </c>
      <c r="J72" s="25">
        <f>J73</f>
        <v>0</v>
      </c>
    </row>
    <row r="73" spans="2:11" s="22" customFormat="1" ht="26.25" hidden="1" customHeight="1">
      <c r="B73" s="26" t="s">
        <v>100</v>
      </c>
      <c r="C73" s="27" t="s">
        <v>13</v>
      </c>
      <c r="D73" s="27" t="s">
        <v>15</v>
      </c>
      <c r="E73" s="27" t="s">
        <v>93</v>
      </c>
      <c r="F73" s="27" t="s">
        <v>99</v>
      </c>
      <c r="G73" s="27" t="s">
        <v>40</v>
      </c>
      <c r="H73" s="25">
        <v>0</v>
      </c>
      <c r="I73" s="25">
        <v>0</v>
      </c>
      <c r="J73" s="25">
        <v>0</v>
      </c>
    </row>
    <row r="74" spans="2:11" s="22" customFormat="1" ht="25.5" customHeight="1">
      <c r="B74" s="55" t="s">
        <v>101</v>
      </c>
      <c r="C74" s="27" t="s">
        <v>13</v>
      </c>
      <c r="D74" s="27" t="s">
        <v>15</v>
      </c>
      <c r="E74" s="27" t="s">
        <v>93</v>
      </c>
      <c r="F74" s="27" t="s">
        <v>102</v>
      </c>
      <c r="G74" s="27"/>
      <c r="H74" s="25">
        <f>H75</f>
        <v>620</v>
      </c>
      <c r="I74" s="25">
        <f>I75</f>
        <v>0</v>
      </c>
      <c r="J74" s="25">
        <f>J75</f>
        <v>0</v>
      </c>
    </row>
    <row r="75" spans="2:11" s="22" customFormat="1" ht="27" customHeight="1">
      <c r="B75" s="56" t="s">
        <v>39</v>
      </c>
      <c r="C75" s="27" t="s">
        <v>13</v>
      </c>
      <c r="D75" s="27" t="s">
        <v>15</v>
      </c>
      <c r="E75" s="27" t="s">
        <v>93</v>
      </c>
      <c r="F75" s="27" t="s">
        <v>102</v>
      </c>
      <c r="G75" s="27" t="s">
        <v>40</v>
      </c>
      <c r="H75" s="25">
        <f>500+120</f>
        <v>620</v>
      </c>
      <c r="I75" s="25">
        <v>0</v>
      </c>
      <c r="J75" s="25">
        <v>0</v>
      </c>
    </row>
    <row r="76" spans="2:11" s="22" customFormat="1" ht="36.75" customHeight="1">
      <c r="B76" s="57" t="s">
        <v>31</v>
      </c>
      <c r="C76" s="27" t="s">
        <v>13</v>
      </c>
      <c r="D76" s="27" t="s">
        <v>15</v>
      </c>
      <c r="E76" s="27" t="s">
        <v>93</v>
      </c>
      <c r="F76" s="29" t="s">
        <v>32</v>
      </c>
      <c r="G76" s="27"/>
      <c r="H76" s="25">
        <f>H81+H77</f>
        <v>96.6</v>
      </c>
      <c r="I76" s="25">
        <f>I81+I77</f>
        <v>396.6</v>
      </c>
      <c r="J76" s="25">
        <f>J81+J77</f>
        <v>396.6</v>
      </c>
    </row>
    <row r="77" spans="2:11" s="22" customFormat="1" ht="26.25" customHeight="1">
      <c r="B77" s="33" t="s">
        <v>33</v>
      </c>
      <c r="C77" s="27" t="s">
        <v>13</v>
      </c>
      <c r="D77" s="27" t="s">
        <v>15</v>
      </c>
      <c r="E77" s="27" t="s">
        <v>93</v>
      </c>
      <c r="F77" s="27" t="s">
        <v>34</v>
      </c>
      <c r="G77" s="27"/>
      <c r="H77" s="25">
        <f t="shared" ref="H77:J79" si="9">H78</f>
        <v>96.6</v>
      </c>
      <c r="I77" s="25">
        <f t="shared" si="9"/>
        <v>96.6</v>
      </c>
      <c r="J77" s="25">
        <f t="shared" si="9"/>
        <v>96.6</v>
      </c>
    </row>
    <row r="78" spans="2:11" s="22" customFormat="1" ht="39" customHeight="1">
      <c r="B78" s="58" t="s">
        <v>103</v>
      </c>
      <c r="C78" s="27" t="s">
        <v>13</v>
      </c>
      <c r="D78" s="27" t="s">
        <v>15</v>
      </c>
      <c r="E78" s="27" t="s">
        <v>93</v>
      </c>
      <c r="F78" s="27" t="s">
        <v>104</v>
      </c>
      <c r="G78" s="27"/>
      <c r="H78" s="25">
        <f t="shared" si="9"/>
        <v>96.6</v>
      </c>
      <c r="I78" s="25">
        <f t="shared" si="9"/>
        <v>96.6</v>
      </c>
      <c r="J78" s="25">
        <f t="shared" si="9"/>
        <v>96.6</v>
      </c>
    </row>
    <row r="79" spans="2:11" s="22" customFormat="1" ht="25.5" customHeight="1">
      <c r="B79" s="55" t="s">
        <v>105</v>
      </c>
      <c r="C79" s="27" t="s">
        <v>13</v>
      </c>
      <c r="D79" s="27" t="s">
        <v>15</v>
      </c>
      <c r="E79" s="27" t="s">
        <v>93</v>
      </c>
      <c r="F79" s="27" t="s">
        <v>106</v>
      </c>
      <c r="G79" s="27"/>
      <c r="H79" s="25">
        <f t="shared" si="9"/>
        <v>96.6</v>
      </c>
      <c r="I79" s="25">
        <f t="shared" si="9"/>
        <v>96.6</v>
      </c>
      <c r="J79" s="25">
        <f t="shared" si="9"/>
        <v>96.6</v>
      </c>
    </row>
    <row r="80" spans="2:11" s="22" customFormat="1" ht="15" customHeight="1">
      <c r="B80" s="38" t="s">
        <v>107</v>
      </c>
      <c r="C80" s="27" t="s">
        <v>13</v>
      </c>
      <c r="D80" s="27" t="s">
        <v>15</v>
      </c>
      <c r="E80" s="27" t="s">
        <v>93</v>
      </c>
      <c r="F80" s="27" t="s">
        <v>106</v>
      </c>
      <c r="G80" s="27" t="s">
        <v>108</v>
      </c>
      <c r="H80" s="25">
        <v>96.6</v>
      </c>
      <c r="I80" s="25">
        <v>96.6</v>
      </c>
      <c r="J80" s="25">
        <v>96.6</v>
      </c>
      <c r="K80"/>
    </row>
    <row r="81" spans="2:11" s="22" customFormat="1" ht="37.5" customHeight="1">
      <c r="B81" s="57" t="s">
        <v>109</v>
      </c>
      <c r="C81" s="27" t="s">
        <v>13</v>
      </c>
      <c r="D81" s="27" t="s">
        <v>15</v>
      </c>
      <c r="E81" s="27" t="s">
        <v>93</v>
      </c>
      <c r="F81" s="29" t="s">
        <v>110</v>
      </c>
      <c r="G81" s="27"/>
      <c r="H81" s="25">
        <f>H82+H85</f>
        <v>0</v>
      </c>
      <c r="I81" s="25">
        <f>I82+I85</f>
        <v>300</v>
      </c>
      <c r="J81" s="25">
        <f>J82+J85</f>
        <v>300</v>
      </c>
    </row>
    <row r="82" spans="2:11" s="22" customFormat="1" ht="25.5" customHeight="1">
      <c r="B82" s="47" t="s">
        <v>111</v>
      </c>
      <c r="C82" s="27" t="s">
        <v>13</v>
      </c>
      <c r="D82" s="27" t="s">
        <v>15</v>
      </c>
      <c r="E82" s="27" t="s">
        <v>93</v>
      </c>
      <c r="F82" s="36" t="s">
        <v>112</v>
      </c>
      <c r="G82" s="27"/>
      <c r="H82" s="25">
        <f t="shared" ref="H82:J83" si="10">H83</f>
        <v>0</v>
      </c>
      <c r="I82" s="25">
        <f t="shared" si="10"/>
        <v>300</v>
      </c>
      <c r="J82" s="25">
        <f t="shared" si="10"/>
        <v>300</v>
      </c>
    </row>
    <row r="83" spans="2:11" s="22" customFormat="1" ht="27" customHeight="1">
      <c r="B83" s="47" t="s">
        <v>113</v>
      </c>
      <c r="C83" s="27" t="s">
        <v>13</v>
      </c>
      <c r="D83" s="27" t="s">
        <v>15</v>
      </c>
      <c r="E83" s="27" t="s">
        <v>93</v>
      </c>
      <c r="F83" s="36" t="s">
        <v>114</v>
      </c>
      <c r="G83" s="27"/>
      <c r="H83" s="25">
        <f t="shared" si="10"/>
        <v>0</v>
      </c>
      <c r="I83" s="25">
        <f t="shared" si="10"/>
        <v>300</v>
      </c>
      <c r="J83" s="25">
        <f t="shared" si="10"/>
        <v>300</v>
      </c>
    </row>
    <row r="84" spans="2:11" s="22" customFormat="1" ht="40.5" customHeight="1">
      <c r="B84" s="38" t="s">
        <v>115</v>
      </c>
      <c r="C84" s="27" t="s">
        <v>13</v>
      </c>
      <c r="D84" s="27" t="s">
        <v>15</v>
      </c>
      <c r="E84" s="27" t="s">
        <v>93</v>
      </c>
      <c r="F84" s="36" t="s">
        <v>114</v>
      </c>
      <c r="G84" s="27" t="s">
        <v>116</v>
      </c>
      <c r="H84" s="25">
        <f>300-300</f>
        <v>0</v>
      </c>
      <c r="I84" s="59">
        <v>300</v>
      </c>
      <c r="J84" s="59">
        <v>300</v>
      </c>
      <c r="K84"/>
    </row>
    <row r="85" spans="2:11" s="22" customFormat="1" ht="39.75" hidden="1" customHeight="1">
      <c r="B85" s="47" t="s">
        <v>117</v>
      </c>
      <c r="C85" s="27" t="s">
        <v>13</v>
      </c>
      <c r="D85" s="27" t="s">
        <v>15</v>
      </c>
      <c r="E85" s="27" t="s">
        <v>93</v>
      </c>
      <c r="F85" s="36" t="s">
        <v>118</v>
      </c>
      <c r="G85" s="27"/>
      <c r="H85" s="25">
        <f t="shared" ref="H85:J86" si="11">H86</f>
        <v>0</v>
      </c>
      <c r="I85" s="25">
        <f t="shared" si="11"/>
        <v>0</v>
      </c>
      <c r="J85" s="25">
        <f t="shared" si="11"/>
        <v>0</v>
      </c>
    </row>
    <row r="86" spans="2:11" s="22" customFormat="1" ht="27" hidden="1" customHeight="1">
      <c r="B86" s="47" t="s">
        <v>113</v>
      </c>
      <c r="C86" s="27" t="s">
        <v>13</v>
      </c>
      <c r="D86" s="27" t="s">
        <v>15</v>
      </c>
      <c r="E86" s="27" t="s">
        <v>93</v>
      </c>
      <c r="F86" s="36" t="s">
        <v>119</v>
      </c>
      <c r="G86" s="27"/>
      <c r="H86" s="25">
        <f t="shared" si="11"/>
        <v>0</v>
      </c>
      <c r="I86" s="25">
        <f t="shared" si="11"/>
        <v>0</v>
      </c>
      <c r="J86" s="25">
        <f t="shared" si="11"/>
        <v>0</v>
      </c>
    </row>
    <row r="87" spans="2:11" s="22" customFormat="1" ht="42.75" hidden="1" customHeight="1">
      <c r="B87" s="38" t="s">
        <v>120</v>
      </c>
      <c r="C87" s="27" t="s">
        <v>13</v>
      </c>
      <c r="D87" s="27" t="s">
        <v>15</v>
      </c>
      <c r="E87" s="27" t="s">
        <v>93</v>
      </c>
      <c r="F87" s="36" t="s">
        <v>119</v>
      </c>
      <c r="G87" s="27" t="s">
        <v>116</v>
      </c>
      <c r="H87" s="25">
        <v>0</v>
      </c>
      <c r="I87" s="59">
        <v>0</v>
      </c>
      <c r="J87" s="59">
        <v>0</v>
      </c>
    </row>
    <row r="88" spans="2:11" s="60" customFormat="1" ht="13.5" customHeight="1">
      <c r="B88" s="38" t="s">
        <v>121</v>
      </c>
      <c r="C88" s="27" t="s">
        <v>13</v>
      </c>
      <c r="D88" s="27" t="s">
        <v>15</v>
      </c>
      <c r="E88" s="27" t="s">
        <v>93</v>
      </c>
      <c r="F88" s="29" t="s">
        <v>122</v>
      </c>
      <c r="G88" s="27"/>
      <c r="H88" s="25">
        <f>H89+H93</f>
        <v>10</v>
      </c>
      <c r="I88" s="25">
        <f>I89+I93</f>
        <v>80</v>
      </c>
      <c r="J88" s="25">
        <f>J89+J93</f>
        <v>80</v>
      </c>
    </row>
    <row r="89" spans="2:11" s="60" customFormat="1" ht="24.75" customHeight="1">
      <c r="B89" s="26" t="s">
        <v>123</v>
      </c>
      <c r="C89" s="27" t="s">
        <v>13</v>
      </c>
      <c r="D89" s="27" t="s">
        <v>15</v>
      </c>
      <c r="E89" s="27" t="s">
        <v>93</v>
      </c>
      <c r="F89" s="29" t="s">
        <v>124</v>
      </c>
      <c r="G89" s="27"/>
      <c r="H89" s="25">
        <f>H90</f>
        <v>10</v>
      </c>
      <c r="I89" s="25">
        <f>I90</f>
        <v>50</v>
      </c>
      <c r="J89" s="25">
        <f>J90</f>
        <v>50</v>
      </c>
    </row>
    <row r="90" spans="2:11" s="60" customFormat="1" ht="24.75" customHeight="1">
      <c r="B90" s="26" t="s">
        <v>125</v>
      </c>
      <c r="C90" s="27" t="s">
        <v>13</v>
      </c>
      <c r="D90" s="27" t="s">
        <v>15</v>
      </c>
      <c r="E90" s="27" t="s">
        <v>93</v>
      </c>
      <c r="F90" s="29" t="s">
        <v>126</v>
      </c>
      <c r="G90" s="27"/>
      <c r="H90" s="25">
        <f>H91+H92</f>
        <v>10</v>
      </c>
      <c r="I90" s="25">
        <f>I91+I92</f>
        <v>50</v>
      </c>
      <c r="J90" s="25">
        <f>J91+J92</f>
        <v>50</v>
      </c>
    </row>
    <row r="91" spans="2:11" s="60" customFormat="1" ht="24.75" customHeight="1">
      <c r="B91" s="38" t="s">
        <v>39</v>
      </c>
      <c r="C91" s="27" t="s">
        <v>13</v>
      </c>
      <c r="D91" s="27" t="s">
        <v>15</v>
      </c>
      <c r="E91" s="27" t="s">
        <v>93</v>
      </c>
      <c r="F91" s="29" t="s">
        <v>126</v>
      </c>
      <c r="G91" s="27" t="s">
        <v>40</v>
      </c>
      <c r="H91" s="25">
        <v>10</v>
      </c>
      <c r="I91" s="25">
        <v>0</v>
      </c>
      <c r="J91" s="25">
        <v>0</v>
      </c>
      <c r="K91"/>
    </row>
    <row r="92" spans="2:11" s="60" customFormat="1" ht="16.5" customHeight="1">
      <c r="B92" s="61" t="s">
        <v>127</v>
      </c>
      <c r="C92" s="27" t="s">
        <v>13</v>
      </c>
      <c r="D92" s="27" t="s">
        <v>15</v>
      </c>
      <c r="E92" s="27" t="s">
        <v>93</v>
      </c>
      <c r="F92" s="29" t="s">
        <v>126</v>
      </c>
      <c r="G92" s="27" t="s">
        <v>128</v>
      </c>
      <c r="H92" s="25">
        <v>0</v>
      </c>
      <c r="I92" s="25">
        <v>50</v>
      </c>
      <c r="J92" s="25">
        <v>50</v>
      </c>
    </row>
    <row r="93" spans="2:11" s="60" customFormat="1" ht="24.75" customHeight="1">
      <c r="B93" s="26" t="s">
        <v>129</v>
      </c>
      <c r="C93" s="27" t="s">
        <v>13</v>
      </c>
      <c r="D93" s="27" t="s">
        <v>15</v>
      </c>
      <c r="E93" s="27" t="s">
        <v>93</v>
      </c>
      <c r="F93" s="29" t="s">
        <v>130</v>
      </c>
      <c r="G93" s="27"/>
      <c r="H93" s="25">
        <f t="shared" ref="H93:J94" si="12">H94</f>
        <v>0</v>
      </c>
      <c r="I93" s="25">
        <f t="shared" si="12"/>
        <v>30</v>
      </c>
      <c r="J93" s="25">
        <f t="shared" si="12"/>
        <v>30</v>
      </c>
    </row>
    <row r="94" spans="2:11" s="60" customFormat="1" ht="24.75" customHeight="1">
      <c r="B94" s="62" t="s">
        <v>131</v>
      </c>
      <c r="C94" s="27" t="s">
        <v>13</v>
      </c>
      <c r="D94" s="27" t="s">
        <v>15</v>
      </c>
      <c r="E94" s="27" t="s">
        <v>93</v>
      </c>
      <c r="F94" s="29" t="s">
        <v>132</v>
      </c>
      <c r="G94" s="27"/>
      <c r="H94" s="25">
        <f t="shared" si="12"/>
        <v>0</v>
      </c>
      <c r="I94" s="25">
        <f t="shared" si="12"/>
        <v>30</v>
      </c>
      <c r="J94" s="25">
        <f t="shared" si="12"/>
        <v>30</v>
      </c>
    </row>
    <row r="95" spans="2:11" s="60" customFormat="1" ht="13.5" customHeight="1">
      <c r="B95" s="61" t="s">
        <v>127</v>
      </c>
      <c r="C95" s="27" t="s">
        <v>13</v>
      </c>
      <c r="D95" s="27" t="s">
        <v>15</v>
      </c>
      <c r="E95" s="27" t="s">
        <v>93</v>
      </c>
      <c r="F95" s="29" t="s">
        <v>132</v>
      </c>
      <c r="G95" s="27" t="s">
        <v>128</v>
      </c>
      <c r="H95" s="25">
        <v>0</v>
      </c>
      <c r="I95" s="25">
        <v>30</v>
      </c>
      <c r="J95" s="25">
        <v>30</v>
      </c>
    </row>
    <row r="96" spans="2:11" s="60" customFormat="1" ht="27" customHeight="1">
      <c r="B96" s="37" t="s">
        <v>133</v>
      </c>
      <c r="C96" s="27" t="s">
        <v>13</v>
      </c>
      <c r="D96" s="27" t="s">
        <v>15</v>
      </c>
      <c r="E96" s="27" t="s">
        <v>93</v>
      </c>
      <c r="F96" s="29" t="s">
        <v>19</v>
      </c>
      <c r="G96" s="27"/>
      <c r="H96" s="25">
        <f>H97+H106+H110+H119</f>
        <v>3004.3999999999996</v>
      </c>
      <c r="I96" s="25">
        <f>I97+I106+I110+I119</f>
        <v>3004.3999999999996</v>
      </c>
      <c r="J96" s="25">
        <f>J97+J106+J110+J119</f>
        <v>3004.3999999999996</v>
      </c>
    </row>
    <row r="97" spans="2:10" s="60" customFormat="1" ht="28.5" customHeight="1">
      <c r="B97" s="28" t="s">
        <v>134</v>
      </c>
      <c r="C97" s="27" t="s">
        <v>13</v>
      </c>
      <c r="D97" s="27" t="s">
        <v>15</v>
      </c>
      <c r="E97" s="27" t="s">
        <v>93</v>
      </c>
      <c r="F97" s="29" t="s">
        <v>135</v>
      </c>
      <c r="G97" s="27"/>
      <c r="H97" s="25">
        <f>H98+H103</f>
        <v>470</v>
      </c>
      <c r="I97" s="25">
        <f>I98+I103</f>
        <v>470</v>
      </c>
      <c r="J97" s="25">
        <f>J98+J103</f>
        <v>470</v>
      </c>
    </row>
    <row r="98" spans="2:10" s="60" customFormat="1" ht="28.5" customHeight="1">
      <c r="B98" s="28" t="s">
        <v>136</v>
      </c>
      <c r="C98" s="27" t="s">
        <v>13</v>
      </c>
      <c r="D98" s="27" t="s">
        <v>15</v>
      </c>
      <c r="E98" s="27" t="s">
        <v>93</v>
      </c>
      <c r="F98" s="29" t="s">
        <v>137</v>
      </c>
      <c r="G98" s="27"/>
      <c r="H98" s="25">
        <f>H99+H101</f>
        <v>390</v>
      </c>
      <c r="I98" s="25">
        <f>I99+I101</f>
        <v>390</v>
      </c>
      <c r="J98" s="25">
        <f>J99+J101</f>
        <v>390</v>
      </c>
    </row>
    <row r="99" spans="2:10" s="60" customFormat="1" ht="23.25" customHeight="1">
      <c r="B99" s="38" t="s">
        <v>138</v>
      </c>
      <c r="C99" s="27" t="s">
        <v>13</v>
      </c>
      <c r="D99" s="27" t="s">
        <v>15</v>
      </c>
      <c r="E99" s="27" t="s">
        <v>93</v>
      </c>
      <c r="F99" s="29" t="s">
        <v>139</v>
      </c>
      <c r="G99" s="27"/>
      <c r="H99" s="25">
        <f>H100</f>
        <v>390</v>
      </c>
      <c r="I99" s="25">
        <f>I100</f>
        <v>390</v>
      </c>
      <c r="J99" s="25">
        <f>J100</f>
        <v>390</v>
      </c>
    </row>
    <row r="100" spans="2:10" s="60" customFormat="1" ht="15.75" customHeight="1">
      <c r="B100" s="49" t="s">
        <v>107</v>
      </c>
      <c r="C100" s="27" t="s">
        <v>13</v>
      </c>
      <c r="D100" s="27" t="s">
        <v>15</v>
      </c>
      <c r="E100" s="27" t="s">
        <v>93</v>
      </c>
      <c r="F100" s="29" t="s">
        <v>139</v>
      </c>
      <c r="G100" s="27" t="s">
        <v>108</v>
      </c>
      <c r="H100" s="25">
        <v>390</v>
      </c>
      <c r="I100" s="25">
        <v>390</v>
      </c>
      <c r="J100" s="25">
        <v>390</v>
      </c>
    </row>
    <row r="101" spans="2:10" s="60" customFormat="1" ht="17.25" hidden="1" customHeight="1">
      <c r="B101" s="38" t="s">
        <v>140</v>
      </c>
      <c r="C101" s="27" t="s">
        <v>13</v>
      </c>
      <c r="D101" s="27" t="s">
        <v>15</v>
      </c>
      <c r="E101" s="27" t="s">
        <v>93</v>
      </c>
      <c r="F101" s="29" t="s">
        <v>141</v>
      </c>
      <c r="G101" s="27"/>
      <c r="H101" s="25">
        <f>H102</f>
        <v>0</v>
      </c>
      <c r="I101" s="25">
        <f>I102</f>
        <v>0</v>
      </c>
      <c r="J101" s="25">
        <f>J102</f>
        <v>0</v>
      </c>
    </row>
    <row r="102" spans="2:10" s="60" customFormat="1" ht="23.25" hidden="1" customHeight="1">
      <c r="B102" s="38" t="s">
        <v>100</v>
      </c>
      <c r="C102" s="27" t="s">
        <v>13</v>
      </c>
      <c r="D102" s="27" t="s">
        <v>15</v>
      </c>
      <c r="E102" s="27" t="s">
        <v>93</v>
      </c>
      <c r="F102" s="29" t="s">
        <v>141</v>
      </c>
      <c r="G102" s="27" t="s">
        <v>40</v>
      </c>
      <c r="H102" s="25">
        <v>0</v>
      </c>
      <c r="I102" s="25">
        <v>0</v>
      </c>
      <c r="J102" s="25">
        <v>0</v>
      </c>
    </row>
    <row r="103" spans="2:10" s="60" customFormat="1" ht="23.25" customHeight="1">
      <c r="B103" s="38" t="s">
        <v>142</v>
      </c>
      <c r="C103" s="27" t="s">
        <v>13</v>
      </c>
      <c r="D103" s="27" t="s">
        <v>15</v>
      </c>
      <c r="E103" s="27" t="s">
        <v>93</v>
      </c>
      <c r="F103" s="29" t="s">
        <v>143</v>
      </c>
      <c r="G103" s="27"/>
      <c r="H103" s="25">
        <f t="shared" ref="H103:J104" si="13">H104</f>
        <v>80</v>
      </c>
      <c r="I103" s="25">
        <f t="shared" si="13"/>
        <v>80</v>
      </c>
      <c r="J103" s="25">
        <f t="shared" si="13"/>
        <v>80</v>
      </c>
    </row>
    <row r="104" spans="2:10" s="60" customFormat="1" ht="18.75" customHeight="1">
      <c r="B104" s="38" t="s">
        <v>144</v>
      </c>
      <c r="C104" s="27" t="s">
        <v>13</v>
      </c>
      <c r="D104" s="27" t="s">
        <v>15</v>
      </c>
      <c r="E104" s="27" t="s">
        <v>93</v>
      </c>
      <c r="F104" s="29" t="s">
        <v>145</v>
      </c>
      <c r="G104" s="27"/>
      <c r="H104" s="25">
        <f t="shared" si="13"/>
        <v>80</v>
      </c>
      <c r="I104" s="25">
        <f t="shared" si="13"/>
        <v>80</v>
      </c>
      <c r="J104" s="25">
        <f t="shared" si="13"/>
        <v>80</v>
      </c>
    </row>
    <row r="105" spans="2:10" s="60" customFormat="1" ht="23.25" customHeight="1">
      <c r="B105" s="38" t="s">
        <v>39</v>
      </c>
      <c r="C105" s="27" t="s">
        <v>13</v>
      </c>
      <c r="D105" s="27" t="s">
        <v>15</v>
      </c>
      <c r="E105" s="27" t="s">
        <v>93</v>
      </c>
      <c r="F105" s="29" t="s">
        <v>145</v>
      </c>
      <c r="G105" s="27" t="s">
        <v>40</v>
      </c>
      <c r="H105" s="25">
        <v>80</v>
      </c>
      <c r="I105" s="25">
        <v>80</v>
      </c>
      <c r="J105" s="25">
        <v>80</v>
      </c>
    </row>
    <row r="106" spans="2:10" s="60" customFormat="1" ht="24.75" customHeight="1">
      <c r="B106" s="63" t="s">
        <v>146</v>
      </c>
      <c r="C106" s="27" t="s">
        <v>13</v>
      </c>
      <c r="D106" s="27" t="s">
        <v>15</v>
      </c>
      <c r="E106" s="27" t="s">
        <v>93</v>
      </c>
      <c r="F106" s="29" t="s">
        <v>147</v>
      </c>
      <c r="G106" s="27"/>
      <c r="H106" s="25">
        <f t="shared" ref="H106:J108" si="14">H107</f>
        <v>7</v>
      </c>
      <c r="I106" s="25">
        <f t="shared" si="14"/>
        <v>7</v>
      </c>
      <c r="J106" s="25">
        <f t="shared" si="14"/>
        <v>7</v>
      </c>
    </row>
    <row r="107" spans="2:10" s="60" customFormat="1" ht="36.75" customHeight="1">
      <c r="B107" s="63" t="s">
        <v>148</v>
      </c>
      <c r="C107" s="27" t="s">
        <v>13</v>
      </c>
      <c r="D107" s="27" t="s">
        <v>15</v>
      </c>
      <c r="E107" s="27" t="s">
        <v>93</v>
      </c>
      <c r="F107" s="29" t="s">
        <v>149</v>
      </c>
      <c r="G107" s="27"/>
      <c r="H107" s="25">
        <f t="shared" si="14"/>
        <v>7</v>
      </c>
      <c r="I107" s="25">
        <f t="shared" si="14"/>
        <v>7</v>
      </c>
      <c r="J107" s="25">
        <f t="shared" si="14"/>
        <v>7</v>
      </c>
    </row>
    <row r="108" spans="2:10" s="60" customFormat="1" ht="16.5" customHeight="1">
      <c r="B108" s="64" t="s">
        <v>150</v>
      </c>
      <c r="C108" s="27" t="s">
        <v>13</v>
      </c>
      <c r="D108" s="27" t="s">
        <v>15</v>
      </c>
      <c r="E108" s="27" t="s">
        <v>93</v>
      </c>
      <c r="F108" s="29" t="s">
        <v>151</v>
      </c>
      <c r="G108" s="27"/>
      <c r="H108" s="25">
        <f t="shared" si="14"/>
        <v>7</v>
      </c>
      <c r="I108" s="25">
        <f t="shared" si="14"/>
        <v>7</v>
      </c>
      <c r="J108" s="25">
        <f t="shared" si="14"/>
        <v>7</v>
      </c>
    </row>
    <row r="109" spans="2:10" s="60" customFormat="1" ht="24.75" customHeight="1">
      <c r="B109" s="38" t="s">
        <v>39</v>
      </c>
      <c r="C109" s="27" t="s">
        <v>13</v>
      </c>
      <c r="D109" s="27" t="s">
        <v>15</v>
      </c>
      <c r="E109" s="27" t="s">
        <v>93</v>
      </c>
      <c r="F109" s="29" t="s">
        <v>151</v>
      </c>
      <c r="G109" s="27" t="s">
        <v>40</v>
      </c>
      <c r="H109" s="25">
        <v>7</v>
      </c>
      <c r="I109" s="25">
        <v>7</v>
      </c>
      <c r="J109" s="25">
        <v>7</v>
      </c>
    </row>
    <row r="110" spans="2:10" s="60" customFormat="1" ht="52.5" customHeight="1">
      <c r="B110" s="63" t="s">
        <v>152</v>
      </c>
      <c r="C110" s="27" t="s">
        <v>13</v>
      </c>
      <c r="D110" s="27" t="s">
        <v>15</v>
      </c>
      <c r="E110" s="27" t="s">
        <v>93</v>
      </c>
      <c r="F110" s="29" t="s">
        <v>153</v>
      </c>
      <c r="G110" s="27"/>
      <c r="H110" s="25">
        <f>H111</f>
        <v>2398.3999999999996</v>
      </c>
      <c r="I110" s="25">
        <f>I111</f>
        <v>2398.3999999999996</v>
      </c>
      <c r="J110" s="25">
        <f>J111</f>
        <v>2398.3999999999996</v>
      </c>
    </row>
    <row r="111" spans="2:10" s="60" customFormat="1" ht="53.25" customHeight="1">
      <c r="B111" s="63" t="s">
        <v>154</v>
      </c>
      <c r="C111" s="27" t="s">
        <v>13</v>
      </c>
      <c r="D111" s="27" t="s">
        <v>15</v>
      </c>
      <c r="E111" s="27" t="s">
        <v>93</v>
      </c>
      <c r="F111" s="29" t="s">
        <v>155</v>
      </c>
      <c r="G111" s="27"/>
      <c r="H111" s="25">
        <f>H112+H116</f>
        <v>2398.3999999999996</v>
      </c>
      <c r="I111" s="25">
        <f>I112+I116</f>
        <v>2398.3999999999996</v>
      </c>
      <c r="J111" s="25">
        <f>J112+J116</f>
        <v>2398.3999999999996</v>
      </c>
    </row>
    <row r="112" spans="2:10" s="60" customFormat="1" ht="24.75" hidden="1" customHeight="1">
      <c r="B112" s="65" t="s">
        <v>156</v>
      </c>
      <c r="C112" s="27" t="s">
        <v>13</v>
      </c>
      <c r="D112" s="27" t="s">
        <v>15</v>
      </c>
      <c r="E112" s="27" t="s">
        <v>93</v>
      </c>
      <c r="F112" s="29" t="s">
        <v>157</v>
      </c>
      <c r="G112" s="27"/>
      <c r="H112" s="25">
        <f>H113+H114+H115</f>
        <v>0</v>
      </c>
      <c r="I112" s="25">
        <f>I113+I114+I115</f>
        <v>0</v>
      </c>
      <c r="J112" s="25">
        <f>J113+J114+J115</f>
        <v>0</v>
      </c>
    </row>
    <row r="113" spans="2:15" s="60" customFormat="1" ht="15" hidden="1" customHeight="1">
      <c r="B113" s="66" t="s">
        <v>158</v>
      </c>
      <c r="C113" s="27" t="s">
        <v>13</v>
      </c>
      <c r="D113" s="27" t="s">
        <v>15</v>
      </c>
      <c r="E113" s="27" t="s">
        <v>93</v>
      </c>
      <c r="F113" s="29" t="s">
        <v>157</v>
      </c>
      <c r="G113" s="27" t="s">
        <v>159</v>
      </c>
      <c r="H113" s="25"/>
      <c r="I113" s="25"/>
      <c r="J113" s="25"/>
    </row>
    <row r="114" spans="2:15" s="60" customFormat="1" ht="23.25" hidden="1" customHeight="1">
      <c r="B114" s="38" t="s">
        <v>39</v>
      </c>
      <c r="C114" s="27" t="s">
        <v>13</v>
      </c>
      <c r="D114" s="27" t="s">
        <v>15</v>
      </c>
      <c r="E114" s="27" t="s">
        <v>93</v>
      </c>
      <c r="F114" s="29" t="s">
        <v>157</v>
      </c>
      <c r="G114" s="27" t="s">
        <v>40</v>
      </c>
      <c r="H114" s="25"/>
      <c r="I114" s="25"/>
      <c r="J114" s="25"/>
    </row>
    <row r="115" spans="2:15" s="60" customFormat="1" ht="15.75" hidden="1" customHeight="1">
      <c r="B115" s="67" t="s">
        <v>43</v>
      </c>
      <c r="C115" s="27" t="s">
        <v>13</v>
      </c>
      <c r="D115" s="27" t="s">
        <v>15</v>
      </c>
      <c r="E115" s="27" t="s">
        <v>93</v>
      </c>
      <c r="F115" s="29" t="s">
        <v>157</v>
      </c>
      <c r="G115" s="27" t="s">
        <v>44</v>
      </c>
      <c r="H115" s="25">
        <v>0</v>
      </c>
      <c r="I115" s="25">
        <v>0</v>
      </c>
      <c r="J115" s="25">
        <v>0</v>
      </c>
    </row>
    <row r="116" spans="2:15" s="60" customFormat="1" ht="70.5" customHeight="1">
      <c r="B116" s="55" t="s">
        <v>160</v>
      </c>
      <c r="C116" s="27" t="s">
        <v>13</v>
      </c>
      <c r="D116" s="27" t="s">
        <v>15</v>
      </c>
      <c r="E116" s="27" t="s">
        <v>93</v>
      </c>
      <c r="F116" s="29" t="s">
        <v>161</v>
      </c>
      <c r="G116" s="27"/>
      <c r="H116" s="25">
        <f>H117+H118</f>
        <v>2398.3999999999996</v>
      </c>
      <c r="I116" s="25">
        <f>I117+I118</f>
        <v>2398.3999999999996</v>
      </c>
      <c r="J116" s="25">
        <f>J117+J118</f>
        <v>2398.3999999999996</v>
      </c>
    </row>
    <row r="117" spans="2:15" s="60" customFormat="1" ht="14.25" customHeight="1">
      <c r="B117" s="66" t="s">
        <v>158</v>
      </c>
      <c r="C117" s="27" t="s">
        <v>13</v>
      </c>
      <c r="D117" s="27" t="s">
        <v>15</v>
      </c>
      <c r="E117" s="27" t="s">
        <v>93</v>
      </c>
      <c r="F117" s="29" t="s">
        <v>161</v>
      </c>
      <c r="G117" s="27" t="s">
        <v>159</v>
      </c>
      <c r="H117" s="25">
        <f>2209.7+15.2</f>
        <v>2224.8999999999996</v>
      </c>
      <c r="I117" s="25">
        <f>2209.7+15.2</f>
        <v>2224.8999999999996</v>
      </c>
      <c r="J117" s="25">
        <f>2209.7+15.2</f>
        <v>2224.8999999999996</v>
      </c>
      <c r="K117" s="39"/>
      <c r="O117" s="68"/>
    </row>
    <row r="118" spans="2:15" s="60" customFormat="1" ht="23.25" customHeight="1">
      <c r="B118" s="38" t="s">
        <v>39</v>
      </c>
      <c r="C118" s="27" t="s">
        <v>13</v>
      </c>
      <c r="D118" s="27" t="s">
        <v>15</v>
      </c>
      <c r="E118" s="27" t="s">
        <v>93</v>
      </c>
      <c r="F118" s="29" t="s">
        <v>161</v>
      </c>
      <c r="G118" s="27" t="s">
        <v>40</v>
      </c>
      <c r="H118" s="25">
        <v>173.5</v>
      </c>
      <c r="I118" s="25">
        <v>173.5</v>
      </c>
      <c r="J118" s="25">
        <v>173.5</v>
      </c>
    </row>
    <row r="119" spans="2:15" s="60" customFormat="1" ht="39.75" customHeight="1">
      <c r="B119" s="28" t="s">
        <v>20</v>
      </c>
      <c r="C119" s="27" t="s">
        <v>13</v>
      </c>
      <c r="D119" s="27" t="s">
        <v>15</v>
      </c>
      <c r="E119" s="27" t="s">
        <v>93</v>
      </c>
      <c r="F119" s="29" t="s">
        <v>21</v>
      </c>
      <c r="G119" s="30"/>
      <c r="H119" s="25">
        <f>H120</f>
        <v>129</v>
      </c>
      <c r="I119" s="25">
        <f>I120</f>
        <v>129</v>
      </c>
      <c r="J119" s="25">
        <f>J120</f>
        <v>129</v>
      </c>
    </row>
    <row r="120" spans="2:15" s="60" customFormat="1" ht="23.25" customHeight="1">
      <c r="B120" s="28" t="s">
        <v>22</v>
      </c>
      <c r="C120" s="27" t="s">
        <v>13</v>
      </c>
      <c r="D120" s="27" t="s">
        <v>15</v>
      </c>
      <c r="E120" s="27" t="s">
        <v>93</v>
      </c>
      <c r="F120" s="29" t="s">
        <v>23</v>
      </c>
      <c r="G120" s="30"/>
      <c r="H120" s="25">
        <f>H121+H123</f>
        <v>129</v>
      </c>
      <c r="I120" s="25">
        <f>I121+I123</f>
        <v>129</v>
      </c>
      <c r="J120" s="25">
        <f>J121+J123</f>
        <v>129</v>
      </c>
    </row>
    <row r="121" spans="2:15" s="60" customFormat="1" ht="18" customHeight="1">
      <c r="B121" s="69" t="s">
        <v>162</v>
      </c>
      <c r="C121" s="27" t="s">
        <v>13</v>
      </c>
      <c r="D121" s="27" t="s">
        <v>15</v>
      </c>
      <c r="E121" s="27" t="s">
        <v>93</v>
      </c>
      <c r="F121" s="27" t="s">
        <v>163</v>
      </c>
      <c r="G121" s="30"/>
      <c r="H121" s="25">
        <f>H122</f>
        <v>120</v>
      </c>
      <c r="I121" s="25">
        <f>I122</f>
        <v>120</v>
      </c>
      <c r="J121" s="25">
        <f>J122</f>
        <v>120</v>
      </c>
    </row>
    <row r="122" spans="2:15" s="60" customFormat="1" ht="16.5" customHeight="1">
      <c r="B122" s="38" t="s">
        <v>43</v>
      </c>
      <c r="C122" s="27" t="s">
        <v>13</v>
      </c>
      <c r="D122" s="27" t="s">
        <v>15</v>
      </c>
      <c r="E122" s="27" t="s">
        <v>93</v>
      </c>
      <c r="F122" s="27" t="s">
        <v>163</v>
      </c>
      <c r="G122" s="30" t="s">
        <v>44</v>
      </c>
      <c r="H122" s="25">
        <v>120</v>
      </c>
      <c r="I122" s="25">
        <v>120</v>
      </c>
      <c r="J122" s="25">
        <v>120</v>
      </c>
    </row>
    <row r="123" spans="2:15" s="60" customFormat="1" ht="18" customHeight="1">
      <c r="B123" s="38" t="s">
        <v>164</v>
      </c>
      <c r="C123" s="27" t="s">
        <v>13</v>
      </c>
      <c r="D123" s="27" t="s">
        <v>15</v>
      </c>
      <c r="E123" s="27" t="s">
        <v>93</v>
      </c>
      <c r="F123" s="29" t="s">
        <v>165</v>
      </c>
      <c r="G123" s="30"/>
      <c r="H123" s="25">
        <f>H124</f>
        <v>9</v>
      </c>
      <c r="I123" s="25">
        <f>I124</f>
        <v>9</v>
      </c>
      <c r="J123" s="25">
        <f>J124</f>
        <v>9</v>
      </c>
    </row>
    <row r="124" spans="2:15" s="60" customFormat="1" ht="18" customHeight="1">
      <c r="B124" s="38" t="s">
        <v>43</v>
      </c>
      <c r="C124" s="27" t="s">
        <v>13</v>
      </c>
      <c r="D124" s="27" t="s">
        <v>15</v>
      </c>
      <c r="E124" s="27" t="s">
        <v>93</v>
      </c>
      <c r="F124" s="29" t="s">
        <v>165</v>
      </c>
      <c r="G124" s="30" t="s">
        <v>44</v>
      </c>
      <c r="H124" s="25">
        <v>9</v>
      </c>
      <c r="I124" s="25">
        <v>9</v>
      </c>
      <c r="J124" s="25">
        <v>9</v>
      </c>
    </row>
    <row r="125" spans="2:15" s="60" customFormat="1" ht="27" customHeight="1">
      <c r="B125" s="38" t="s">
        <v>166</v>
      </c>
      <c r="C125" s="27" t="s">
        <v>13</v>
      </c>
      <c r="D125" s="27" t="s">
        <v>15</v>
      </c>
      <c r="E125" s="27" t="s">
        <v>93</v>
      </c>
      <c r="F125" s="29" t="s">
        <v>167</v>
      </c>
      <c r="G125" s="27"/>
      <c r="H125" s="25">
        <f>H129+H126</f>
        <v>1280.3</v>
      </c>
      <c r="I125" s="25">
        <f>I129+I126</f>
        <v>200</v>
      </c>
      <c r="J125" s="25">
        <f>J129+J126</f>
        <v>200</v>
      </c>
    </row>
    <row r="126" spans="2:15" s="60" customFormat="1" ht="27" customHeight="1">
      <c r="B126" s="70" t="s">
        <v>168</v>
      </c>
      <c r="C126" s="27" t="s">
        <v>13</v>
      </c>
      <c r="D126" s="27" t="s">
        <v>15</v>
      </c>
      <c r="E126" s="27" t="s">
        <v>93</v>
      </c>
      <c r="F126" s="29" t="s">
        <v>169</v>
      </c>
      <c r="G126" s="27"/>
      <c r="H126" s="25">
        <f t="shared" ref="H126:J127" si="15">H127</f>
        <v>150</v>
      </c>
      <c r="I126" s="25">
        <f t="shared" si="15"/>
        <v>0</v>
      </c>
      <c r="J126" s="25">
        <f t="shared" si="15"/>
        <v>0</v>
      </c>
    </row>
    <row r="127" spans="2:15" s="60" customFormat="1" ht="15" customHeight="1">
      <c r="B127" s="70" t="s">
        <v>170</v>
      </c>
      <c r="C127" s="27" t="s">
        <v>13</v>
      </c>
      <c r="D127" s="27" t="s">
        <v>15</v>
      </c>
      <c r="E127" s="27" t="s">
        <v>93</v>
      </c>
      <c r="F127" s="29" t="s">
        <v>171</v>
      </c>
      <c r="G127" s="27"/>
      <c r="H127" s="25">
        <f t="shared" si="15"/>
        <v>150</v>
      </c>
      <c r="I127" s="25">
        <f t="shared" si="15"/>
        <v>0</v>
      </c>
      <c r="J127" s="25">
        <f t="shared" si="15"/>
        <v>0</v>
      </c>
    </row>
    <row r="128" spans="2:15" s="60" customFormat="1" ht="27" customHeight="1">
      <c r="B128" s="38" t="s">
        <v>39</v>
      </c>
      <c r="C128" s="27" t="s">
        <v>13</v>
      </c>
      <c r="D128" s="27" t="s">
        <v>15</v>
      </c>
      <c r="E128" s="27" t="s">
        <v>93</v>
      </c>
      <c r="F128" s="29" t="s">
        <v>171</v>
      </c>
      <c r="G128" s="27" t="s">
        <v>40</v>
      </c>
      <c r="H128" s="25">
        <v>150</v>
      </c>
      <c r="I128" s="25">
        <v>0</v>
      </c>
      <c r="J128" s="25">
        <v>0</v>
      </c>
      <c r="K128"/>
    </row>
    <row r="129" spans="2:11" s="60" customFormat="1" ht="25.5" customHeight="1">
      <c r="B129" s="66" t="s">
        <v>172</v>
      </c>
      <c r="C129" s="27" t="s">
        <v>13</v>
      </c>
      <c r="D129" s="27" t="s">
        <v>15</v>
      </c>
      <c r="E129" s="27" t="s">
        <v>93</v>
      </c>
      <c r="F129" s="29" t="s">
        <v>173</v>
      </c>
      <c r="G129" s="27"/>
      <c r="H129" s="25">
        <f t="shared" ref="H129:J130" si="16">H130</f>
        <v>1130.3</v>
      </c>
      <c r="I129" s="25">
        <f t="shared" si="16"/>
        <v>200</v>
      </c>
      <c r="J129" s="25">
        <f t="shared" si="16"/>
        <v>200</v>
      </c>
    </row>
    <row r="130" spans="2:11" s="60" customFormat="1" ht="14.25" customHeight="1">
      <c r="B130" s="71" t="s">
        <v>174</v>
      </c>
      <c r="C130" s="27" t="s">
        <v>13</v>
      </c>
      <c r="D130" s="27" t="s">
        <v>15</v>
      </c>
      <c r="E130" s="27" t="s">
        <v>93</v>
      </c>
      <c r="F130" s="29" t="s">
        <v>175</v>
      </c>
      <c r="G130" s="27"/>
      <c r="H130" s="25">
        <f t="shared" si="16"/>
        <v>1130.3</v>
      </c>
      <c r="I130" s="25">
        <f t="shared" si="16"/>
        <v>200</v>
      </c>
      <c r="J130" s="25">
        <f t="shared" si="16"/>
        <v>200</v>
      </c>
    </row>
    <row r="131" spans="2:11" s="60" customFormat="1" ht="17.25" customHeight="1">
      <c r="B131" s="70" t="s">
        <v>176</v>
      </c>
      <c r="C131" s="27" t="s">
        <v>13</v>
      </c>
      <c r="D131" s="27" t="s">
        <v>15</v>
      </c>
      <c r="E131" s="27" t="s">
        <v>93</v>
      </c>
      <c r="F131" s="29" t="s">
        <v>175</v>
      </c>
      <c r="G131" s="27" t="s">
        <v>128</v>
      </c>
      <c r="H131" s="25">
        <v>1130.3</v>
      </c>
      <c r="I131" s="25">
        <v>200</v>
      </c>
      <c r="J131" s="25">
        <v>200</v>
      </c>
    </row>
    <row r="132" spans="2:11" s="60" customFormat="1" ht="42.75" customHeight="1">
      <c r="B132" s="38" t="s">
        <v>55</v>
      </c>
      <c r="C132" s="27" t="s">
        <v>13</v>
      </c>
      <c r="D132" s="27" t="s">
        <v>15</v>
      </c>
      <c r="E132" s="27" t="s">
        <v>93</v>
      </c>
      <c r="F132" s="29" t="s">
        <v>56</v>
      </c>
      <c r="G132" s="27"/>
      <c r="H132" s="25">
        <f t="shared" ref="H132:J135" si="17">H133</f>
        <v>2.5</v>
      </c>
      <c r="I132" s="25">
        <f t="shared" si="17"/>
        <v>2.5</v>
      </c>
      <c r="J132" s="25">
        <f t="shared" si="17"/>
        <v>2.5</v>
      </c>
    </row>
    <row r="133" spans="2:11" s="60" customFormat="1" ht="36.75" customHeight="1">
      <c r="B133" s="47" t="s">
        <v>177</v>
      </c>
      <c r="C133" s="27" t="s">
        <v>13</v>
      </c>
      <c r="D133" s="27" t="s">
        <v>15</v>
      </c>
      <c r="E133" s="27" t="s">
        <v>93</v>
      </c>
      <c r="F133" s="29" t="s">
        <v>178</v>
      </c>
      <c r="G133" s="27"/>
      <c r="H133" s="25">
        <f t="shared" si="17"/>
        <v>2.5</v>
      </c>
      <c r="I133" s="25">
        <f t="shared" si="17"/>
        <v>2.5</v>
      </c>
      <c r="J133" s="25">
        <f t="shared" si="17"/>
        <v>2.5</v>
      </c>
    </row>
    <row r="134" spans="2:11" s="60" customFormat="1" ht="37.5" customHeight="1">
      <c r="B134" s="56" t="s">
        <v>179</v>
      </c>
      <c r="C134" s="27" t="s">
        <v>13</v>
      </c>
      <c r="D134" s="27" t="s">
        <v>15</v>
      </c>
      <c r="E134" s="27" t="s">
        <v>93</v>
      </c>
      <c r="F134" s="29" t="s">
        <v>180</v>
      </c>
      <c r="G134" s="27"/>
      <c r="H134" s="25">
        <f t="shared" si="17"/>
        <v>2.5</v>
      </c>
      <c r="I134" s="25">
        <f t="shared" si="17"/>
        <v>2.5</v>
      </c>
      <c r="J134" s="25">
        <f t="shared" si="17"/>
        <v>2.5</v>
      </c>
    </row>
    <row r="135" spans="2:11" s="60" customFormat="1" ht="56.25" customHeight="1">
      <c r="B135" s="51" t="s">
        <v>181</v>
      </c>
      <c r="C135" s="27" t="s">
        <v>13</v>
      </c>
      <c r="D135" s="27" t="s">
        <v>15</v>
      </c>
      <c r="E135" s="27" t="s">
        <v>93</v>
      </c>
      <c r="F135" s="29" t="s">
        <v>182</v>
      </c>
      <c r="G135" s="27"/>
      <c r="H135" s="25">
        <f t="shared" si="17"/>
        <v>2.5</v>
      </c>
      <c r="I135" s="25">
        <f t="shared" si="17"/>
        <v>2.5</v>
      </c>
      <c r="J135" s="25">
        <f t="shared" si="17"/>
        <v>2.5</v>
      </c>
    </row>
    <row r="136" spans="2:11" s="60" customFormat="1" ht="24.75" customHeight="1">
      <c r="B136" s="38" t="s">
        <v>39</v>
      </c>
      <c r="C136" s="27" t="s">
        <v>13</v>
      </c>
      <c r="D136" s="27" t="s">
        <v>15</v>
      </c>
      <c r="E136" s="27" t="s">
        <v>93</v>
      </c>
      <c r="F136" s="29" t="s">
        <v>182</v>
      </c>
      <c r="G136" s="27" t="s">
        <v>40</v>
      </c>
      <c r="H136" s="25">
        <v>2.5</v>
      </c>
      <c r="I136" s="25">
        <v>2.5</v>
      </c>
      <c r="J136" s="25">
        <v>2.5</v>
      </c>
      <c r="K136" s="72"/>
    </row>
    <row r="137" spans="2:11" s="60" customFormat="1" ht="37.5" hidden="1" customHeight="1">
      <c r="B137" s="70" t="s">
        <v>183</v>
      </c>
      <c r="C137" s="27" t="s">
        <v>13</v>
      </c>
      <c r="D137" s="27" t="s">
        <v>15</v>
      </c>
      <c r="E137" s="27" t="s">
        <v>93</v>
      </c>
      <c r="F137" s="29" t="s">
        <v>184</v>
      </c>
      <c r="G137" s="27"/>
      <c r="H137" s="25">
        <f>H138</f>
        <v>0</v>
      </c>
      <c r="I137" s="25">
        <f t="shared" ref="I137:J140" si="18">I138</f>
        <v>0</v>
      </c>
      <c r="J137" s="25">
        <f t="shared" si="18"/>
        <v>0</v>
      </c>
    </row>
    <row r="138" spans="2:11" s="60" customFormat="1" ht="25.5" hidden="1" customHeight="1">
      <c r="B138" s="73" t="s">
        <v>185</v>
      </c>
      <c r="C138" s="27" t="s">
        <v>13</v>
      </c>
      <c r="D138" s="27" t="s">
        <v>15</v>
      </c>
      <c r="E138" s="27" t="s">
        <v>93</v>
      </c>
      <c r="F138" s="29" t="s">
        <v>186</v>
      </c>
      <c r="G138" s="27"/>
      <c r="H138" s="25">
        <f>H139</f>
        <v>0</v>
      </c>
      <c r="I138" s="25">
        <f t="shared" si="18"/>
        <v>0</v>
      </c>
      <c r="J138" s="25">
        <f t="shared" si="18"/>
        <v>0</v>
      </c>
    </row>
    <row r="139" spans="2:11" s="60" customFormat="1" ht="27.75" hidden="1" customHeight="1">
      <c r="B139" s="70" t="s">
        <v>187</v>
      </c>
      <c r="C139" s="27" t="s">
        <v>13</v>
      </c>
      <c r="D139" s="27" t="s">
        <v>15</v>
      </c>
      <c r="E139" s="27" t="s">
        <v>93</v>
      </c>
      <c r="F139" s="29" t="s">
        <v>188</v>
      </c>
      <c r="G139" s="30"/>
      <c r="H139" s="25">
        <f>H140</f>
        <v>0</v>
      </c>
      <c r="I139" s="25">
        <f t="shared" si="18"/>
        <v>0</v>
      </c>
      <c r="J139" s="25">
        <f t="shared" si="18"/>
        <v>0</v>
      </c>
    </row>
    <row r="140" spans="2:11" s="60" customFormat="1" ht="39.75" hidden="1" customHeight="1">
      <c r="B140" s="70" t="s">
        <v>189</v>
      </c>
      <c r="C140" s="27" t="s">
        <v>13</v>
      </c>
      <c r="D140" s="27" t="s">
        <v>15</v>
      </c>
      <c r="E140" s="27" t="s">
        <v>93</v>
      </c>
      <c r="F140" s="29" t="s">
        <v>190</v>
      </c>
      <c r="G140" s="30"/>
      <c r="H140" s="25">
        <f>H141</f>
        <v>0</v>
      </c>
      <c r="I140" s="25">
        <f t="shared" si="18"/>
        <v>0</v>
      </c>
      <c r="J140" s="25">
        <f t="shared" si="18"/>
        <v>0</v>
      </c>
    </row>
    <row r="141" spans="2:11" s="60" customFormat="1" ht="25.5" hidden="1" customHeight="1">
      <c r="B141" s="38" t="s">
        <v>39</v>
      </c>
      <c r="C141" s="27" t="s">
        <v>13</v>
      </c>
      <c r="D141" s="27" t="s">
        <v>15</v>
      </c>
      <c r="E141" s="27" t="s">
        <v>93</v>
      </c>
      <c r="F141" s="29" t="s">
        <v>190</v>
      </c>
      <c r="G141" s="30" t="s">
        <v>40</v>
      </c>
      <c r="H141" s="25"/>
      <c r="I141" s="25"/>
      <c r="J141" s="25"/>
    </row>
    <row r="142" spans="2:11" s="60" customFormat="1" ht="17.25" hidden="1" customHeight="1">
      <c r="B142" s="74" t="s">
        <v>191</v>
      </c>
      <c r="C142" s="20" t="s">
        <v>13</v>
      </c>
      <c r="D142" s="20" t="s">
        <v>17</v>
      </c>
      <c r="E142" s="20"/>
      <c r="F142" s="29"/>
      <c r="G142" s="27"/>
      <c r="H142" s="21">
        <f t="shared" ref="H142:J147" si="19">H143</f>
        <v>0</v>
      </c>
      <c r="I142" s="21">
        <f t="shared" si="19"/>
        <v>0</v>
      </c>
      <c r="J142" s="21">
        <f t="shared" si="19"/>
        <v>0</v>
      </c>
    </row>
    <row r="143" spans="2:11" s="60" customFormat="1" ht="19.5" hidden="1" customHeight="1">
      <c r="B143" s="74" t="s">
        <v>192</v>
      </c>
      <c r="C143" s="20" t="s">
        <v>13</v>
      </c>
      <c r="D143" s="20" t="s">
        <v>17</v>
      </c>
      <c r="E143" s="20" t="s">
        <v>193</v>
      </c>
      <c r="F143" s="29"/>
      <c r="G143" s="27"/>
      <c r="H143" s="25">
        <f t="shared" si="19"/>
        <v>0</v>
      </c>
      <c r="I143" s="25">
        <f t="shared" si="19"/>
        <v>0</v>
      </c>
      <c r="J143" s="25">
        <f t="shared" si="19"/>
        <v>0</v>
      </c>
    </row>
    <row r="144" spans="2:11" s="60" customFormat="1" ht="25.5" hidden="1" customHeight="1">
      <c r="B144" s="38" t="s">
        <v>18</v>
      </c>
      <c r="C144" s="27" t="s">
        <v>13</v>
      </c>
      <c r="D144" s="27" t="s">
        <v>17</v>
      </c>
      <c r="E144" s="27" t="s">
        <v>193</v>
      </c>
      <c r="F144" s="29" t="s">
        <v>19</v>
      </c>
      <c r="G144" s="27"/>
      <c r="H144" s="25">
        <f t="shared" si="19"/>
        <v>0</v>
      </c>
      <c r="I144" s="25">
        <f t="shared" si="19"/>
        <v>0</v>
      </c>
      <c r="J144" s="25">
        <f t="shared" si="19"/>
        <v>0</v>
      </c>
    </row>
    <row r="145" spans="2:10" s="60" customFormat="1" ht="41.25" hidden="1" customHeight="1">
      <c r="B145" s="28" t="s">
        <v>20</v>
      </c>
      <c r="C145" s="27" t="s">
        <v>13</v>
      </c>
      <c r="D145" s="27" t="s">
        <v>17</v>
      </c>
      <c r="E145" s="27" t="s">
        <v>193</v>
      </c>
      <c r="F145" s="29" t="s">
        <v>21</v>
      </c>
      <c r="G145" s="27"/>
      <c r="H145" s="25">
        <f t="shared" si="19"/>
        <v>0</v>
      </c>
      <c r="I145" s="25">
        <f t="shared" si="19"/>
        <v>0</v>
      </c>
      <c r="J145" s="25">
        <f t="shared" si="19"/>
        <v>0</v>
      </c>
    </row>
    <row r="146" spans="2:10" s="60" customFormat="1" ht="25.5" hidden="1" customHeight="1">
      <c r="B146" s="38" t="s">
        <v>22</v>
      </c>
      <c r="C146" s="27" t="s">
        <v>13</v>
      </c>
      <c r="D146" s="27" t="s">
        <v>17</v>
      </c>
      <c r="E146" s="27" t="s">
        <v>193</v>
      </c>
      <c r="F146" s="29" t="s">
        <v>23</v>
      </c>
      <c r="G146" s="27"/>
      <c r="H146" s="25">
        <f t="shared" si="19"/>
        <v>0</v>
      </c>
      <c r="I146" s="25">
        <f t="shared" si="19"/>
        <v>0</v>
      </c>
      <c r="J146" s="25">
        <f t="shared" si="19"/>
        <v>0</v>
      </c>
    </row>
    <row r="147" spans="2:10" s="60" customFormat="1" ht="25.5" hidden="1" customHeight="1">
      <c r="B147" s="51" t="s">
        <v>194</v>
      </c>
      <c r="C147" s="27" t="s">
        <v>13</v>
      </c>
      <c r="D147" s="27" t="s">
        <v>17</v>
      </c>
      <c r="E147" s="27" t="s">
        <v>193</v>
      </c>
      <c r="F147" s="29" t="s">
        <v>195</v>
      </c>
      <c r="G147" s="27"/>
      <c r="H147" s="25">
        <f t="shared" si="19"/>
        <v>0</v>
      </c>
      <c r="I147" s="25">
        <f t="shared" si="19"/>
        <v>0</v>
      </c>
      <c r="J147" s="25">
        <f t="shared" si="19"/>
        <v>0</v>
      </c>
    </row>
    <row r="148" spans="2:10" s="60" customFormat="1" ht="25.5" hidden="1" customHeight="1">
      <c r="B148" s="38" t="s">
        <v>26</v>
      </c>
      <c r="C148" s="27" t="s">
        <v>13</v>
      </c>
      <c r="D148" s="27" t="s">
        <v>17</v>
      </c>
      <c r="E148" s="27" t="s">
        <v>193</v>
      </c>
      <c r="F148" s="29" t="s">
        <v>195</v>
      </c>
      <c r="G148" s="27" t="s">
        <v>27</v>
      </c>
      <c r="H148" s="25">
        <f>332.5-166.3-166.2</f>
        <v>0</v>
      </c>
      <c r="I148" s="25">
        <f>347.3-173.7-173.6</f>
        <v>0</v>
      </c>
      <c r="J148" s="25">
        <f>359.5-179.8-179.7</f>
        <v>0</v>
      </c>
    </row>
    <row r="149" spans="2:10" s="72" customFormat="1" ht="17.25" customHeight="1">
      <c r="B149" s="75" t="s">
        <v>196</v>
      </c>
      <c r="C149" s="20" t="s">
        <v>13</v>
      </c>
      <c r="D149" s="20" t="s">
        <v>193</v>
      </c>
      <c r="E149" s="20"/>
      <c r="F149" s="20"/>
      <c r="G149" s="20"/>
      <c r="H149" s="21">
        <f>H150+H177+H172</f>
        <v>5840.4000000000005</v>
      </c>
      <c r="I149" s="21">
        <f>I150+I177+I172</f>
        <v>5608</v>
      </c>
      <c r="J149" s="21">
        <f>J150+J177+J172</f>
        <v>4858</v>
      </c>
    </row>
    <row r="150" spans="2:10" s="72" customFormat="1" ht="15.75" customHeight="1">
      <c r="B150" s="76" t="s">
        <v>197</v>
      </c>
      <c r="C150" s="20" t="s">
        <v>13</v>
      </c>
      <c r="D150" s="20" t="s">
        <v>193</v>
      </c>
      <c r="E150" s="20" t="s">
        <v>198</v>
      </c>
      <c r="F150" s="20"/>
      <c r="G150" s="20"/>
      <c r="H150" s="25">
        <f t="shared" ref="H150:J151" si="20">H151</f>
        <v>5261.8</v>
      </c>
      <c r="I150" s="25">
        <f t="shared" si="20"/>
        <v>5511.8</v>
      </c>
      <c r="J150" s="25">
        <f t="shared" si="20"/>
        <v>4761.8</v>
      </c>
    </row>
    <row r="151" spans="2:10" s="60" customFormat="1" ht="39" customHeight="1">
      <c r="B151" s="38" t="s">
        <v>55</v>
      </c>
      <c r="C151" s="27" t="s">
        <v>13</v>
      </c>
      <c r="D151" s="27" t="s">
        <v>193</v>
      </c>
      <c r="E151" s="27" t="s">
        <v>198</v>
      </c>
      <c r="F151" s="29" t="s">
        <v>56</v>
      </c>
      <c r="G151" s="27"/>
      <c r="H151" s="25">
        <f t="shared" si="20"/>
        <v>5261.8</v>
      </c>
      <c r="I151" s="25">
        <f t="shared" si="20"/>
        <v>5511.8</v>
      </c>
      <c r="J151" s="25">
        <f t="shared" si="20"/>
        <v>4761.8</v>
      </c>
    </row>
    <row r="152" spans="2:10" s="60" customFormat="1" ht="24.75" customHeight="1">
      <c r="B152" s="38" t="s">
        <v>199</v>
      </c>
      <c r="C152" s="27" t="s">
        <v>13</v>
      </c>
      <c r="D152" s="27" t="s">
        <v>193</v>
      </c>
      <c r="E152" s="27" t="s">
        <v>198</v>
      </c>
      <c r="F152" s="29" t="s">
        <v>200</v>
      </c>
      <c r="G152" s="27"/>
      <c r="H152" s="25">
        <f>H153+H157+H160+H164+H167</f>
        <v>5261.8</v>
      </c>
      <c r="I152" s="25">
        <f>I153+I157+I160+I164+I167</f>
        <v>5511.8</v>
      </c>
      <c r="J152" s="25">
        <f>J153+J157+J160+J164+J167</f>
        <v>4761.8</v>
      </c>
    </row>
    <row r="153" spans="2:10" s="60" customFormat="1" ht="17.25" customHeight="1">
      <c r="B153" s="77" t="s">
        <v>201</v>
      </c>
      <c r="C153" s="27" t="s">
        <v>13</v>
      </c>
      <c r="D153" s="27" t="s">
        <v>193</v>
      </c>
      <c r="E153" s="27" t="s">
        <v>198</v>
      </c>
      <c r="F153" s="29" t="s">
        <v>202</v>
      </c>
      <c r="G153" s="27"/>
      <c r="H153" s="25">
        <f>H154</f>
        <v>3621.8</v>
      </c>
      <c r="I153" s="25">
        <f>I154</f>
        <v>3621.8</v>
      </c>
      <c r="J153" s="25">
        <f>J154</f>
        <v>3621.8</v>
      </c>
    </row>
    <row r="154" spans="2:10" s="60" customFormat="1" ht="26.25" customHeight="1">
      <c r="B154" s="46" t="s">
        <v>203</v>
      </c>
      <c r="C154" s="27" t="s">
        <v>13</v>
      </c>
      <c r="D154" s="27" t="s">
        <v>193</v>
      </c>
      <c r="E154" s="27" t="s">
        <v>198</v>
      </c>
      <c r="F154" s="29" t="s">
        <v>204</v>
      </c>
      <c r="G154" s="27"/>
      <c r="H154" s="25">
        <f>H155+H156</f>
        <v>3621.8</v>
      </c>
      <c r="I154" s="25">
        <f>I155+I156</f>
        <v>3621.8</v>
      </c>
      <c r="J154" s="25">
        <f>J155+J156</f>
        <v>3621.8</v>
      </c>
    </row>
    <row r="155" spans="2:10" s="60" customFormat="1" ht="24.75" customHeight="1">
      <c r="B155" s="38" t="s">
        <v>26</v>
      </c>
      <c r="C155" s="27" t="s">
        <v>13</v>
      </c>
      <c r="D155" s="27" t="s">
        <v>193</v>
      </c>
      <c r="E155" s="27" t="s">
        <v>198</v>
      </c>
      <c r="F155" s="29" t="s">
        <v>204</v>
      </c>
      <c r="G155" s="27" t="s">
        <v>27</v>
      </c>
      <c r="H155" s="25">
        <f>3563.8+30</f>
        <v>3593.8</v>
      </c>
      <c r="I155" s="25">
        <f>3563.8+30</f>
        <v>3593.8</v>
      </c>
      <c r="J155" s="25">
        <f>3563.8+30</f>
        <v>3593.8</v>
      </c>
    </row>
    <row r="156" spans="2:10" s="60" customFormat="1" ht="24.75" customHeight="1">
      <c r="B156" s="38" t="s">
        <v>39</v>
      </c>
      <c r="C156" s="27" t="s">
        <v>13</v>
      </c>
      <c r="D156" s="27" t="s">
        <v>193</v>
      </c>
      <c r="E156" s="27" t="s">
        <v>198</v>
      </c>
      <c r="F156" s="29" t="s">
        <v>204</v>
      </c>
      <c r="G156" s="27" t="s">
        <v>40</v>
      </c>
      <c r="H156" s="25">
        <v>28</v>
      </c>
      <c r="I156" s="25">
        <v>28</v>
      </c>
      <c r="J156" s="25">
        <v>28</v>
      </c>
    </row>
    <row r="157" spans="2:10" s="60" customFormat="1" ht="24.75" customHeight="1">
      <c r="B157" s="38" t="s">
        <v>205</v>
      </c>
      <c r="C157" s="27" t="s">
        <v>13</v>
      </c>
      <c r="D157" s="27" t="s">
        <v>193</v>
      </c>
      <c r="E157" s="27" t="s">
        <v>198</v>
      </c>
      <c r="F157" s="29" t="s">
        <v>206</v>
      </c>
      <c r="G157" s="27"/>
      <c r="H157" s="25">
        <f t="shared" ref="H157:J158" si="21">H158</f>
        <v>130</v>
      </c>
      <c r="I157" s="25">
        <f t="shared" si="21"/>
        <v>130</v>
      </c>
      <c r="J157" s="25">
        <f t="shared" si="21"/>
        <v>130</v>
      </c>
    </row>
    <row r="158" spans="2:10" s="60" customFormat="1" ht="29.25" customHeight="1">
      <c r="B158" s="46" t="s">
        <v>203</v>
      </c>
      <c r="C158" s="27" t="s">
        <v>13</v>
      </c>
      <c r="D158" s="27" t="s">
        <v>193</v>
      </c>
      <c r="E158" s="27" t="s">
        <v>198</v>
      </c>
      <c r="F158" s="29" t="s">
        <v>207</v>
      </c>
      <c r="G158" s="27"/>
      <c r="H158" s="25">
        <f t="shared" si="21"/>
        <v>130</v>
      </c>
      <c r="I158" s="25">
        <f t="shared" si="21"/>
        <v>130</v>
      </c>
      <c r="J158" s="25">
        <f t="shared" si="21"/>
        <v>130</v>
      </c>
    </row>
    <row r="159" spans="2:10" s="60" customFormat="1" ht="24.75" customHeight="1">
      <c r="B159" s="38" t="s">
        <v>39</v>
      </c>
      <c r="C159" s="27" t="s">
        <v>13</v>
      </c>
      <c r="D159" s="27" t="s">
        <v>193</v>
      </c>
      <c r="E159" s="27" t="s">
        <v>198</v>
      </c>
      <c r="F159" s="29" t="s">
        <v>207</v>
      </c>
      <c r="G159" s="27" t="s">
        <v>40</v>
      </c>
      <c r="H159" s="25">
        <v>130</v>
      </c>
      <c r="I159" s="25">
        <v>130</v>
      </c>
      <c r="J159" s="25">
        <v>130</v>
      </c>
    </row>
    <row r="160" spans="2:10" s="60" customFormat="1" ht="24.75" customHeight="1">
      <c r="B160" s="77" t="s">
        <v>208</v>
      </c>
      <c r="C160" s="27" t="s">
        <v>13</v>
      </c>
      <c r="D160" s="27" t="s">
        <v>193</v>
      </c>
      <c r="E160" s="27" t="s">
        <v>198</v>
      </c>
      <c r="F160" s="29" t="s">
        <v>209</v>
      </c>
      <c r="G160" s="27"/>
      <c r="H160" s="25">
        <f>H161</f>
        <v>1100</v>
      </c>
      <c r="I160" s="25">
        <f>I161</f>
        <v>900</v>
      </c>
      <c r="J160" s="25">
        <f>J161</f>
        <v>700</v>
      </c>
    </row>
    <row r="161" spans="2:11" s="60" customFormat="1" ht="24.75" customHeight="1">
      <c r="B161" s="46" t="s">
        <v>203</v>
      </c>
      <c r="C161" s="27" t="s">
        <v>13</v>
      </c>
      <c r="D161" s="27" t="s">
        <v>193</v>
      </c>
      <c r="E161" s="27" t="s">
        <v>198</v>
      </c>
      <c r="F161" s="29" t="s">
        <v>210</v>
      </c>
      <c r="G161" s="27"/>
      <c r="H161" s="25">
        <f>H162+H163</f>
        <v>1100</v>
      </c>
      <c r="I161" s="25">
        <f>I162+I163</f>
        <v>900</v>
      </c>
      <c r="J161" s="25">
        <f>J162+J163</f>
        <v>700</v>
      </c>
    </row>
    <row r="162" spans="2:11" s="60" customFormat="1" ht="24.75" customHeight="1">
      <c r="B162" s="38" t="s">
        <v>39</v>
      </c>
      <c r="C162" s="27" t="s">
        <v>13</v>
      </c>
      <c r="D162" s="27" t="s">
        <v>193</v>
      </c>
      <c r="E162" s="27" t="s">
        <v>198</v>
      </c>
      <c r="F162" s="29" t="s">
        <v>210</v>
      </c>
      <c r="G162" s="27" t="s">
        <v>40</v>
      </c>
      <c r="H162" s="25">
        <v>1095</v>
      </c>
      <c r="I162" s="25">
        <f>1095-200</f>
        <v>895</v>
      </c>
      <c r="J162" s="25">
        <v>700</v>
      </c>
    </row>
    <row r="163" spans="2:11" s="60" customFormat="1" ht="16.5" customHeight="1">
      <c r="B163" s="38" t="s">
        <v>43</v>
      </c>
      <c r="C163" s="27" t="s">
        <v>13</v>
      </c>
      <c r="D163" s="27" t="s">
        <v>193</v>
      </c>
      <c r="E163" s="27" t="s">
        <v>198</v>
      </c>
      <c r="F163" s="29" t="s">
        <v>210</v>
      </c>
      <c r="G163" s="27" t="s">
        <v>44</v>
      </c>
      <c r="H163" s="25">
        <v>5</v>
      </c>
      <c r="I163" s="25">
        <v>5</v>
      </c>
      <c r="J163" s="25">
        <v>0</v>
      </c>
    </row>
    <row r="164" spans="2:11" s="60" customFormat="1" ht="24.75" customHeight="1">
      <c r="B164" s="56" t="s">
        <v>211</v>
      </c>
      <c r="C164" s="27" t="s">
        <v>13</v>
      </c>
      <c r="D164" s="27" t="s">
        <v>193</v>
      </c>
      <c r="E164" s="27" t="s">
        <v>198</v>
      </c>
      <c r="F164" s="29" t="s">
        <v>212</v>
      </c>
      <c r="G164" s="27"/>
      <c r="H164" s="25">
        <f t="shared" ref="H164:J165" si="22">H165</f>
        <v>150</v>
      </c>
      <c r="I164" s="25">
        <f t="shared" si="22"/>
        <v>150</v>
      </c>
      <c r="J164" s="25">
        <f t="shared" si="22"/>
        <v>150</v>
      </c>
    </row>
    <row r="165" spans="2:11" s="60" customFormat="1" ht="55.5" customHeight="1">
      <c r="B165" s="51" t="s">
        <v>213</v>
      </c>
      <c r="C165" s="27" t="s">
        <v>13</v>
      </c>
      <c r="D165" s="27" t="s">
        <v>193</v>
      </c>
      <c r="E165" s="27" t="s">
        <v>198</v>
      </c>
      <c r="F165" s="29" t="s">
        <v>214</v>
      </c>
      <c r="G165" s="27"/>
      <c r="H165" s="25">
        <f t="shared" si="22"/>
        <v>150</v>
      </c>
      <c r="I165" s="25">
        <f t="shared" si="22"/>
        <v>150</v>
      </c>
      <c r="J165" s="25">
        <f t="shared" si="22"/>
        <v>150</v>
      </c>
      <c r="K165"/>
    </row>
    <row r="166" spans="2:11" s="60" customFormat="1" ht="24.75" customHeight="1">
      <c r="B166" s="56" t="s">
        <v>39</v>
      </c>
      <c r="C166" s="27" t="s">
        <v>13</v>
      </c>
      <c r="D166" s="27" t="s">
        <v>193</v>
      </c>
      <c r="E166" s="27" t="s">
        <v>198</v>
      </c>
      <c r="F166" s="29" t="s">
        <v>214</v>
      </c>
      <c r="G166" s="27" t="s">
        <v>40</v>
      </c>
      <c r="H166" s="25">
        <v>150</v>
      </c>
      <c r="I166" s="25">
        <v>150</v>
      </c>
      <c r="J166" s="25">
        <v>150</v>
      </c>
    </row>
    <row r="167" spans="2:11" s="60" customFormat="1" ht="24.75" customHeight="1">
      <c r="B167" s="56" t="s">
        <v>215</v>
      </c>
      <c r="C167" s="27" t="s">
        <v>13</v>
      </c>
      <c r="D167" s="27" t="s">
        <v>193</v>
      </c>
      <c r="E167" s="27" t="s">
        <v>198</v>
      </c>
      <c r="F167" s="29" t="s">
        <v>216</v>
      </c>
      <c r="G167" s="27"/>
      <c r="H167" s="25">
        <f>H168+H170</f>
        <v>260</v>
      </c>
      <c r="I167" s="25">
        <f>I168+I170</f>
        <v>710</v>
      </c>
      <c r="J167" s="25">
        <f>J168+J170</f>
        <v>160</v>
      </c>
    </row>
    <row r="168" spans="2:11" s="60" customFormat="1" ht="19.5" customHeight="1">
      <c r="B168" s="56" t="s">
        <v>217</v>
      </c>
      <c r="C168" s="27" t="s">
        <v>13</v>
      </c>
      <c r="D168" s="27" t="s">
        <v>193</v>
      </c>
      <c r="E168" s="27" t="s">
        <v>198</v>
      </c>
      <c r="F168" s="29" t="s">
        <v>218</v>
      </c>
      <c r="G168" s="27"/>
      <c r="H168" s="25">
        <f>H169</f>
        <v>160</v>
      </c>
      <c r="I168" s="25">
        <f>I169</f>
        <v>160</v>
      </c>
      <c r="J168" s="25">
        <f>J169</f>
        <v>160</v>
      </c>
    </row>
    <row r="169" spans="2:11" s="60" customFormat="1" ht="24.75" customHeight="1">
      <c r="B169" s="56" t="s">
        <v>39</v>
      </c>
      <c r="C169" s="27" t="s">
        <v>13</v>
      </c>
      <c r="D169" s="27" t="s">
        <v>193</v>
      </c>
      <c r="E169" s="27" t="s">
        <v>198</v>
      </c>
      <c r="F169" s="29" t="s">
        <v>218</v>
      </c>
      <c r="G169" s="27" t="s">
        <v>40</v>
      </c>
      <c r="H169" s="25">
        <v>160</v>
      </c>
      <c r="I169" s="25">
        <v>160</v>
      </c>
      <c r="J169" s="25">
        <v>160</v>
      </c>
      <c r="K169" s="72"/>
    </row>
    <row r="170" spans="2:11" s="60" customFormat="1" ht="27.75" customHeight="1">
      <c r="B170" s="56" t="s">
        <v>219</v>
      </c>
      <c r="C170" s="27" t="s">
        <v>13</v>
      </c>
      <c r="D170" s="27" t="s">
        <v>193</v>
      </c>
      <c r="E170" s="27" t="s">
        <v>198</v>
      </c>
      <c r="F170" s="29" t="s">
        <v>220</v>
      </c>
      <c r="G170" s="27"/>
      <c r="H170" s="25">
        <f>H171</f>
        <v>100</v>
      </c>
      <c r="I170" s="25">
        <f>I171</f>
        <v>550</v>
      </c>
      <c r="J170" s="25">
        <f>J171</f>
        <v>0</v>
      </c>
      <c r="K170" s="72"/>
    </row>
    <row r="171" spans="2:11" s="60" customFormat="1" ht="24.75" customHeight="1">
      <c r="B171" s="56" t="s">
        <v>39</v>
      </c>
      <c r="C171" s="27" t="s">
        <v>13</v>
      </c>
      <c r="D171" s="27" t="s">
        <v>193</v>
      </c>
      <c r="E171" s="27" t="s">
        <v>198</v>
      </c>
      <c r="F171" s="29" t="s">
        <v>220</v>
      </c>
      <c r="G171" s="27" t="s">
        <v>40</v>
      </c>
      <c r="H171" s="25">
        <f>550-450</f>
        <v>100</v>
      </c>
      <c r="I171" s="25">
        <f>450+100</f>
        <v>550</v>
      </c>
      <c r="J171" s="25">
        <v>0</v>
      </c>
      <c r="K171"/>
    </row>
    <row r="172" spans="2:11" s="60" customFormat="1" ht="30" hidden="1" customHeight="1">
      <c r="B172" s="78" t="s">
        <v>221</v>
      </c>
      <c r="C172" s="79" t="s">
        <v>13</v>
      </c>
      <c r="D172" s="80">
        <v>3</v>
      </c>
      <c r="E172" s="80">
        <v>10</v>
      </c>
      <c r="F172" s="29"/>
      <c r="G172" s="27"/>
      <c r="H172" s="21">
        <f t="shared" ref="H172:J175" si="23">H173</f>
        <v>0</v>
      </c>
      <c r="I172" s="21">
        <f t="shared" si="23"/>
        <v>0</v>
      </c>
      <c r="J172" s="21">
        <f t="shared" si="23"/>
        <v>0</v>
      </c>
      <c r="K172" s="72"/>
    </row>
    <row r="173" spans="2:11" s="60" customFormat="1" ht="42" hidden="1" customHeight="1">
      <c r="B173" s="70" t="s">
        <v>222</v>
      </c>
      <c r="C173" s="27" t="s">
        <v>13</v>
      </c>
      <c r="D173" s="27" t="s">
        <v>193</v>
      </c>
      <c r="E173" s="27" t="s">
        <v>223</v>
      </c>
      <c r="F173" s="29" t="s">
        <v>184</v>
      </c>
      <c r="G173" s="27"/>
      <c r="H173" s="25">
        <f t="shared" si="23"/>
        <v>0</v>
      </c>
      <c r="I173" s="25">
        <f t="shared" si="23"/>
        <v>0</v>
      </c>
      <c r="J173" s="25">
        <f t="shared" si="23"/>
        <v>0</v>
      </c>
      <c r="K173" s="72"/>
    </row>
    <row r="174" spans="2:11" s="60" customFormat="1" ht="28.5" hidden="1" customHeight="1">
      <c r="B174" s="81" t="s">
        <v>185</v>
      </c>
      <c r="C174" s="27" t="s">
        <v>13</v>
      </c>
      <c r="D174" s="27" t="s">
        <v>193</v>
      </c>
      <c r="E174" s="27" t="s">
        <v>223</v>
      </c>
      <c r="F174" s="29" t="s">
        <v>186</v>
      </c>
      <c r="G174" s="27"/>
      <c r="H174" s="25">
        <f t="shared" si="23"/>
        <v>0</v>
      </c>
      <c r="I174" s="25">
        <f t="shared" si="23"/>
        <v>0</v>
      </c>
      <c r="J174" s="25">
        <f t="shared" si="23"/>
        <v>0</v>
      </c>
      <c r="K174" s="72"/>
    </row>
    <row r="175" spans="2:11" s="60" customFormat="1" ht="28.5" hidden="1" customHeight="1">
      <c r="B175" s="81" t="s">
        <v>224</v>
      </c>
      <c r="C175" s="82" t="s">
        <v>13</v>
      </c>
      <c r="D175" s="83">
        <v>3</v>
      </c>
      <c r="E175" s="83">
        <v>10</v>
      </c>
      <c r="F175" s="29" t="s">
        <v>225</v>
      </c>
      <c r="G175" s="27"/>
      <c r="H175" s="25">
        <f t="shared" si="23"/>
        <v>0</v>
      </c>
      <c r="I175" s="25">
        <f t="shared" si="23"/>
        <v>0</v>
      </c>
      <c r="J175" s="25">
        <f t="shared" si="23"/>
        <v>0</v>
      </c>
      <c r="K175" s="72"/>
    </row>
    <row r="176" spans="2:11" s="60" customFormat="1" ht="26.25" hidden="1" customHeight="1">
      <c r="B176" s="51" t="s">
        <v>39</v>
      </c>
      <c r="C176" s="82" t="s">
        <v>13</v>
      </c>
      <c r="D176" s="83">
        <v>3</v>
      </c>
      <c r="E176" s="83">
        <v>10</v>
      </c>
      <c r="F176" s="29" t="s">
        <v>225</v>
      </c>
      <c r="G176" s="27" t="s">
        <v>40</v>
      </c>
      <c r="H176" s="25"/>
      <c r="I176" s="25"/>
      <c r="J176" s="25"/>
      <c r="K176" s="72"/>
    </row>
    <row r="177" spans="2:10" s="72" customFormat="1" ht="26.25" customHeight="1">
      <c r="B177" s="75" t="s">
        <v>226</v>
      </c>
      <c r="C177" s="20" t="s">
        <v>13</v>
      </c>
      <c r="D177" s="20" t="s">
        <v>193</v>
      </c>
      <c r="E177" s="20" t="s">
        <v>227</v>
      </c>
      <c r="F177" s="20"/>
      <c r="G177" s="20"/>
      <c r="H177" s="25">
        <f t="shared" ref="H177:J178" si="24">H178</f>
        <v>578.6</v>
      </c>
      <c r="I177" s="25">
        <f t="shared" si="24"/>
        <v>96.2</v>
      </c>
      <c r="J177" s="25">
        <f t="shared" si="24"/>
        <v>96.2</v>
      </c>
    </row>
    <row r="178" spans="2:10" s="60" customFormat="1" ht="38.25">
      <c r="B178" s="38" t="s">
        <v>55</v>
      </c>
      <c r="C178" s="20" t="s">
        <v>13</v>
      </c>
      <c r="D178" s="27" t="s">
        <v>193</v>
      </c>
      <c r="E178" s="27" t="s">
        <v>227</v>
      </c>
      <c r="F178" s="36" t="s">
        <v>56</v>
      </c>
      <c r="G178" s="30"/>
      <c r="H178" s="25">
        <f t="shared" si="24"/>
        <v>578.6</v>
      </c>
      <c r="I178" s="25">
        <f t="shared" si="24"/>
        <v>96.2</v>
      </c>
      <c r="J178" s="25">
        <f t="shared" si="24"/>
        <v>96.2</v>
      </c>
    </row>
    <row r="179" spans="2:10" s="60" customFormat="1" ht="15" customHeight="1">
      <c r="B179" s="46" t="s">
        <v>57</v>
      </c>
      <c r="C179" s="20" t="s">
        <v>13</v>
      </c>
      <c r="D179" s="27" t="s">
        <v>193</v>
      </c>
      <c r="E179" s="27" t="s">
        <v>227</v>
      </c>
      <c r="F179" s="29" t="s">
        <v>58</v>
      </c>
      <c r="G179" s="30"/>
      <c r="H179" s="25">
        <f>H180+H187+H194+H184</f>
        <v>578.6</v>
      </c>
      <c r="I179" s="25">
        <f>I180+I187+I194+I184</f>
        <v>96.2</v>
      </c>
      <c r="J179" s="25">
        <f>J180+J187+J194+J184</f>
        <v>96.2</v>
      </c>
    </row>
    <row r="180" spans="2:10" s="60" customFormat="1" ht="38.25">
      <c r="B180" s="46" t="s">
        <v>228</v>
      </c>
      <c r="C180" s="20" t="s">
        <v>13</v>
      </c>
      <c r="D180" s="27" t="s">
        <v>193</v>
      </c>
      <c r="E180" s="27" t="s">
        <v>227</v>
      </c>
      <c r="F180" s="29" t="s">
        <v>229</v>
      </c>
      <c r="G180" s="30"/>
      <c r="H180" s="25">
        <f>H181</f>
        <v>11</v>
      </c>
      <c r="I180" s="25">
        <f>I181</f>
        <v>11</v>
      </c>
      <c r="J180" s="25">
        <f>J181</f>
        <v>11</v>
      </c>
    </row>
    <row r="181" spans="2:10" s="60" customFormat="1">
      <c r="B181" s="46" t="s">
        <v>230</v>
      </c>
      <c r="C181" s="20" t="s">
        <v>13</v>
      </c>
      <c r="D181" s="27" t="s">
        <v>193</v>
      </c>
      <c r="E181" s="27" t="s">
        <v>227</v>
      </c>
      <c r="F181" s="29" t="s">
        <v>231</v>
      </c>
      <c r="G181" s="30"/>
      <c r="H181" s="25">
        <f>H183+H182</f>
        <v>11</v>
      </c>
      <c r="I181" s="25">
        <f>I183+I182</f>
        <v>11</v>
      </c>
      <c r="J181" s="25">
        <f>J183+J182</f>
        <v>11</v>
      </c>
    </row>
    <row r="182" spans="2:10" s="84" customFormat="1" ht="25.5">
      <c r="B182" s="38" t="s">
        <v>39</v>
      </c>
      <c r="C182" s="20" t="s">
        <v>13</v>
      </c>
      <c r="D182" s="27" t="s">
        <v>193</v>
      </c>
      <c r="E182" s="27" t="s">
        <v>227</v>
      </c>
      <c r="F182" s="29" t="s">
        <v>231</v>
      </c>
      <c r="G182" s="30" t="s">
        <v>40</v>
      </c>
      <c r="H182" s="25">
        <v>6</v>
      </c>
      <c r="I182" s="25">
        <v>6</v>
      </c>
      <c r="J182" s="25">
        <v>6</v>
      </c>
    </row>
    <row r="183" spans="2:10" s="60" customFormat="1">
      <c r="B183" s="85" t="s">
        <v>232</v>
      </c>
      <c r="C183" s="20" t="s">
        <v>13</v>
      </c>
      <c r="D183" s="27" t="s">
        <v>193</v>
      </c>
      <c r="E183" s="27" t="s">
        <v>227</v>
      </c>
      <c r="F183" s="29" t="s">
        <v>231</v>
      </c>
      <c r="G183" s="30" t="s">
        <v>95</v>
      </c>
      <c r="H183" s="25">
        <v>5</v>
      </c>
      <c r="I183" s="25">
        <v>5</v>
      </c>
      <c r="J183" s="25">
        <v>5</v>
      </c>
    </row>
    <row r="184" spans="2:10" s="60" customFormat="1" ht="25.5">
      <c r="B184" s="85" t="s">
        <v>233</v>
      </c>
      <c r="C184" s="20" t="s">
        <v>13</v>
      </c>
      <c r="D184" s="27" t="s">
        <v>193</v>
      </c>
      <c r="E184" s="27" t="s">
        <v>227</v>
      </c>
      <c r="F184" s="29" t="s">
        <v>234</v>
      </c>
      <c r="G184" s="30"/>
      <c r="H184" s="25">
        <f t="shared" ref="H184:J185" si="25">H185</f>
        <v>10</v>
      </c>
      <c r="I184" s="25">
        <f t="shared" si="25"/>
        <v>10</v>
      </c>
      <c r="J184" s="25">
        <f t="shared" si="25"/>
        <v>10</v>
      </c>
    </row>
    <row r="185" spans="2:10" s="60" customFormat="1">
      <c r="B185" s="46" t="s">
        <v>230</v>
      </c>
      <c r="C185" s="20" t="s">
        <v>13</v>
      </c>
      <c r="D185" s="27" t="s">
        <v>193</v>
      </c>
      <c r="E185" s="27" t="s">
        <v>227</v>
      </c>
      <c r="F185" s="29" t="s">
        <v>235</v>
      </c>
      <c r="G185" s="30"/>
      <c r="H185" s="25">
        <f t="shared" si="25"/>
        <v>10</v>
      </c>
      <c r="I185" s="25">
        <f t="shared" si="25"/>
        <v>10</v>
      </c>
      <c r="J185" s="25">
        <f t="shared" si="25"/>
        <v>10</v>
      </c>
    </row>
    <row r="186" spans="2:10" s="60" customFormat="1" ht="25.5">
      <c r="B186" s="47" t="s">
        <v>39</v>
      </c>
      <c r="C186" s="20" t="s">
        <v>13</v>
      </c>
      <c r="D186" s="27" t="s">
        <v>193</v>
      </c>
      <c r="E186" s="27" t="s">
        <v>227</v>
      </c>
      <c r="F186" s="29" t="s">
        <v>235</v>
      </c>
      <c r="G186" s="30" t="s">
        <v>40</v>
      </c>
      <c r="H186" s="25">
        <v>10</v>
      </c>
      <c r="I186" s="25">
        <v>10</v>
      </c>
      <c r="J186" s="25">
        <v>10</v>
      </c>
    </row>
    <row r="187" spans="2:10" s="60" customFormat="1">
      <c r="B187" s="85" t="s">
        <v>236</v>
      </c>
      <c r="C187" s="20" t="s">
        <v>13</v>
      </c>
      <c r="D187" s="27" t="s">
        <v>193</v>
      </c>
      <c r="E187" s="27" t="s">
        <v>227</v>
      </c>
      <c r="F187" s="29" t="s">
        <v>237</v>
      </c>
      <c r="G187" s="30"/>
      <c r="H187" s="25">
        <f>H188+H192+H190</f>
        <v>547.6</v>
      </c>
      <c r="I187" s="25">
        <f>I188+I192+I190</f>
        <v>65.2</v>
      </c>
      <c r="J187" s="25">
        <f>J188+J192+J190</f>
        <v>65.2</v>
      </c>
    </row>
    <row r="188" spans="2:10" s="60" customFormat="1">
      <c r="B188" s="46" t="s">
        <v>230</v>
      </c>
      <c r="C188" s="20" t="s">
        <v>13</v>
      </c>
      <c r="D188" s="27" t="s">
        <v>193</v>
      </c>
      <c r="E188" s="27" t="s">
        <v>227</v>
      </c>
      <c r="F188" s="29" t="s">
        <v>238</v>
      </c>
      <c r="G188" s="30"/>
      <c r="H188" s="25">
        <f>H189</f>
        <v>5</v>
      </c>
      <c r="I188" s="25">
        <f>I189</f>
        <v>5</v>
      </c>
      <c r="J188" s="25">
        <f>J189</f>
        <v>5</v>
      </c>
    </row>
    <row r="189" spans="2:10" s="60" customFormat="1">
      <c r="B189" s="85" t="s">
        <v>232</v>
      </c>
      <c r="C189" s="20" t="s">
        <v>13</v>
      </c>
      <c r="D189" s="27" t="s">
        <v>193</v>
      </c>
      <c r="E189" s="27" t="s">
        <v>227</v>
      </c>
      <c r="F189" s="29" t="s">
        <v>238</v>
      </c>
      <c r="G189" s="30" t="s">
        <v>95</v>
      </c>
      <c r="H189" s="25">
        <v>5</v>
      </c>
      <c r="I189" s="25">
        <v>5</v>
      </c>
      <c r="J189" s="25">
        <v>5</v>
      </c>
    </row>
    <row r="190" spans="2:10" s="60" customFormat="1" ht="25.5">
      <c r="B190" s="85" t="s">
        <v>239</v>
      </c>
      <c r="C190" s="20" t="s">
        <v>13</v>
      </c>
      <c r="D190" s="27" t="s">
        <v>193</v>
      </c>
      <c r="E190" s="27" t="s">
        <v>227</v>
      </c>
      <c r="F190" s="29" t="s">
        <v>240</v>
      </c>
      <c r="G190" s="30"/>
      <c r="H190" s="25">
        <f>H191</f>
        <v>140</v>
      </c>
      <c r="I190" s="25">
        <f>I191</f>
        <v>0</v>
      </c>
      <c r="J190" s="25">
        <f>J191</f>
        <v>0</v>
      </c>
    </row>
    <row r="191" spans="2:10" s="60" customFormat="1" ht="25.5">
      <c r="B191" s="85" t="s">
        <v>39</v>
      </c>
      <c r="C191" s="20" t="s">
        <v>13</v>
      </c>
      <c r="D191" s="27" t="s">
        <v>193</v>
      </c>
      <c r="E191" s="27" t="s">
        <v>227</v>
      </c>
      <c r="F191" s="29" t="s">
        <v>240</v>
      </c>
      <c r="G191" s="30" t="s">
        <v>40</v>
      </c>
      <c r="H191" s="25">
        <v>140</v>
      </c>
      <c r="I191" s="25">
        <v>0</v>
      </c>
      <c r="J191" s="25">
        <v>0</v>
      </c>
    </row>
    <row r="192" spans="2:10" s="60" customFormat="1" ht="25.5">
      <c r="B192" s="86" t="s">
        <v>241</v>
      </c>
      <c r="C192" s="20" t="s">
        <v>13</v>
      </c>
      <c r="D192" s="27" t="s">
        <v>193</v>
      </c>
      <c r="E192" s="27" t="s">
        <v>227</v>
      </c>
      <c r="F192" s="29" t="s">
        <v>242</v>
      </c>
      <c r="G192" s="30"/>
      <c r="H192" s="25">
        <f>H193</f>
        <v>402.6</v>
      </c>
      <c r="I192" s="25">
        <f>I193</f>
        <v>60.2</v>
      </c>
      <c r="J192" s="25">
        <f>J193</f>
        <v>60.2</v>
      </c>
    </row>
    <row r="193" spans="2:11" s="60" customFormat="1" ht="25.5">
      <c r="B193" s="85" t="s">
        <v>39</v>
      </c>
      <c r="C193" s="20" t="s">
        <v>13</v>
      </c>
      <c r="D193" s="27" t="s">
        <v>193</v>
      </c>
      <c r="E193" s="27" t="s">
        <v>227</v>
      </c>
      <c r="F193" s="29" t="s">
        <v>242</v>
      </c>
      <c r="G193" s="30" t="s">
        <v>40</v>
      </c>
      <c r="H193" s="25">
        <f>77.9+4.1+365.6-45</f>
        <v>402.6</v>
      </c>
      <c r="I193" s="25">
        <f>57.2+3</f>
        <v>60.2</v>
      </c>
      <c r="J193" s="25">
        <f>57.2+3</f>
        <v>60.2</v>
      </c>
      <c r="K193"/>
    </row>
    <row r="194" spans="2:11" s="60" customFormat="1" ht="25.5">
      <c r="B194" s="38" t="s">
        <v>243</v>
      </c>
      <c r="C194" s="20" t="s">
        <v>13</v>
      </c>
      <c r="D194" s="27" t="s">
        <v>193</v>
      </c>
      <c r="E194" s="27" t="s">
        <v>227</v>
      </c>
      <c r="F194" s="36" t="s">
        <v>244</v>
      </c>
      <c r="G194" s="30"/>
      <c r="H194" s="25">
        <f t="shared" ref="H194:J195" si="26">H195</f>
        <v>10</v>
      </c>
      <c r="I194" s="25">
        <f t="shared" si="26"/>
        <v>10</v>
      </c>
      <c r="J194" s="25">
        <f t="shared" si="26"/>
        <v>10</v>
      </c>
    </row>
    <row r="195" spans="2:11" s="60" customFormat="1">
      <c r="B195" s="46" t="s">
        <v>230</v>
      </c>
      <c r="C195" s="20" t="s">
        <v>13</v>
      </c>
      <c r="D195" s="27" t="s">
        <v>193</v>
      </c>
      <c r="E195" s="27" t="s">
        <v>227</v>
      </c>
      <c r="F195" s="36" t="s">
        <v>245</v>
      </c>
      <c r="G195" s="30"/>
      <c r="H195" s="25">
        <f t="shared" si="26"/>
        <v>10</v>
      </c>
      <c r="I195" s="25">
        <f t="shared" si="26"/>
        <v>10</v>
      </c>
      <c r="J195" s="25">
        <f t="shared" si="26"/>
        <v>10</v>
      </c>
    </row>
    <row r="196" spans="2:11" s="60" customFormat="1" ht="25.5">
      <c r="B196" s="47" t="s">
        <v>39</v>
      </c>
      <c r="C196" s="20" t="s">
        <v>13</v>
      </c>
      <c r="D196" s="27" t="s">
        <v>193</v>
      </c>
      <c r="E196" s="27" t="s">
        <v>227</v>
      </c>
      <c r="F196" s="36" t="s">
        <v>245</v>
      </c>
      <c r="G196" s="30" t="s">
        <v>40</v>
      </c>
      <c r="H196" s="25">
        <v>10</v>
      </c>
      <c r="I196" s="25">
        <v>10</v>
      </c>
      <c r="J196" s="25">
        <v>10</v>
      </c>
    </row>
    <row r="197" spans="2:11" s="22" customFormat="1">
      <c r="B197" s="75" t="s">
        <v>246</v>
      </c>
      <c r="C197" s="20" t="s">
        <v>13</v>
      </c>
      <c r="D197" s="20" t="s">
        <v>30</v>
      </c>
      <c r="E197" s="20"/>
      <c r="F197" s="20"/>
      <c r="G197" s="20"/>
      <c r="H197" s="25">
        <f>H198+H203+H211+H228</f>
        <v>58401.600000000006</v>
      </c>
      <c r="I197" s="25">
        <f>I198+I203+I211+I228</f>
        <v>20495.700000000004</v>
      </c>
      <c r="J197" s="25">
        <f>J198+J203+J211+J228</f>
        <v>21139.700000000004</v>
      </c>
    </row>
    <row r="198" spans="2:11" s="22" customFormat="1">
      <c r="B198" s="75" t="s">
        <v>247</v>
      </c>
      <c r="C198" s="20" t="s">
        <v>13</v>
      </c>
      <c r="D198" s="20" t="s">
        <v>30</v>
      </c>
      <c r="E198" s="20" t="s">
        <v>15</v>
      </c>
      <c r="F198" s="20"/>
      <c r="G198" s="20"/>
      <c r="H198" s="25">
        <f t="shared" ref="H198:J201" si="27">H199</f>
        <v>550</v>
      </c>
      <c r="I198" s="25">
        <f t="shared" si="27"/>
        <v>550</v>
      </c>
      <c r="J198" s="25">
        <f t="shared" si="27"/>
        <v>550</v>
      </c>
    </row>
    <row r="199" spans="2:11" s="60" customFormat="1" ht="25.5">
      <c r="B199" s="38" t="s">
        <v>248</v>
      </c>
      <c r="C199" s="27" t="s">
        <v>13</v>
      </c>
      <c r="D199" s="27" t="s">
        <v>30</v>
      </c>
      <c r="E199" s="27" t="s">
        <v>15</v>
      </c>
      <c r="F199" s="29" t="s">
        <v>249</v>
      </c>
      <c r="G199" s="30"/>
      <c r="H199" s="25">
        <f t="shared" si="27"/>
        <v>550</v>
      </c>
      <c r="I199" s="25">
        <f t="shared" si="27"/>
        <v>550</v>
      </c>
      <c r="J199" s="25">
        <f t="shared" si="27"/>
        <v>550</v>
      </c>
    </row>
    <row r="200" spans="2:11" s="60" customFormat="1" ht="29.25" customHeight="1">
      <c r="B200" s="87" t="s">
        <v>250</v>
      </c>
      <c r="C200" s="27" t="s">
        <v>13</v>
      </c>
      <c r="D200" s="27" t="s">
        <v>30</v>
      </c>
      <c r="E200" s="27" t="s">
        <v>15</v>
      </c>
      <c r="F200" s="29" t="s">
        <v>251</v>
      </c>
      <c r="G200" s="30"/>
      <c r="H200" s="25">
        <f t="shared" si="27"/>
        <v>550</v>
      </c>
      <c r="I200" s="25">
        <f t="shared" si="27"/>
        <v>550</v>
      </c>
      <c r="J200" s="25">
        <f t="shared" si="27"/>
        <v>550</v>
      </c>
    </row>
    <row r="201" spans="2:11" s="60" customFormat="1">
      <c r="B201" s="66" t="s">
        <v>252</v>
      </c>
      <c r="C201" s="27" t="s">
        <v>13</v>
      </c>
      <c r="D201" s="27" t="s">
        <v>30</v>
      </c>
      <c r="E201" s="27" t="s">
        <v>15</v>
      </c>
      <c r="F201" s="29" t="s">
        <v>253</v>
      </c>
      <c r="G201" s="30"/>
      <c r="H201" s="25">
        <f t="shared" si="27"/>
        <v>550</v>
      </c>
      <c r="I201" s="25">
        <f t="shared" si="27"/>
        <v>550</v>
      </c>
      <c r="J201" s="25">
        <f t="shared" si="27"/>
        <v>550</v>
      </c>
    </row>
    <row r="202" spans="2:11" s="60" customFormat="1" ht="25.5">
      <c r="B202" s="38" t="s">
        <v>39</v>
      </c>
      <c r="C202" s="27" t="s">
        <v>13</v>
      </c>
      <c r="D202" s="27" t="s">
        <v>30</v>
      </c>
      <c r="E202" s="27" t="s">
        <v>15</v>
      </c>
      <c r="F202" s="29" t="s">
        <v>253</v>
      </c>
      <c r="G202" s="30" t="s">
        <v>40</v>
      </c>
      <c r="H202" s="25">
        <v>550</v>
      </c>
      <c r="I202" s="25">
        <v>550</v>
      </c>
      <c r="J202" s="25">
        <v>550</v>
      </c>
      <c r="K202"/>
    </row>
    <row r="203" spans="2:11" s="72" customFormat="1">
      <c r="B203" s="19" t="s">
        <v>254</v>
      </c>
      <c r="C203" s="20" t="s">
        <v>13</v>
      </c>
      <c r="D203" s="20" t="s">
        <v>30</v>
      </c>
      <c r="E203" s="20" t="s">
        <v>255</v>
      </c>
      <c r="F203" s="88"/>
      <c r="G203" s="20"/>
      <c r="H203" s="21">
        <f t="shared" ref="H203:J205" si="28">H204</f>
        <v>3977.9</v>
      </c>
      <c r="I203" s="21">
        <f t="shared" si="28"/>
        <v>3977.9</v>
      </c>
      <c r="J203" s="21">
        <f t="shared" si="28"/>
        <v>3977.9</v>
      </c>
    </row>
    <row r="204" spans="2:11" s="60" customFormat="1" ht="24.75" customHeight="1">
      <c r="B204" s="38" t="s">
        <v>256</v>
      </c>
      <c r="C204" s="27" t="s">
        <v>13</v>
      </c>
      <c r="D204" s="27" t="s">
        <v>30</v>
      </c>
      <c r="E204" s="27" t="s">
        <v>255</v>
      </c>
      <c r="F204" s="29" t="s">
        <v>257</v>
      </c>
      <c r="G204" s="30"/>
      <c r="H204" s="25">
        <f t="shared" si="28"/>
        <v>3977.9</v>
      </c>
      <c r="I204" s="25">
        <f t="shared" si="28"/>
        <v>3977.9</v>
      </c>
      <c r="J204" s="25">
        <f t="shared" si="28"/>
        <v>3977.9</v>
      </c>
    </row>
    <row r="205" spans="2:11" s="60" customFormat="1" ht="17.25" customHeight="1">
      <c r="B205" s="38" t="s">
        <v>258</v>
      </c>
      <c r="C205" s="27" t="s">
        <v>13</v>
      </c>
      <c r="D205" s="27" t="s">
        <v>30</v>
      </c>
      <c r="E205" s="27" t="s">
        <v>255</v>
      </c>
      <c r="F205" s="29" t="s">
        <v>259</v>
      </c>
      <c r="G205" s="30"/>
      <c r="H205" s="25">
        <f t="shared" si="28"/>
        <v>3977.9</v>
      </c>
      <c r="I205" s="25">
        <f t="shared" si="28"/>
        <v>3977.9</v>
      </c>
      <c r="J205" s="25">
        <f t="shared" si="28"/>
        <v>3977.9</v>
      </c>
    </row>
    <row r="206" spans="2:11" s="60" customFormat="1" ht="24" customHeight="1">
      <c r="B206" s="89" t="s">
        <v>260</v>
      </c>
      <c r="C206" s="27" t="s">
        <v>13</v>
      </c>
      <c r="D206" s="27" t="s">
        <v>30</v>
      </c>
      <c r="E206" s="27" t="s">
        <v>255</v>
      </c>
      <c r="F206" s="29" t="s">
        <v>261</v>
      </c>
      <c r="G206" s="30"/>
      <c r="H206" s="25">
        <f>H209+H207</f>
        <v>3977.9</v>
      </c>
      <c r="I206" s="25">
        <f>I209+I207</f>
        <v>3977.9</v>
      </c>
      <c r="J206" s="25">
        <f>J209+J207</f>
        <v>3977.9</v>
      </c>
    </row>
    <row r="207" spans="2:11" s="60" customFormat="1" ht="19.5" hidden="1" customHeight="1">
      <c r="B207" s="43" t="s">
        <v>262</v>
      </c>
      <c r="C207" s="27" t="s">
        <v>13</v>
      </c>
      <c r="D207" s="27" t="s">
        <v>30</v>
      </c>
      <c r="E207" s="27" t="s">
        <v>255</v>
      </c>
      <c r="F207" s="29" t="s">
        <v>263</v>
      </c>
      <c r="G207" s="30"/>
      <c r="H207" s="25">
        <f>H208</f>
        <v>0</v>
      </c>
      <c r="I207" s="25">
        <f>I208</f>
        <v>0</v>
      </c>
      <c r="J207" s="25">
        <f>J208</f>
        <v>0</v>
      </c>
    </row>
    <row r="208" spans="2:11" s="60" customFormat="1" ht="41.25" hidden="1" customHeight="1">
      <c r="B208" s="44" t="s">
        <v>264</v>
      </c>
      <c r="C208" s="27" t="s">
        <v>13</v>
      </c>
      <c r="D208" s="27" t="s">
        <v>30</v>
      </c>
      <c r="E208" s="27" t="s">
        <v>255</v>
      </c>
      <c r="F208" s="29" t="s">
        <v>263</v>
      </c>
      <c r="G208" s="30" t="s">
        <v>265</v>
      </c>
      <c r="H208" s="25">
        <v>0</v>
      </c>
      <c r="I208" s="25">
        <v>0</v>
      </c>
      <c r="J208" s="25">
        <v>0</v>
      </c>
    </row>
    <row r="209" spans="2:11" s="60" customFormat="1" ht="24.75" customHeight="1">
      <c r="B209" s="89" t="s">
        <v>266</v>
      </c>
      <c r="C209" s="27" t="s">
        <v>13</v>
      </c>
      <c r="D209" s="27" t="s">
        <v>30</v>
      </c>
      <c r="E209" s="27" t="s">
        <v>255</v>
      </c>
      <c r="F209" s="29" t="s">
        <v>267</v>
      </c>
      <c r="G209" s="30"/>
      <c r="H209" s="25">
        <f>H210</f>
        <v>3977.9</v>
      </c>
      <c r="I209" s="25">
        <f>I210</f>
        <v>3977.9</v>
      </c>
      <c r="J209" s="25">
        <f>J210</f>
        <v>3977.9</v>
      </c>
    </row>
    <row r="210" spans="2:11" s="60" customFormat="1" ht="24" customHeight="1">
      <c r="B210" s="38" t="s">
        <v>39</v>
      </c>
      <c r="C210" s="27" t="s">
        <v>13</v>
      </c>
      <c r="D210" s="27" t="s">
        <v>30</v>
      </c>
      <c r="E210" s="27" t="s">
        <v>255</v>
      </c>
      <c r="F210" s="29" t="s">
        <v>267</v>
      </c>
      <c r="G210" s="30" t="s">
        <v>40</v>
      </c>
      <c r="H210" s="25">
        <f>3818.8+159.1</f>
        <v>3977.9</v>
      </c>
      <c r="I210" s="25">
        <f>3818.8+159.1</f>
        <v>3977.9</v>
      </c>
      <c r="J210" s="25">
        <f>3818.8+159.1</f>
        <v>3977.9</v>
      </c>
    </row>
    <row r="211" spans="2:11" s="91" customFormat="1">
      <c r="B211" s="90" t="s">
        <v>268</v>
      </c>
      <c r="C211" s="20" t="s">
        <v>13</v>
      </c>
      <c r="D211" s="20" t="s">
        <v>30</v>
      </c>
      <c r="E211" s="20" t="s">
        <v>198</v>
      </c>
      <c r="F211" s="20"/>
      <c r="G211" s="20"/>
      <c r="H211" s="21">
        <f>H216+H212</f>
        <v>53403.4</v>
      </c>
      <c r="I211" s="21">
        <f>I216+I212</f>
        <v>15558.400000000001</v>
      </c>
      <c r="J211" s="21">
        <f>J216+J212</f>
        <v>16202.400000000001</v>
      </c>
    </row>
    <row r="212" spans="2:11" s="60" customFormat="1" ht="38.25">
      <c r="B212" s="38" t="s">
        <v>269</v>
      </c>
      <c r="C212" s="27" t="s">
        <v>13</v>
      </c>
      <c r="D212" s="27" t="s">
        <v>30</v>
      </c>
      <c r="E212" s="27" t="s">
        <v>198</v>
      </c>
      <c r="F212" s="29" t="s">
        <v>270</v>
      </c>
      <c r="G212" s="30"/>
      <c r="H212" s="25">
        <f t="shared" ref="H212:J214" si="29">H213</f>
        <v>608</v>
      </c>
      <c r="I212" s="25">
        <f t="shared" si="29"/>
        <v>355</v>
      </c>
      <c r="J212" s="25">
        <f t="shared" si="29"/>
        <v>355</v>
      </c>
    </row>
    <row r="213" spans="2:11" s="60" customFormat="1">
      <c r="B213" s="49" t="s">
        <v>271</v>
      </c>
      <c r="C213" s="27" t="s">
        <v>13</v>
      </c>
      <c r="D213" s="27" t="s">
        <v>30</v>
      </c>
      <c r="E213" s="27" t="s">
        <v>198</v>
      </c>
      <c r="F213" s="29" t="s">
        <v>272</v>
      </c>
      <c r="G213" s="30"/>
      <c r="H213" s="25">
        <f t="shared" si="29"/>
        <v>608</v>
      </c>
      <c r="I213" s="25">
        <f t="shared" si="29"/>
        <v>355</v>
      </c>
      <c r="J213" s="25">
        <f t="shared" si="29"/>
        <v>355</v>
      </c>
    </row>
    <row r="214" spans="2:11" s="60" customFormat="1">
      <c r="B214" s="70" t="s">
        <v>273</v>
      </c>
      <c r="C214" s="27" t="s">
        <v>13</v>
      </c>
      <c r="D214" s="27" t="s">
        <v>30</v>
      </c>
      <c r="E214" s="27" t="s">
        <v>198</v>
      </c>
      <c r="F214" s="29" t="s">
        <v>274</v>
      </c>
      <c r="G214" s="30"/>
      <c r="H214" s="25">
        <f t="shared" si="29"/>
        <v>608</v>
      </c>
      <c r="I214" s="25">
        <f t="shared" si="29"/>
        <v>355</v>
      </c>
      <c r="J214" s="25">
        <f t="shared" si="29"/>
        <v>355</v>
      </c>
    </row>
    <row r="215" spans="2:11" s="60" customFormat="1" ht="25.5">
      <c r="B215" s="38" t="s">
        <v>39</v>
      </c>
      <c r="C215" s="27" t="s">
        <v>13</v>
      </c>
      <c r="D215" s="27" t="s">
        <v>30</v>
      </c>
      <c r="E215" s="27" t="s">
        <v>198</v>
      </c>
      <c r="F215" s="29" t="s">
        <v>274</v>
      </c>
      <c r="G215" s="30" t="s">
        <v>40</v>
      </c>
      <c r="H215" s="25">
        <f>150+60+300+40+50+3+5</f>
        <v>608</v>
      </c>
      <c r="I215" s="25">
        <v>355</v>
      </c>
      <c r="J215" s="25">
        <v>355</v>
      </c>
    </row>
    <row r="216" spans="2:11" s="60" customFormat="1" ht="25.5">
      <c r="B216" s="38" t="s">
        <v>256</v>
      </c>
      <c r="C216" s="27" t="s">
        <v>13</v>
      </c>
      <c r="D216" s="27" t="s">
        <v>30</v>
      </c>
      <c r="E216" s="27" t="s">
        <v>198</v>
      </c>
      <c r="F216" s="29" t="s">
        <v>257</v>
      </c>
      <c r="G216" s="30"/>
      <c r="H216" s="25">
        <f>H217</f>
        <v>52795.4</v>
      </c>
      <c r="I216" s="25">
        <f>I217</f>
        <v>15203.400000000001</v>
      </c>
      <c r="J216" s="25">
        <f>J217</f>
        <v>15847.400000000001</v>
      </c>
    </row>
    <row r="217" spans="2:11" s="60" customFormat="1">
      <c r="B217" s="38" t="s">
        <v>275</v>
      </c>
      <c r="C217" s="27" t="s">
        <v>13</v>
      </c>
      <c r="D217" s="27" t="s">
        <v>30</v>
      </c>
      <c r="E217" s="27" t="s">
        <v>198</v>
      </c>
      <c r="F217" s="29" t="s">
        <v>276</v>
      </c>
      <c r="G217" s="30"/>
      <c r="H217" s="25">
        <f>H218+H225</f>
        <v>52795.4</v>
      </c>
      <c r="I217" s="25">
        <f>I218+I225</f>
        <v>15203.400000000001</v>
      </c>
      <c r="J217" s="25">
        <f>J218+J225</f>
        <v>15847.400000000001</v>
      </c>
    </row>
    <row r="218" spans="2:11" s="60" customFormat="1" ht="25.5">
      <c r="B218" s="38" t="s">
        <v>277</v>
      </c>
      <c r="C218" s="27" t="s">
        <v>13</v>
      </c>
      <c r="D218" s="27" t="s">
        <v>30</v>
      </c>
      <c r="E218" s="27" t="s">
        <v>198</v>
      </c>
      <c r="F218" s="29" t="s">
        <v>278</v>
      </c>
      <c r="G218" s="30"/>
      <c r="H218" s="25">
        <f>H219+H221+H223</f>
        <v>44052.800000000003</v>
      </c>
      <c r="I218" s="25">
        <f>I219+I221+I223</f>
        <v>4031.3</v>
      </c>
      <c r="J218" s="25">
        <f>J219+J221+J223</f>
        <v>4031.3</v>
      </c>
    </row>
    <row r="219" spans="2:11" s="60" customFormat="1" ht="25.5">
      <c r="B219" s="89" t="s">
        <v>279</v>
      </c>
      <c r="C219" s="27" t="s">
        <v>13</v>
      </c>
      <c r="D219" s="27" t="s">
        <v>30</v>
      </c>
      <c r="E219" s="27" t="s">
        <v>198</v>
      </c>
      <c r="F219" s="29" t="s">
        <v>280</v>
      </c>
      <c r="G219" s="30"/>
      <c r="H219" s="25">
        <f>H220</f>
        <v>3140</v>
      </c>
      <c r="I219" s="25">
        <f>I220</f>
        <v>2500</v>
      </c>
      <c r="J219" s="25">
        <f>J220</f>
        <v>2500</v>
      </c>
    </row>
    <row r="220" spans="2:11" s="60" customFormat="1" ht="25.5">
      <c r="B220" s="38" t="s">
        <v>39</v>
      </c>
      <c r="C220" s="27" t="s">
        <v>13</v>
      </c>
      <c r="D220" s="27" t="s">
        <v>30</v>
      </c>
      <c r="E220" s="27" t="s">
        <v>198</v>
      </c>
      <c r="F220" s="29" t="s">
        <v>280</v>
      </c>
      <c r="G220" s="30" t="s">
        <v>40</v>
      </c>
      <c r="H220" s="25">
        <f>540+100+2500</f>
        <v>3140</v>
      </c>
      <c r="I220" s="25">
        <v>2500</v>
      </c>
      <c r="J220" s="25">
        <v>2500</v>
      </c>
      <c r="K220" s="22"/>
    </row>
    <row r="221" spans="2:11" s="60" customFormat="1" ht="27.75" customHeight="1">
      <c r="B221" s="77" t="s">
        <v>281</v>
      </c>
      <c r="C221" s="27" t="s">
        <v>13</v>
      </c>
      <c r="D221" s="27" t="s">
        <v>30</v>
      </c>
      <c r="E221" s="27" t="s">
        <v>198</v>
      </c>
      <c r="F221" s="29" t="s">
        <v>282</v>
      </c>
      <c r="G221" s="30"/>
      <c r="H221" s="25">
        <f>H222</f>
        <v>40209.300000000003</v>
      </c>
      <c r="I221" s="25">
        <f>I222</f>
        <v>827.8</v>
      </c>
      <c r="J221" s="25">
        <f>J222</f>
        <v>827.8</v>
      </c>
    </row>
    <row r="222" spans="2:11" s="60" customFormat="1" ht="25.5">
      <c r="B222" s="38" t="s">
        <v>39</v>
      </c>
      <c r="C222" s="27" t="s">
        <v>13</v>
      </c>
      <c r="D222" s="27" t="s">
        <v>30</v>
      </c>
      <c r="E222" s="27" t="s">
        <v>198</v>
      </c>
      <c r="F222" s="29" t="s">
        <v>282</v>
      </c>
      <c r="G222" s="30" t="s">
        <v>40</v>
      </c>
      <c r="H222" s="25">
        <f>39003+1206.3</f>
        <v>40209.300000000003</v>
      </c>
      <c r="I222" s="25">
        <f>803+24.8</f>
        <v>827.8</v>
      </c>
      <c r="J222" s="25">
        <f>803+24.8</f>
        <v>827.8</v>
      </c>
    </row>
    <row r="223" spans="2:11" s="60" customFormat="1" ht="43.5" customHeight="1">
      <c r="B223" s="92" t="s">
        <v>283</v>
      </c>
      <c r="C223" s="27" t="s">
        <v>13</v>
      </c>
      <c r="D223" s="27" t="s">
        <v>30</v>
      </c>
      <c r="E223" s="27" t="s">
        <v>198</v>
      </c>
      <c r="F223" s="29" t="s">
        <v>284</v>
      </c>
      <c r="G223" s="30"/>
      <c r="H223" s="25">
        <f>H224</f>
        <v>703.5</v>
      </c>
      <c r="I223" s="25">
        <f>I224</f>
        <v>703.5</v>
      </c>
      <c r="J223" s="25">
        <f>J224</f>
        <v>703.5</v>
      </c>
    </row>
    <row r="224" spans="2:11" s="60" customFormat="1" ht="25.5">
      <c r="B224" s="38" t="s">
        <v>39</v>
      </c>
      <c r="C224" s="27" t="s">
        <v>13</v>
      </c>
      <c r="D224" s="27" t="s">
        <v>30</v>
      </c>
      <c r="E224" s="27" t="s">
        <v>198</v>
      </c>
      <c r="F224" s="29" t="s">
        <v>284</v>
      </c>
      <c r="G224" s="30" t="s">
        <v>40</v>
      </c>
      <c r="H224" s="25">
        <f>682.4+21.1</f>
        <v>703.5</v>
      </c>
      <c r="I224" s="25">
        <f>682.4+21.1</f>
        <v>703.5</v>
      </c>
      <c r="J224" s="25">
        <f>682.4+21.1</f>
        <v>703.5</v>
      </c>
    </row>
    <row r="225" spans="2:11" s="60" customFormat="1" ht="25.5">
      <c r="B225" s="38" t="s">
        <v>285</v>
      </c>
      <c r="C225" s="27" t="s">
        <v>13</v>
      </c>
      <c r="D225" s="27" t="s">
        <v>30</v>
      </c>
      <c r="E225" s="27" t="s">
        <v>198</v>
      </c>
      <c r="F225" s="29" t="s">
        <v>286</v>
      </c>
      <c r="G225" s="30"/>
      <c r="H225" s="25">
        <f t="shared" ref="H225:J226" si="30">H226</f>
        <v>8742.6</v>
      </c>
      <c r="I225" s="25">
        <f t="shared" si="30"/>
        <v>11172.1</v>
      </c>
      <c r="J225" s="25">
        <f t="shared" si="30"/>
        <v>11816.1</v>
      </c>
    </row>
    <row r="226" spans="2:11" s="60" customFormat="1" ht="26.25" customHeight="1">
      <c r="B226" s="58" t="s">
        <v>287</v>
      </c>
      <c r="C226" s="27" t="s">
        <v>13</v>
      </c>
      <c r="D226" s="27" t="s">
        <v>30</v>
      </c>
      <c r="E226" s="27" t="s">
        <v>198</v>
      </c>
      <c r="F226" s="29" t="s">
        <v>288</v>
      </c>
      <c r="G226" s="30"/>
      <c r="H226" s="25">
        <f t="shared" si="30"/>
        <v>8742.6</v>
      </c>
      <c r="I226" s="25">
        <f t="shared" si="30"/>
        <v>11172.1</v>
      </c>
      <c r="J226" s="25">
        <f t="shared" si="30"/>
        <v>11816.1</v>
      </c>
    </row>
    <row r="227" spans="2:11" s="60" customFormat="1" ht="25.5">
      <c r="B227" s="38" t="s">
        <v>39</v>
      </c>
      <c r="C227" s="27" t="s">
        <v>13</v>
      </c>
      <c r="D227" s="27" t="s">
        <v>30</v>
      </c>
      <c r="E227" s="27" t="s">
        <v>198</v>
      </c>
      <c r="F227" s="29" t="s">
        <v>288</v>
      </c>
      <c r="G227" s="30" t="s">
        <v>40</v>
      </c>
      <c r="H227" s="25">
        <v>8742.6</v>
      </c>
      <c r="I227" s="25">
        <v>11172.1</v>
      </c>
      <c r="J227" s="25">
        <v>11816.1</v>
      </c>
      <c r="K227" s="72"/>
    </row>
    <row r="228" spans="2:11" s="91" customFormat="1">
      <c r="B228" s="93" t="s">
        <v>289</v>
      </c>
      <c r="C228" s="20" t="s">
        <v>13</v>
      </c>
      <c r="D228" s="20" t="s">
        <v>30</v>
      </c>
      <c r="E228" s="20" t="s">
        <v>290</v>
      </c>
      <c r="F228" s="88"/>
      <c r="G228" s="20"/>
      <c r="H228" s="21">
        <f t="shared" ref="H228:J230" si="31">H229</f>
        <v>470.3</v>
      </c>
      <c r="I228" s="21">
        <f t="shared" si="31"/>
        <v>409.4</v>
      </c>
      <c r="J228" s="21">
        <f t="shared" si="31"/>
        <v>409.4</v>
      </c>
    </row>
    <row r="229" spans="2:11" s="60" customFormat="1" ht="25.5">
      <c r="B229" s="38" t="s">
        <v>291</v>
      </c>
      <c r="C229" s="27" t="s">
        <v>13</v>
      </c>
      <c r="D229" s="27" t="s">
        <v>30</v>
      </c>
      <c r="E229" s="27" t="s">
        <v>290</v>
      </c>
      <c r="F229" s="29" t="s">
        <v>292</v>
      </c>
      <c r="G229" s="27"/>
      <c r="H229" s="25">
        <f t="shared" si="31"/>
        <v>470.3</v>
      </c>
      <c r="I229" s="25">
        <f t="shared" si="31"/>
        <v>409.4</v>
      </c>
      <c r="J229" s="25">
        <f t="shared" si="31"/>
        <v>409.4</v>
      </c>
    </row>
    <row r="230" spans="2:11" s="60" customFormat="1" ht="25.5">
      <c r="B230" s="38" t="s">
        <v>293</v>
      </c>
      <c r="C230" s="27" t="s">
        <v>13</v>
      </c>
      <c r="D230" s="27" t="s">
        <v>30</v>
      </c>
      <c r="E230" s="27" t="s">
        <v>290</v>
      </c>
      <c r="F230" s="29" t="s">
        <v>294</v>
      </c>
      <c r="G230" s="27"/>
      <c r="H230" s="25">
        <f>H231</f>
        <v>470.3</v>
      </c>
      <c r="I230" s="25">
        <f t="shared" si="31"/>
        <v>409.4</v>
      </c>
      <c r="J230" s="25">
        <f t="shared" si="31"/>
        <v>409.4</v>
      </c>
    </row>
    <row r="231" spans="2:11" s="60" customFormat="1" ht="25.5">
      <c r="B231" s="38" t="s">
        <v>295</v>
      </c>
      <c r="C231" s="27" t="s">
        <v>13</v>
      </c>
      <c r="D231" s="27" t="s">
        <v>30</v>
      </c>
      <c r="E231" s="27" t="s">
        <v>290</v>
      </c>
      <c r="F231" s="29" t="s">
        <v>296</v>
      </c>
      <c r="G231" s="27"/>
      <c r="H231" s="25">
        <f>H232</f>
        <v>470.3</v>
      </c>
      <c r="I231" s="25">
        <f>I232</f>
        <v>409.4</v>
      </c>
      <c r="J231" s="25">
        <f>J232</f>
        <v>409.4</v>
      </c>
    </row>
    <row r="232" spans="2:11" s="60" customFormat="1" ht="41.25" customHeight="1">
      <c r="B232" s="56" t="s">
        <v>120</v>
      </c>
      <c r="C232" s="27" t="s">
        <v>13</v>
      </c>
      <c r="D232" s="27" t="s">
        <v>30</v>
      </c>
      <c r="E232" s="27" t="s">
        <v>290</v>
      </c>
      <c r="F232" s="29" t="s">
        <v>296</v>
      </c>
      <c r="G232" s="27" t="s">
        <v>116</v>
      </c>
      <c r="H232" s="25">
        <f>446.8+23.5</f>
        <v>470.3</v>
      </c>
      <c r="I232" s="25">
        <f>388.9+20.5</f>
        <v>409.4</v>
      </c>
      <c r="J232" s="25">
        <f>388.9+20.5</f>
        <v>409.4</v>
      </c>
    </row>
    <row r="233" spans="2:11" s="72" customFormat="1">
      <c r="B233" s="19" t="s">
        <v>297</v>
      </c>
      <c r="C233" s="20" t="s">
        <v>13</v>
      </c>
      <c r="D233" s="20" t="s">
        <v>80</v>
      </c>
      <c r="E233" s="20"/>
      <c r="F233" s="20"/>
      <c r="G233" s="20"/>
      <c r="H233" s="21">
        <f>H234+H253+H297</f>
        <v>212000.2</v>
      </c>
      <c r="I233" s="21">
        <f>I234+I253+I297</f>
        <v>11339.3</v>
      </c>
      <c r="J233" s="21">
        <f>J234+J253+J297</f>
        <v>11339.3</v>
      </c>
    </row>
    <row r="234" spans="2:11" s="72" customFormat="1">
      <c r="B234" s="19" t="s">
        <v>298</v>
      </c>
      <c r="C234" s="20" t="s">
        <v>13</v>
      </c>
      <c r="D234" s="20" t="s">
        <v>80</v>
      </c>
      <c r="E234" s="20" t="s">
        <v>15</v>
      </c>
      <c r="F234" s="20"/>
      <c r="G234" s="20"/>
      <c r="H234" s="21">
        <f>H239+H235</f>
        <v>162968.20000000001</v>
      </c>
      <c r="I234" s="21">
        <f>I239+I235</f>
        <v>500</v>
      </c>
      <c r="J234" s="21">
        <f>J239+J235</f>
        <v>500</v>
      </c>
    </row>
    <row r="235" spans="2:11" s="72" customFormat="1" ht="38.25" hidden="1">
      <c r="B235" s="43" t="s">
        <v>183</v>
      </c>
      <c r="C235" s="27" t="s">
        <v>13</v>
      </c>
      <c r="D235" s="27" t="s">
        <v>80</v>
      </c>
      <c r="E235" s="27" t="s">
        <v>15</v>
      </c>
      <c r="F235" s="29" t="s">
        <v>186</v>
      </c>
      <c r="G235" s="27"/>
      <c r="H235" s="25">
        <f>H236</f>
        <v>0</v>
      </c>
      <c r="I235" s="25">
        <f>I236</f>
        <v>0</v>
      </c>
      <c r="J235" s="25">
        <f>J236</f>
        <v>0</v>
      </c>
    </row>
    <row r="236" spans="2:11" s="72" customFormat="1" ht="25.5" hidden="1">
      <c r="B236" s="73" t="s">
        <v>185</v>
      </c>
      <c r="C236" s="27" t="s">
        <v>13</v>
      </c>
      <c r="D236" s="27" t="s">
        <v>80</v>
      </c>
      <c r="E236" s="27" t="s">
        <v>15</v>
      </c>
      <c r="F236" s="29" t="s">
        <v>186</v>
      </c>
      <c r="G236" s="27"/>
      <c r="H236" s="25">
        <f t="shared" ref="H236:J237" si="32">H237</f>
        <v>0</v>
      </c>
      <c r="I236" s="25">
        <f t="shared" si="32"/>
        <v>0</v>
      </c>
      <c r="J236" s="25">
        <f t="shared" si="32"/>
        <v>0</v>
      </c>
    </row>
    <row r="237" spans="2:11" s="72" customFormat="1" ht="25.5" hidden="1">
      <c r="B237" s="73" t="s">
        <v>224</v>
      </c>
      <c r="C237" s="27" t="s">
        <v>13</v>
      </c>
      <c r="D237" s="27" t="s">
        <v>80</v>
      </c>
      <c r="E237" s="27" t="s">
        <v>15</v>
      </c>
      <c r="F237" s="29" t="s">
        <v>225</v>
      </c>
      <c r="G237" s="27"/>
      <c r="H237" s="25">
        <f t="shared" si="32"/>
        <v>0</v>
      </c>
      <c r="I237" s="25">
        <f t="shared" si="32"/>
        <v>0</v>
      </c>
      <c r="J237" s="25">
        <f t="shared" si="32"/>
        <v>0</v>
      </c>
    </row>
    <row r="238" spans="2:11" s="72" customFormat="1" ht="25.5" hidden="1">
      <c r="B238" s="38" t="s">
        <v>39</v>
      </c>
      <c r="C238" s="27" t="s">
        <v>13</v>
      </c>
      <c r="D238" s="27" t="s">
        <v>80</v>
      </c>
      <c r="E238" s="27" t="s">
        <v>15</v>
      </c>
      <c r="F238" s="29" t="s">
        <v>225</v>
      </c>
      <c r="G238" s="27" t="s">
        <v>40</v>
      </c>
      <c r="H238" s="25">
        <v>0</v>
      </c>
      <c r="I238" s="25">
        <v>0</v>
      </c>
      <c r="J238" s="25">
        <v>0</v>
      </c>
      <c r="K238"/>
    </row>
    <row r="239" spans="2:11" s="22" customFormat="1" ht="40.5" customHeight="1">
      <c r="B239" s="38" t="s">
        <v>299</v>
      </c>
      <c r="C239" s="27" t="s">
        <v>13</v>
      </c>
      <c r="D239" s="27" t="s">
        <v>80</v>
      </c>
      <c r="E239" s="27" t="s">
        <v>15</v>
      </c>
      <c r="F239" s="29" t="s">
        <v>300</v>
      </c>
      <c r="G239" s="30"/>
      <c r="H239" s="25">
        <f>H240+H243</f>
        <v>162968.20000000001</v>
      </c>
      <c r="I239" s="25">
        <f>I240+I243</f>
        <v>500</v>
      </c>
      <c r="J239" s="25">
        <f>J240+J243</f>
        <v>500</v>
      </c>
    </row>
    <row r="240" spans="2:11" s="22" customFormat="1" ht="25.5">
      <c r="B240" s="38" t="s">
        <v>301</v>
      </c>
      <c r="C240" s="27" t="s">
        <v>13</v>
      </c>
      <c r="D240" s="27" t="s">
        <v>80</v>
      </c>
      <c r="E240" s="27" t="s">
        <v>15</v>
      </c>
      <c r="F240" s="29" t="s">
        <v>302</v>
      </c>
      <c r="G240" s="30"/>
      <c r="H240" s="25">
        <f t="shared" ref="H240:J241" si="33">H241</f>
        <v>760</v>
      </c>
      <c r="I240" s="25">
        <f t="shared" si="33"/>
        <v>500</v>
      </c>
      <c r="J240" s="25">
        <f t="shared" si="33"/>
        <v>500</v>
      </c>
    </row>
    <row r="241" spans="2:11" s="22" customFormat="1" ht="25.5">
      <c r="B241" s="38" t="s">
        <v>303</v>
      </c>
      <c r="C241" s="27" t="s">
        <v>13</v>
      </c>
      <c r="D241" s="27" t="s">
        <v>80</v>
      </c>
      <c r="E241" s="27" t="s">
        <v>15</v>
      </c>
      <c r="F241" s="29" t="s">
        <v>304</v>
      </c>
      <c r="G241" s="30"/>
      <c r="H241" s="25">
        <f t="shared" si="33"/>
        <v>760</v>
      </c>
      <c r="I241" s="25">
        <f t="shared" si="33"/>
        <v>500</v>
      </c>
      <c r="J241" s="25">
        <f t="shared" si="33"/>
        <v>500</v>
      </c>
    </row>
    <row r="242" spans="2:11" s="22" customFormat="1" ht="25.5">
      <c r="B242" s="38" t="s">
        <v>39</v>
      </c>
      <c r="C242" s="27" t="s">
        <v>13</v>
      </c>
      <c r="D242" s="27" t="s">
        <v>80</v>
      </c>
      <c r="E242" s="27" t="s">
        <v>15</v>
      </c>
      <c r="F242" s="29" t="s">
        <v>304</v>
      </c>
      <c r="G242" s="30" t="s">
        <v>40</v>
      </c>
      <c r="H242" s="25">
        <f>2130-1370</f>
        <v>760</v>
      </c>
      <c r="I242" s="25">
        <v>500</v>
      </c>
      <c r="J242" s="25">
        <v>500</v>
      </c>
      <c r="K242" s="94"/>
    </row>
    <row r="243" spans="2:11" s="22" customFormat="1" ht="25.5">
      <c r="B243" s="38" t="s">
        <v>305</v>
      </c>
      <c r="C243" s="27" t="s">
        <v>13</v>
      </c>
      <c r="D243" s="27" t="s">
        <v>80</v>
      </c>
      <c r="E243" s="27" t="s">
        <v>15</v>
      </c>
      <c r="F243" s="29" t="s">
        <v>306</v>
      </c>
      <c r="G243" s="30"/>
      <c r="H243" s="25">
        <f>H244+H246</f>
        <v>162208.20000000001</v>
      </c>
      <c r="I243" s="25">
        <f>I244+I246</f>
        <v>0</v>
      </c>
      <c r="J243" s="25">
        <f>J244+J246</f>
        <v>0</v>
      </c>
    </row>
    <row r="244" spans="2:11" s="22" customFormat="1" ht="25.5">
      <c r="B244" s="38" t="s">
        <v>307</v>
      </c>
      <c r="C244" s="27" t="s">
        <v>13</v>
      </c>
      <c r="D244" s="27" t="s">
        <v>80</v>
      </c>
      <c r="E244" s="27" t="s">
        <v>15</v>
      </c>
      <c r="F244" s="29" t="s">
        <v>308</v>
      </c>
      <c r="G244" s="30"/>
      <c r="H244" s="25">
        <f>H245</f>
        <v>1410</v>
      </c>
      <c r="I244" s="25">
        <f>I245</f>
        <v>0</v>
      </c>
      <c r="J244" s="25">
        <f>J245</f>
        <v>0</v>
      </c>
    </row>
    <row r="245" spans="2:11" s="22" customFormat="1" ht="25.5">
      <c r="B245" s="38" t="s">
        <v>39</v>
      </c>
      <c r="C245" s="27" t="s">
        <v>13</v>
      </c>
      <c r="D245" s="27" t="s">
        <v>80</v>
      </c>
      <c r="E245" s="27" t="s">
        <v>15</v>
      </c>
      <c r="F245" s="29" t="s">
        <v>308</v>
      </c>
      <c r="G245" s="30" t="s">
        <v>40</v>
      </c>
      <c r="H245" s="25">
        <f>360+1050</f>
        <v>1410</v>
      </c>
      <c r="I245" s="25">
        <v>0</v>
      </c>
      <c r="J245" s="25">
        <v>0</v>
      </c>
      <c r="K245"/>
    </row>
    <row r="246" spans="2:11" s="22" customFormat="1" ht="25.5">
      <c r="B246" s="38" t="s">
        <v>309</v>
      </c>
      <c r="C246" s="27" t="s">
        <v>13</v>
      </c>
      <c r="D246" s="27" t="s">
        <v>80</v>
      </c>
      <c r="E246" s="27" t="s">
        <v>15</v>
      </c>
      <c r="F246" s="29" t="s">
        <v>310</v>
      </c>
      <c r="G246" s="30"/>
      <c r="H246" s="25">
        <f>H249+H251+H247</f>
        <v>160798.20000000001</v>
      </c>
      <c r="I246" s="25">
        <f>I249+I251+I247</f>
        <v>0</v>
      </c>
      <c r="J246" s="25">
        <f>J249+J251+J247</f>
        <v>0</v>
      </c>
    </row>
    <row r="247" spans="2:11" s="22" customFormat="1" ht="38.25" hidden="1">
      <c r="B247" s="38" t="s">
        <v>311</v>
      </c>
      <c r="C247" s="27" t="s">
        <v>13</v>
      </c>
      <c r="D247" s="27" t="s">
        <v>80</v>
      </c>
      <c r="E247" s="27" t="s">
        <v>15</v>
      </c>
      <c r="F247" s="29" t="s">
        <v>312</v>
      </c>
      <c r="G247" s="30"/>
      <c r="H247" s="25">
        <f>H248</f>
        <v>0</v>
      </c>
      <c r="I247" s="25">
        <f>I248</f>
        <v>0</v>
      </c>
      <c r="J247" s="25">
        <f>J248</f>
        <v>0</v>
      </c>
    </row>
    <row r="248" spans="2:11" s="22" customFormat="1" ht="25.5" hidden="1">
      <c r="B248" s="38" t="s">
        <v>39</v>
      </c>
      <c r="C248" s="27" t="s">
        <v>13</v>
      </c>
      <c r="D248" s="27" t="s">
        <v>80</v>
      </c>
      <c r="E248" s="27" t="s">
        <v>15</v>
      </c>
      <c r="F248" s="29" t="s">
        <v>312</v>
      </c>
      <c r="G248" s="30" t="s">
        <v>40</v>
      </c>
      <c r="H248" s="25"/>
      <c r="I248" s="25"/>
      <c r="J248" s="25"/>
    </row>
    <row r="249" spans="2:11" s="22" customFormat="1" ht="51">
      <c r="B249" s="38" t="s">
        <v>313</v>
      </c>
      <c r="C249" s="27" t="s">
        <v>13</v>
      </c>
      <c r="D249" s="27" t="s">
        <v>80</v>
      </c>
      <c r="E249" s="27" t="s">
        <v>15</v>
      </c>
      <c r="F249" s="29" t="s">
        <v>314</v>
      </c>
      <c r="G249" s="30"/>
      <c r="H249" s="25">
        <f>H250</f>
        <v>57807.799999999996</v>
      </c>
      <c r="I249" s="25">
        <f>I250</f>
        <v>0</v>
      </c>
      <c r="J249" s="25">
        <f>J250</f>
        <v>0</v>
      </c>
      <c r="K249" s="72"/>
    </row>
    <row r="250" spans="2:11" s="22" customFormat="1">
      <c r="B250" s="49" t="s">
        <v>315</v>
      </c>
      <c r="C250" s="27" t="s">
        <v>13</v>
      </c>
      <c r="D250" s="27" t="s">
        <v>80</v>
      </c>
      <c r="E250" s="27" t="s">
        <v>15</v>
      </c>
      <c r="F250" s="29" t="s">
        <v>314</v>
      </c>
      <c r="G250" s="30" t="s">
        <v>316</v>
      </c>
      <c r="H250" s="25">
        <f>57806.1+1.7</f>
        <v>57807.799999999996</v>
      </c>
      <c r="I250" s="25">
        <v>0</v>
      </c>
      <c r="J250" s="25">
        <v>0</v>
      </c>
    </row>
    <row r="251" spans="2:11" s="22" customFormat="1" ht="25.5">
      <c r="B251" s="38" t="s">
        <v>317</v>
      </c>
      <c r="C251" s="27" t="s">
        <v>13</v>
      </c>
      <c r="D251" s="27" t="s">
        <v>80</v>
      </c>
      <c r="E251" s="27" t="s">
        <v>15</v>
      </c>
      <c r="F251" s="29" t="s">
        <v>318</v>
      </c>
      <c r="G251" s="30"/>
      <c r="H251" s="25">
        <f>H252</f>
        <v>102990.40000000001</v>
      </c>
      <c r="I251" s="25">
        <f>I252</f>
        <v>0</v>
      </c>
      <c r="J251" s="25">
        <f>J252</f>
        <v>0</v>
      </c>
    </row>
    <row r="252" spans="2:11" s="22" customFormat="1">
      <c r="B252" s="49" t="s">
        <v>315</v>
      </c>
      <c r="C252" s="27" t="s">
        <v>13</v>
      </c>
      <c r="D252" s="27" t="s">
        <v>80</v>
      </c>
      <c r="E252" s="27" t="s">
        <v>15</v>
      </c>
      <c r="F252" s="29" t="s">
        <v>318</v>
      </c>
      <c r="G252" s="30" t="s">
        <v>316</v>
      </c>
      <c r="H252" s="25">
        <f>102987.3+3.1</f>
        <v>102990.40000000001</v>
      </c>
      <c r="I252" s="25">
        <v>0</v>
      </c>
      <c r="J252" s="25">
        <v>0</v>
      </c>
    </row>
    <row r="253" spans="2:11" s="91" customFormat="1">
      <c r="B253" s="19" t="s">
        <v>319</v>
      </c>
      <c r="C253" s="20" t="s">
        <v>13</v>
      </c>
      <c r="D253" s="20" t="s">
        <v>80</v>
      </c>
      <c r="E253" s="20" t="s">
        <v>17</v>
      </c>
      <c r="F253" s="88"/>
      <c r="G253" s="20"/>
      <c r="H253" s="21">
        <f>H257+H262+H254+H293</f>
        <v>31810.1</v>
      </c>
      <c r="I253" s="21">
        <f>I257+I262+I254+I293</f>
        <v>2330</v>
      </c>
      <c r="J253" s="21">
        <f>J257+J262+J254+J293</f>
        <v>2330</v>
      </c>
    </row>
    <row r="254" spans="2:11" s="91" customFormat="1" hidden="1">
      <c r="B254" s="43" t="s">
        <v>85</v>
      </c>
      <c r="C254" s="27" t="s">
        <v>13</v>
      </c>
      <c r="D254" s="27" t="s">
        <v>80</v>
      </c>
      <c r="E254" s="27" t="s">
        <v>17</v>
      </c>
      <c r="F254" s="27" t="s">
        <v>87</v>
      </c>
      <c r="G254" s="53"/>
      <c r="H254" s="25">
        <f t="shared" ref="H254:J255" si="34">H255</f>
        <v>0</v>
      </c>
      <c r="I254" s="25">
        <f t="shared" si="34"/>
        <v>0</v>
      </c>
      <c r="J254" s="25">
        <f t="shared" si="34"/>
        <v>0</v>
      </c>
    </row>
    <row r="255" spans="2:11" s="91" customFormat="1" hidden="1">
      <c r="B255" s="43" t="s">
        <v>88</v>
      </c>
      <c r="C255" s="27" t="s">
        <v>13</v>
      </c>
      <c r="D255" s="27" t="s">
        <v>80</v>
      </c>
      <c r="E255" s="27" t="s">
        <v>17</v>
      </c>
      <c r="F255" s="27" t="s">
        <v>89</v>
      </c>
      <c r="G255" s="53"/>
      <c r="H255" s="25">
        <f t="shared" si="34"/>
        <v>0</v>
      </c>
      <c r="I255" s="25">
        <f t="shared" si="34"/>
        <v>0</v>
      </c>
      <c r="J255" s="25">
        <f t="shared" si="34"/>
        <v>0</v>
      </c>
    </row>
    <row r="256" spans="2:11" s="91" customFormat="1" hidden="1">
      <c r="B256" s="43" t="s">
        <v>90</v>
      </c>
      <c r="C256" s="27" t="s">
        <v>13</v>
      </c>
      <c r="D256" s="27" t="s">
        <v>80</v>
      </c>
      <c r="E256" s="27" t="s">
        <v>17</v>
      </c>
      <c r="F256" s="27" t="s">
        <v>89</v>
      </c>
      <c r="G256" s="30" t="s">
        <v>40</v>
      </c>
      <c r="H256" s="25"/>
      <c r="I256" s="25"/>
      <c r="J256" s="25"/>
    </row>
    <row r="257" spans="2:12" s="91" customFormat="1" ht="25.5" hidden="1">
      <c r="B257" s="54" t="s">
        <v>96</v>
      </c>
      <c r="C257" s="27" t="s">
        <v>13</v>
      </c>
      <c r="D257" s="27" t="s">
        <v>80</v>
      </c>
      <c r="E257" s="27" t="s">
        <v>17</v>
      </c>
      <c r="F257" s="29" t="s">
        <v>97</v>
      </c>
      <c r="G257" s="27"/>
      <c r="H257" s="25">
        <f>H258+H260</f>
        <v>0</v>
      </c>
      <c r="I257" s="25">
        <f>I258+I260</f>
        <v>0</v>
      </c>
      <c r="J257" s="25">
        <f>J258+J260</f>
        <v>0</v>
      </c>
    </row>
    <row r="258" spans="2:12" s="91" customFormat="1" ht="25.5" hidden="1">
      <c r="B258" s="26" t="s">
        <v>320</v>
      </c>
      <c r="C258" s="27" t="s">
        <v>13</v>
      </c>
      <c r="D258" s="27" t="s">
        <v>80</v>
      </c>
      <c r="E258" s="27" t="s">
        <v>17</v>
      </c>
      <c r="F258" s="29" t="s">
        <v>321</v>
      </c>
      <c r="G258" s="27"/>
      <c r="H258" s="25">
        <f>H259</f>
        <v>0</v>
      </c>
      <c r="I258" s="25">
        <f>I259</f>
        <v>0</v>
      </c>
      <c r="J258" s="25">
        <f>J259</f>
        <v>0</v>
      </c>
    </row>
    <row r="259" spans="2:12" s="91" customFormat="1" ht="42.75" hidden="1" customHeight="1">
      <c r="B259" s="26" t="s">
        <v>264</v>
      </c>
      <c r="C259" s="27" t="s">
        <v>13</v>
      </c>
      <c r="D259" s="27" t="s">
        <v>80</v>
      </c>
      <c r="E259" s="27" t="s">
        <v>17</v>
      </c>
      <c r="F259" s="29" t="s">
        <v>321</v>
      </c>
      <c r="G259" s="27" t="s">
        <v>265</v>
      </c>
      <c r="H259" s="25"/>
      <c r="I259" s="25"/>
      <c r="J259" s="25"/>
      <c r="L259" s="72"/>
    </row>
    <row r="260" spans="2:12" s="91" customFormat="1" ht="42.75" hidden="1" customHeight="1">
      <c r="B260" s="95" t="s">
        <v>322</v>
      </c>
      <c r="C260" s="27" t="s">
        <v>13</v>
      </c>
      <c r="D260" s="27" t="s">
        <v>80</v>
      </c>
      <c r="E260" s="27" t="s">
        <v>17</v>
      </c>
      <c r="F260" s="29" t="s">
        <v>323</v>
      </c>
      <c r="G260" s="30"/>
      <c r="H260" s="25">
        <f>H261</f>
        <v>0</v>
      </c>
      <c r="I260" s="25">
        <f>I261</f>
        <v>0</v>
      </c>
      <c r="J260" s="25">
        <f>J261</f>
        <v>0</v>
      </c>
      <c r="L260" s="72"/>
    </row>
    <row r="261" spans="2:12" s="91" customFormat="1" ht="42.75" hidden="1" customHeight="1">
      <c r="B261" s="26" t="s">
        <v>264</v>
      </c>
      <c r="C261" s="27" t="s">
        <v>13</v>
      </c>
      <c r="D261" s="27" t="s">
        <v>80</v>
      </c>
      <c r="E261" s="27" t="s">
        <v>17</v>
      </c>
      <c r="F261" s="29" t="s">
        <v>323</v>
      </c>
      <c r="G261" s="30" t="s">
        <v>265</v>
      </c>
      <c r="H261" s="25"/>
      <c r="I261" s="25"/>
      <c r="J261" s="25"/>
      <c r="L261" s="72"/>
    </row>
    <row r="262" spans="2:12" s="91" customFormat="1" ht="40.5" customHeight="1">
      <c r="B262" s="38" t="s">
        <v>324</v>
      </c>
      <c r="C262" s="27" t="s">
        <v>13</v>
      </c>
      <c r="D262" s="27" t="s">
        <v>80</v>
      </c>
      <c r="E262" s="27" t="s">
        <v>17</v>
      </c>
      <c r="F262" s="29" t="s">
        <v>325</v>
      </c>
      <c r="G262" s="27"/>
      <c r="H262" s="25">
        <f>H263+H280</f>
        <v>31243.1</v>
      </c>
      <c r="I262" s="25">
        <f>I263+I280</f>
        <v>2330</v>
      </c>
      <c r="J262" s="25">
        <f>J263+J280</f>
        <v>2330</v>
      </c>
    </row>
    <row r="263" spans="2:12" s="91" customFormat="1" ht="24" customHeight="1">
      <c r="B263" s="38" t="s">
        <v>326</v>
      </c>
      <c r="C263" s="27" t="s">
        <v>13</v>
      </c>
      <c r="D263" s="27" t="s">
        <v>80</v>
      </c>
      <c r="E263" s="27" t="s">
        <v>17</v>
      </c>
      <c r="F263" s="29" t="s">
        <v>327</v>
      </c>
      <c r="G263" s="27"/>
      <c r="H263" s="25">
        <f>H264+H268+H277</f>
        <v>16315.1</v>
      </c>
      <c r="I263" s="25">
        <f>I264+I268+I277</f>
        <v>2330</v>
      </c>
      <c r="J263" s="25">
        <f>J264+J268+J277</f>
        <v>2330</v>
      </c>
    </row>
    <row r="264" spans="2:12" s="91" customFormat="1" ht="25.5">
      <c r="B264" s="38" t="s">
        <v>328</v>
      </c>
      <c r="C264" s="27" t="s">
        <v>13</v>
      </c>
      <c r="D264" s="27" t="s">
        <v>80</v>
      </c>
      <c r="E264" s="27" t="s">
        <v>17</v>
      </c>
      <c r="F264" s="29" t="s">
        <v>329</v>
      </c>
      <c r="G264" s="27"/>
      <c r="H264" s="25">
        <f>H265</f>
        <v>3030</v>
      </c>
      <c r="I264" s="25">
        <f>I265</f>
        <v>1830</v>
      </c>
      <c r="J264" s="25">
        <f>J265</f>
        <v>1830</v>
      </c>
    </row>
    <row r="265" spans="2:12" s="91" customFormat="1">
      <c r="B265" s="77" t="s">
        <v>330</v>
      </c>
      <c r="C265" s="27" t="s">
        <v>13</v>
      </c>
      <c r="D265" s="27" t="s">
        <v>80</v>
      </c>
      <c r="E265" s="27" t="s">
        <v>17</v>
      </c>
      <c r="F265" s="29" t="s">
        <v>331</v>
      </c>
      <c r="G265" s="27"/>
      <c r="H265" s="25">
        <f>H266+H267</f>
        <v>3030</v>
      </c>
      <c r="I265" s="25">
        <f>I266+I267</f>
        <v>1830</v>
      </c>
      <c r="J265" s="25">
        <f>J266+J267</f>
        <v>1830</v>
      </c>
    </row>
    <row r="266" spans="2:12" s="91" customFormat="1" ht="25.5">
      <c r="B266" s="38" t="s">
        <v>39</v>
      </c>
      <c r="C266" s="27" t="s">
        <v>13</v>
      </c>
      <c r="D266" s="27" t="s">
        <v>80</v>
      </c>
      <c r="E266" s="27" t="s">
        <v>17</v>
      </c>
      <c r="F266" s="29" t="s">
        <v>331</v>
      </c>
      <c r="G266" s="27" t="s">
        <v>40</v>
      </c>
      <c r="H266" s="25">
        <f>1200+160+120+600+650+300</f>
        <v>3030</v>
      </c>
      <c r="I266" s="25">
        <v>1830</v>
      </c>
      <c r="J266" s="25">
        <v>1830</v>
      </c>
    </row>
    <row r="267" spans="2:12" s="91" customFormat="1" ht="13.5" hidden="1" customHeight="1">
      <c r="B267" s="38" t="s">
        <v>332</v>
      </c>
      <c r="C267" s="27" t="s">
        <v>13</v>
      </c>
      <c r="D267" s="27" t="s">
        <v>80</v>
      </c>
      <c r="E267" s="27" t="s">
        <v>17</v>
      </c>
      <c r="F267" s="29" t="s">
        <v>331</v>
      </c>
      <c r="G267" s="27" t="s">
        <v>316</v>
      </c>
      <c r="H267" s="25">
        <f>2000-2000</f>
        <v>0</v>
      </c>
      <c r="I267" s="25">
        <v>0</v>
      </c>
      <c r="J267" s="25">
        <v>0</v>
      </c>
    </row>
    <row r="268" spans="2:12" s="91" customFormat="1" ht="25.5" customHeight="1">
      <c r="B268" s="28" t="s">
        <v>333</v>
      </c>
      <c r="C268" s="27" t="s">
        <v>13</v>
      </c>
      <c r="D268" s="27" t="s">
        <v>80</v>
      </c>
      <c r="E268" s="27" t="s">
        <v>17</v>
      </c>
      <c r="F268" s="29" t="s">
        <v>334</v>
      </c>
      <c r="G268" s="27"/>
      <c r="H268" s="25">
        <f>H269+H273+H275</f>
        <v>13285.1</v>
      </c>
      <c r="I268" s="25">
        <f>I269+I273+I275</f>
        <v>500</v>
      </c>
      <c r="J268" s="25">
        <f>J269+J273+J275</f>
        <v>500</v>
      </c>
    </row>
    <row r="269" spans="2:12" s="91" customFormat="1" ht="12.75" customHeight="1">
      <c r="B269" s="77" t="s">
        <v>330</v>
      </c>
      <c r="C269" s="27" t="s">
        <v>13</v>
      </c>
      <c r="D269" s="27" t="s">
        <v>80</v>
      </c>
      <c r="E269" s="27" t="s">
        <v>17</v>
      </c>
      <c r="F269" s="29" t="s">
        <v>335</v>
      </c>
      <c r="G269" s="27"/>
      <c r="H269" s="25">
        <f>H270+H271+H272</f>
        <v>8875.1</v>
      </c>
      <c r="I269" s="25">
        <f>I270+I271+I272</f>
        <v>500</v>
      </c>
      <c r="J269" s="25">
        <f>J270+J271+J272</f>
        <v>500</v>
      </c>
    </row>
    <row r="270" spans="2:12" s="91" customFormat="1" ht="25.5" customHeight="1">
      <c r="B270" s="38" t="s">
        <v>39</v>
      </c>
      <c r="C270" s="27" t="s">
        <v>13</v>
      </c>
      <c r="D270" s="27" t="s">
        <v>80</v>
      </c>
      <c r="E270" s="27" t="s">
        <v>17</v>
      </c>
      <c r="F270" s="29" t="s">
        <v>335</v>
      </c>
      <c r="G270" s="27" t="s">
        <v>40</v>
      </c>
      <c r="H270" s="25">
        <f>300+150+800+140+600+6760+645-600-150</f>
        <v>8645</v>
      </c>
      <c r="I270" s="25">
        <v>500</v>
      </c>
      <c r="J270" s="25">
        <v>500</v>
      </c>
      <c r="K270"/>
    </row>
    <row r="271" spans="2:12" s="91" customFormat="1" ht="15.75" hidden="1" customHeight="1">
      <c r="B271" s="70" t="s">
        <v>315</v>
      </c>
      <c r="C271" s="27" t="s">
        <v>13</v>
      </c>
      <c r="D271" s="27" t="s">
        <v>80</v>
      </c>
      <c r="E271" s="27" t="s">
        <v>17</v>
      </c>
      <c r="F271" s="29" t="s">
        <v>335</v>
      </c>
      <c r="G271" s="27" t="s">
        <v>316</v>
      </c>
      <c r="H271" s="25">
        <v>0</v>
      </c>
      <c r="I271" s="25">
        <f>2550.8-2550.8</f>
        <v>0</v>
      </c>
      <c r="J271" s="25">
        <v>0</v>
      </c>
    </row>
    <row r="272" spans="2:12" s="91" customFormat="1" ht="28.5" customHeight="1">
      <c r="B272" s="96" t="s">
        <v>336</v>
      </c>
      <c r="C272" s="27" t="s">
        <v>13</v>
      </c>
      <c r="D272" s="27" t="s">
        <v>80</v>
      </c>
      <c r="E272" s="27" t="s">
        <v>17</v>
      </c>
      <c r="F272" s="29" t="s">
        <v>335</v>
      </c>
      <c r="G272" s="27" t="s">
        <v>337</v>
      </c>
      <c r="H272" s="25">
        <v>230.1</v>
      </c>
      <c r="I272" s="25">
        <v>0</v>
      </c>
      <c r="J272" s="25">
        <v>0</v>
      </c>
      <c r="K272"/>
    </row>
    <row r="273" spans="2:11" s="91" customFormat="1" ht="28.5" customHeight="1">
      <c r="B273" s="96" t="s">
        <v>338</v>
      </c>
      <c r="C273" s="27" t="s">
        <v>13</v>
      </c>
      <c r="D273" s="27" t="s">
        <v>80</v>
      </c>
      <c r="E273" s="27" t="s">
        <v>17</v>
      </c>
      <c r="F273" s="29" t="s">
        <v>339</v>
      </c>
      <c r="G273" s="27"/>
      <c r="H273" s="25">
        <f>H274</f>
        <v>3810</v>
      </c>
      <c r="I273" s="25">
        <f>I274</f>
        <v>0</v>
      </c>
      <c r="J273" s="25">
        <f>J274</f>
        <v>0</v>
      </c>
    </row>
    <row r="274" spans="2:11" s="91" customFormat="1" ht="28.5" customHeight="1">
      <c r="B274" s="38" t="s">
        <v>39</v>
      </c>
      <c r="C274" s="27" t="s">
        <v>13</v>
      </c>
      <c r="D274" s="27" t="s">
        <v>80</v>
      </c>
      <c r="E274" s="27" t="s">
        <v>17</v>
      </c>
      <c r="F274" s="29" t="s">
        <v>339</v>
      </c>
      <c r="G274" s="27" t="s">
        <v>40</v>
      </c>
      <c r="H274" s="25">
        <f>3610+200</f>
        <v>3810</v>
      </c>
      <c r="I274" s="25">
        <v>0</v>
      </c>
      <c r="J274" s="25">
        <v>0</v>
      </c>
    </row>
    <row r="275" spans="2:11" s="91" customFormat="1" ht="28.5" customHeight="1">
      <c r="B275" s="97" t="s">
        <v>340</v>
      </c>
      <c r="C275" s="27" t="s">
        <v>13</v>
      </c>
      <c r="D275" s="27" t="s">
        <v>80</v>
      </c>
      <c r="E275" s="27" t="s">
        <v>17</v>
      </c>
      <c r="F275" s="29" t="s">
        <v>341</v>
      </c>
      <c r="G275" s="98"/>
      <c r="H275" s="25">
        <f>H276</f>
        <v>600</v>
      </c>
      <c r="I275" s="25">
        <f>I276</f>
        <v>0</v>
      </c>
      <c r="J275" s="25">
        <f>J276</f>
        <v>0</v>
      </c>
    </row>
    <row r="276" spans="2:11" s="91" customFormat="1" ht="28.5" customHeight="1">
      <c r="B276" s="38" t="s">
        <v>39</v>
      </c>
      <c r="C276" s="27" t="s">
        <v>13</v>
      </c>
      <c r="D276" s="27" t="s">
        <v>80</v>
      </c>
      <c r="E276" s="27" t="s">
        <v>17</v>
      </c>
      <c r="F276" s="29" t="s">
        <v>341</v>
      </c>
      <c r="G276" s="98" t="s">
        <v>40</v>
      </c>
      <c r="H276" s="25">
        <v>600</v>
      </c>
      <c r="I276" s="25">
        <v>0</v>
      </c>
      <c r="J276" s="25">
        <v>0</v>
      </c>
      <c r="K276"/>
    </row>
    <row r="277" spans="2:11" s="91" customFormat="1" ht="14.25" hidden="1" customHeight="1">
      <c r="B277" s="85" t="s">
        <v>342</v>
      </c>
      <c r="C277" s="27" t="s">
        <v>13</v>
      </c>
      <c r="D277" s="27" t="s">
        <v>80</v>
      </c>
      <c r="E277" s="27" t="s">
        <v>17</v>
      </c>
      <c r="F277" s="29" t="s">
        <v>343</v>
      </c>
      <c r="G277" s="27"/>
      <c r="H277" s="25">
        <f t="shared" ref="H277:J278" si="35">H278</f>
        <v>0</v>
      </c>
      <c r="I277" s="25">
        <f t="shared" si="35"/>
        <v>0</v>
      </c>
      <c r="J277" s="25">
        <f t="shared" si="35"/>
        <v>0</v>
      </c>
    </row>
    <row r="278" spans="2:11" s="91" customFormat="1" ht="16.5" hidden="1" customHeight="1">
      <c r="B278" s="99" t="s">
        <v>344</v>
      </c>
      <c r="C278" s="27" t="s">
        <v>13</v>
      </c>
      <c r="D278" s="27" t="s">
        <v>80</v>
      </c>
      <c r="E278" s="27" t="s">
        <v>17</v>
      </c>
      <c r="F278" s="29" t="s">
        <v>345</v>
      </c>
      <c r="G278" s="27"/>
      <c r="H278" s="25">
        <f t="shared" si="35"/>
        <v>0</v>
      </c>
      <c r="I278" s="25">
        <f t="shared" si="35"/>
        <v>0</v>
      </c>
      <c r="J278" s="25">
        <f t="shared" si="35"/>
        <v>0</v>
      </c>
    </row>
    <row r="279" spans="2:11" s="91" customFormat="1" ht="25.5" hidden="1" customHeight="1">
      <c r="B279" s="38" t="s">
        <v>39</v>
      </c>
      <c r="C279" s="27" t="s">
        <v>13</v>
      </c>
      <c r="D279" s="27" t="s">
        <v>80</v>
      </c>
      <c r="E279" s="27" t="s">
        <v>17</v>
      </c>
      <c r="F279" s="29" t="s">
        <v>345</v>
      </c>
      <c r="G279" s="27" t="s">
        <v>40</v>
      </c>
      <c r="H279" s="25"/>
      <c r="I279" s="25"/>
      <c r="J279" s="25"/>
    </row>
    <row r="280" spans="2:11" s="91" customFormat="1" ht="25.5" customHeight="1">
      <c r="B280" s="28" t="s">
        <v>346</v>
      </c>
      <c r="C280" s="27" t="s">
        <v>13</v>
      </c>
      <c r="D280" s="27" t="s">
        <v>80</v>
      </c>
      <c r="E280" s="27" t="s">
        <v>17</v>
      </c>
      <c r="F280" s="29" t="s">
        <v>347</v>
      </c>
      <c r="G280" s="27"/>
      <c r="H280" s="25">
        <f>H281+H290</f>
        <v>14928</v>
      </c>
      <c r="I280" s="25">
        <f>I281+I290</f>
        <v>0</v>
      </c>
      <c r="J280" s="25">
        <f>J281+J290</f>
        <v>0</v>
      </c>
    </row>
    <row r="281" spans="2:11" s="91" customFormat="1" ht="40.5" hidden="1" customHeight="1">
      <c r="B281" s="56" t="s">
        <v>348</v>
      </c>
      <c r="C281" s="27" t="s">
        <v>13</v>
      </c>
      <c r="D281" s="27" t="s">
        <v>80</v>
      </c>
      <c r="E281" s="27" t="s">
        <v>17</v>
      </c>
      <c r="F281" s="29" t="s">
        <v>349</v>
      </c>
      <c r="G281" s="27"/>
      <c r="H281" s="25">
        <f>H282+H284+H286+H288</f>
        <v>0</v>
      </c>
      <c r="I281" s="25">
        <f>I282+I284+I286+I288</f>
        <v>0</v>
      </c>
      <c r="J281" s="25">
        <f>J282+J284+J286+J288</f>
        <v>0</v>
      </c>
    </row>
    <row r="282" spans="2:11" s="91" customFormat="1" ht="12.75" hidden="1" customHeight="1">
      <c r="B282" s="77" t="s">
        <v>330</v>
      </c>
      <c r="C282" s="27" t="s">
        <v>13</v>
      </c>
      <c r="D282" s="27" t="s">
        <v>80</v>
      </c>
      <c r="E282" s="27" t="s">
        <v>17</v>
      </c>
      <c r="F282" s="29" t="s">
        <v>350</v>
      </c>
      <c r="G282" s="27"/>
      <c r="H282" s="25">
        <f>H283</f>
        <v>0</v>
      </c>
      <c r="I282" s="25">
        <f>I283</f>
        <v>0</v>
      </c>
      <c r="J282" s="25">
        <f>J283</f>
        <v>0</v>
      </c>
    </row>
    <row r="283" spans="2:11" s="91" customFormat="1" ht="12.75" hidden="1" customHeight="1">
      <c r="B283" s="70" t="s">
        <v>315</v>
      </c>
      <c r="C283" s="27" t="s">
        <v>13</v>
      </c>
      <c r="D283" s="27" t="s">
        <v>80</v>
      </c>
      <c r="E283" s="27" t="s">
        <v>17</v>
      </c>
      <c r="F283" s="29" t="s">
        <v>350</v>
      </c>
      <c r="G283" s="27" t="s">
        <v>316</v>
      </c>
      <c r="H283" s="25">
        <f>5500-5500</f>
        <v>0</v>
      </c>
      <c r="I283" s="25">
        <v>0</v>
      </c>
      <c r="J283" s="25">
        <v>0</v>
      </c>
      <c r="K283"/>
    </row>
    <row r="284" spans="2:11" s="91" customFormat="1" ht="39" hidden="1" customHeight="1">
      <c r="B284" s="100" t="s">
        <v>351</v>
      </c>
      <c r="C284" s="27" t="s">
        <v>13</v>
      </c>
      <c r="D284" s="27" t="s">
        <v>80</v>
      </c>
      <c r="E284" s="27" t="s">
        <v>17</v>
      </c>
      <c r="F284" s="29" t="s">
        <v>352</v>
      </c>
      <c r="G284" s="27"/>
      <c r="H284" s="25">
        <f>H285</f>
        <v>0</v>
      </c>
      <c r="I284" s="25">
        <f>I285</f>
        <v>0</v>
      </c>
      <c r="J284" s="25">
        <f>J285</f>
        <v>0</v>
      </c>
    </row>
    <row r="285" spans="2:11" s="91" customFormat="1" ht="12.75" hidden="1" customHeight="1">
      <c r="B285" s="70" t="s">
        <v>315</v>
      </c>
      <c r="C285" s="27" t="s">
        <v>13</v>
      </c>
      <c r="D285" s="27" t="s">
        <v>80</v>
      </c>
      <c r="E285" s="27" t="s">
        <v>17</v>
      </c>
      <c r="F285" s="29" t="s">
        <v>352</v>
      </c>
      <c r="G285" s="27" t="s">
        <v>316</v>
      </c>
      <c r="H285" s="25"/>
      <c r="I285" s="25"/>
      <c r="J285" s="25"/>
    </row>
    <row r="286" spans="2:11" s="91" customFormat="1" ht="39" hidden="1" customHeight="1">
      <c r="B286" s="99" t="s">
        <v>353</v>
      </c>
      <c r="C286" s="27" t="s">
        <v>13</v>
      </c>
      <c r="D286" s="27" t="s">
        <v>80</v>
      </c>
      <c r="E286" s="27" t="s">
        <v>17</v>
      </c>
      <c r="F286" s="29" t="s">
        <v>354</v>
      </c>
      <c r="G286" s="27"/>
      <c r="H286" s="25">
        <f>H287</f>
        <v>0</v>
      </c>
      <c r="I286" s="25">
        <f>I287</f>
        <v>0</v>
      </c>
      <c r="J286" s="25">
        <f>J287</f>
        <v>0</v>
      </c>
    </row>
    <row r="287" spans="2:11" s="91" customFormat="1" ht="15.75" hidden="1" customHeight="1">
      <c r="B287" s="101" t="s">
        <v>315</v>
      </c>
      <c r="C287" s="27" t="s">
        <v>13</v>
      </c>
      <c r="D287" s="27" t="s">
        <v>80</v>
      </c>
      <c r="E287" s="27" t="s">
        <v>17</v>
      </c>
      <c r="F287" s="29" t="s">
        <v>354</v>
      </c>
      <c r="G287" s="98" t="s">
        <v>316</v>
      </c>
      <c r="H287" s="25"/>
      <c r="I287" s="25"/>
      <c r="J287" s="25"/>
    </row>
    <row r="288" spans="2:11" s="91" customFormat="1" ht="26.25" hidden="1" customHeight="1">
      <c r="B288" s="102" t="s">
        <v>355</v>
      </c>
      <c r="C288" s="27" t="s">
        <v>13</v>
      </c>
      <c r="D288" s="27" t="s">
        <v>80</v>
      </c>
      <c r="E288" s="27" t="s">
        <v>17</v>
      </c>
      <c r="F288" s="29" t="s">
        <v>356</v>
      </c>
      <c r="G288" s="98"/>
      <c r="H288" s="25">
        <f>H289</f>
        <v>0</v>
      </c>
      <c r="I288" s="25">
        <f>I289</f>
        <v>0</v>
      </c>
      <c r="J288" s="25">
        <f>J289</f>
        <v>0</v>
      </c>
    </row>
    <row r="289" spans="2:11" s="91" customFormat="1" ht="15.75" hidden="1" customHeight="1">
      <c r="B289" s="101" t="s">
        <v>315</v>
      </c>
      <c r="C289" s="27" t="s">
        <v>13</v>
      </c>
      <c r="D289" s="27" t="s">
        <v>80</v>
      </c>
      <c r="E289" s="27" t="s">
        <v>17</v>
      </c>
      <c r="F289" s="29" t="s">
        <v>356</v>
      </c>
      <c r="G289" s="98" t="s">
        <v>316</v>
      </c>
      <c r="H289" s="25"/>
      <c r="I289" s="25"/>
      <c r="J289" s="25"/>
    </row>
    <row r="290" spans="2:11" s="91" customFormat="1" ht="24.75" customHeight="1">
      <c r="B290" s="100" t="s">
        <v>357</v>
      </c>
      <c r="C290" s="27" t="s">
        <v>13</v>
      </c>
      <c r="D290" s="27" t="s">
        <v>80</v>
      </c>
      <c r="E290" s="27" t="s">
        <v>17</v>
      </c>
      <c r="F290" s="29" t="s">
        <v>358</v>
      </c>
      <c r="G290" s="27"/>
      <c r="H290" s="25">
        <f t="shared" ref="H290:J291" si="36">H291</f>
        <v>14928</v>
      </c>
      <c r="I290" s="25">
        <f t="shared" si="36"/>
        <v>0</v>
      </c>
      <c r="J290" s="25">
        <f t="shared" si="36"/>
        <v>0</v>
      </c>
      <c r="K290" s="72"/>
    </row>
    <row r="291" spans="2:11" s="91" customFormat="1" ht="38.25" customHeight="1">
      <c r="B291" s="100" t="s">
        <v>359</v>
      </c>
      <c r="C291" s="27" t="s">
        <v>13</v>
      </c>
      <c r="D291" s="27" t="s">
        <v>80</v>
      </c>
      <c r="E291" s="27" t="s">
        <v>17</v>
      </c>
      <c r="F291" s="29" t="s">
        <v>360</v>
      </c>
      <c r="G291" s="27"/>
      <c r="H291" s="25">
        <f t="shared" si="36"/>
        <v>14928</v>
      </c>
      <c r="I291" s="25">
        <f t="shared" si="36"/>
        <v>0</v>
      </c>
      <c r="J291" s="25">
        <f t="shared" si="36"/>
        <v>0</v>
      </c>
    </row>
    <row r="292" spans="2:11" s="91" customFormat="1" ht="12.75" customHeight="1">
      <c r="B292" s="70" t="s">
        <v>315</v>
      </c>
      <c r="C292" s="27" t="s">
        <v>13</v>
      </c>
      <c r="D292" s="27" t="s">
        <v>80</v>
      </c>
      <c r="E292" s="27" t="s">
        <v>17</v>
      </c>
      <c r="F292" s="29" t="s">
        <v>360</v>
      </c>
      <c r="G292" s="27" t="s">
        <v>316</v>
      </c>
      <c r="H292" s="25">
        <f>10600.2+327.8+4000</f>
        <v>14928</v>
      </c>
      <c r="I292" s="25">
        <v>0</v>
      </c>
      <c r="J292" s="25">
        <v>0</v>
      </c>
      <c r="K292"/>
    </row>
    <row r="293" spans="2:11" s="91" customFormat="1" ht="41.25" customHeight="1">
      <c r="B293" s="70" t="s">
        <v>183</v>
      </c>
      <c r="C293" s="27" t="s">
        <v>13</v>
      </c>
      <c r="D293" s="27" t="s">
        <v>80</v>
      </c>
      <c r="E293" s="27" t="s">
        <v>17</v>
      </c>
      <c r="F293" s="29" t="s">
        <v>184</v>
      </c>
      <c r="G293" s="27"/>
      <c r="H293" s="25">
        <f t="shared" ref="H293:J295" si="37">H294</f>
        <v>567</v>
      </c>
      <c r="I293" s="25">
        <f t="shared" si="37"/>
        <v>0</v>
      </c>
      <c r="J293" s="25">
        <f t="shared" si="37"/>
        <v>0</v>
      </c>
    </row>
    <row r="294" spans="2:11" s="91" customFormat="1" ht="26.25" customHeight="1">
      <c r="B294" s="73" t="s">
        <v>185</v>
      </c>
      <c r="C294" s="27" t="s">
        <v>13</v>
      </c>
      <c r="D294" s="27" t="s">
        <v>80</v>
      </c>
      <c r="E294" s="27" t="s">
        <v>17</v>
      </c>
      <c r="F294" s="29" t="s">
        <v>186</v>
      </c>
      <c r="G294" s="27"/>
      <c r="H294" s="25">
        <f t="shared" si="37"/>
        <v>567</v>
      </c>
      <c r="I294" s="25">
        <f t="shared" si="37"/>
        <v>0</v>
      </c>
      <c r="J294" s="25">
        <f t="shared" si="37"/>
        <v>0</v>
      </c>
    </row>
    <row r="295" spans="2:11" s="91" customFormat="1" ht="27.75" customHeight="1">
      <c r="B295" s="81" t="s">
        <v>224</v>
      </c>
      <c r="C295" s="27" t="s">
        <v>13</v>
      </c>
      <c r="D295" s="27" t="s">
        <v>80</v>
      </c>
      <c r="E295" s="27" t="s">
        <v>17</v>
      </c>
      <c r="F295" s="29" t="s">
        <v>225</v>
      </c>
      <c r="G295" s="27"/>
      <c r="H295" s="25">
        <f t="shared" si="37"/>
        <v>567</v>
      </c>
      <c r="I295" s="25">
        <f t="shared" si="37"/>
        <v>0</v>
      </c>
      <c r="J295" s="25">
        <f t="shared" si="37"/>
        <v>0</v>
      </c>
    </row>
    <row r="296" spans="2:11" s="91" customFormat="1" ht="24.75" customHeight="1">
      <c r="B296" s="38" t="s">
        <v>39</v>
      </c>
      <c r="C296" s="27" t="s">
        <v>13</v>
      </c>
      <c r="D296" s="27" t="s">
        <v>80</v>
      </c>
      <c r="E296" s="27" t="s">
        <v>17</v>
      </c>
      <c r="F296" s="29" t="s">
        <v>225</v>
      </c>
      <c r="G296" s="27" t="s">
        <v>40</v>
      </c>
      <c r="H296" s="25">
        <f>567+650+400-650-400</f>
        <v>567</v>
      </c>
      <c r="I296" s="25">
        <v>0</v>
      </c>
      <c r="J296" s="25">
        <v>0</v>
      </c>
      <c r="K296"/>
    </row>
    <row r="297" spans="2:11" s="91" customFormat="1">
      <c r="B297" s="19" t="s">
        <v>361</v>
      </c>
      <c r="C297" s="20" t="s">
        <v>13</v>
      </c>
      <c r="D297" s="20" t="s">
        <v>80</v>
      </c>
      <c r="E297" s="20" t="s">
        <v>193</v>
      </c>
      <c r="F297" s="88"/>
      <c r="G297" s="20"/>
      <c r="H297" s="21">
        <f>H298+H322</f>
        <v>17221.899999999998</v>
      </c>
      <c r="I297" s="21">
        <f>I298+I322</f>
        <v>8509.2999999999993</v>
      </c>
      <c r="J297" s="21">
        <f>J298+J322</f>
        <v>8509.2999999999993</v>
      </c>
    </row>
    <row r="298" spans="2:11" s="91" customFormat="1" ht="25.5">
      <c r="B298" s="26" t="s">
        <v>362</v>
      </c>
      <c r="C298" s="27" t="s">
        <v>13</v>
      </c>
      <c r="D298" s="27" t="s">
        <v>80</v>
      </c>
      <c r="E298" s="27" t="s">
        <v>193</v>
      </c>
      <c r="F298" s="29" t="s">
        <v>363</v>
      </c>
      <c r="G298" s="20"/>
      <c r="H298" s="21">
        <f>H299+H307</f>
        <v>12446.599999999999</v>
      </c>
      <c r="I298" s="21">
        <f>I299+I307</f>
        <v>8509.2999999999993</v>
      </c>
      <c r="J298" s="21">
        <f>J299+J307</f>
        <v>8509.2999999999993</v>
      </c>
    </row>
    <row r="299" spans="2:11" s="91" customFormat="1" ht="25.5">
      <c r="B299" s="70" t="s">
        <v>364</v>
      </c>
      <c r="C299" s="27" t="s">
        <v>13</v>
      </c>
      <c r="D299" s="27" t="s">
        <v>80</v>
      </c>
      <c r="E299" s="27" t="s">
        <v>193</v>
      </c>
      <c r="F299" s="29" t="s">
        <v>365</v>
      </c>
      <c r="G299" s="27"/>
      <c r="H299" s="25">
        <f>H300</f>
        <v>3937.3</v>
      </c>
      <c r="I299" s="25">
        <f>I300</f>
        <v>0</v>
      </c>
      <c r="J299" s="25">
        <f>J300</f>
        <v>0</v>
      </c>
    </row>
    <row r="300" spans="2:11" s="91" customFormat="1" ht="38.25">
      <c r="B300" s="70" t="s">
        <v>366</v>
      </c>
      <c r="C300" s="27" t="s">
        <v>13</v>
      </c>
      <c r="D300" s="27" t="s">
        <v>80</v>
      </c>
      <c r="E300" s="27" t="s">
        <v>193</v>
      </c>
      <c r="F300" s="29" t="s">
        <v>367</v>
      </c>
      <c r="G300" s="27"/>
      <c r="H300" s="25">
        <f>H301+H303+H305</f>
        <v>3937.3</v>
      </c>
      <c r="I300" s="25">
        <f>I301+I303+I305</f>
        <v>0</v>
      </c>
      <c r="J300" s="25">
        <f>J301+J303+J305</f>
        <v>0</v>
      </c>
    </row>
    <row r="301" spans="2:11" s="91" customFormat="1" ht="17.25" customHeight="1">
      <c r="B301" s="70" t="s">
        <v>368</v>
      </c>
      <c r="C301" s="27" t="s">
        <v>13</v>
      </c>
      <c r="D301" s="27" t="s">
        <v>80</v>
      </c>
      <c r="E301" s="27" t="s">
        <v>193</v>
      </c>
      <c r="F301" s="29" t="s">
        <v>369</v>
      </c>
      <c r="G301" s="27"/>
      <c r="H301" s="25">
        <f>H302</f>
        <v>1284.1000000000001</v>
      </c>
      <c r="I301" s="25">
        <f>I302</f>
        <v>0</v>
      </c>
      <c r="J301" s="25">
        <f>J302</f>
        <v>0</v>
      </c>
    </row>
    <row r="302" spans="2:11" s="91" customFormat="1" ht="25.5">
      <c r="B302" s="38" t="s">
        <v>39</v>
      </c>
      <c r="C302" s="27" t="s">
        <v>13</v>
      </c>
      <c r="D302" s="27" t="s">
        <v>80</v>
      </c>
      <c r="E302" s="27" t="s">
        <v>193</v>
      </c>
      <c r="F302" s="29" t="s">
        <v>369</v>
      </c>
      <c r="G302" s="27" t="s">
        <v>40</v>
      </c>
      <c r="H302" s="25">
        <f>1070.7+213.4</f>
        <v>1284.1000000000001</v>
      </c>
      <c r="I302" s="25">
        <v>0</v>
      </c>
      <c r="J302" s="25">
        <v>0</v>
      </c>
    </row>
    <row r="303" spans="2:11" s="91" customFormat="1" ht="26.25" customHeight="1">
      <c r="B303" s="103" t="s">
        <v>370</v>
      </c>
      <c r="C303" s="27" t="s">
        <v>13</v>
      </c>
      <c r="D303" s="27" t="s">
        <v>80</v>
      </c>
      <c r="E303" s="27" t="s">
        <v>193</v>
      </c>
      <c r="F303" s="29" t="s">
        <v>371</v>
      </c>
      <c r="G303" s="27"/>
      <c r="H303" s="25">
        <f>H304</f>
        <v>2653.2000000000003</v>
      </c>
      <c r="I303" s="25">
        <f>I304</f>
        <v>0</v>
      </c>
      <c r="J303" s="25">
        <f>J304</f>
        <v>0</v>
      </c>
    </row>
    <row r="304" spans="2:11" s="91" customFormat="1" ht="25.5">
      <c r="B304" s="38" t="s">
        <v>100</v>
      </c>
      <c r="C304" s="27" t="s">
        <v>13</v>
      </c>
      <c r="D304" s="27" t="s">
        <v>80</v>
      </c>
      <c r="E304" s="27" t="s">
        <v>193</v>
      </c>
      <c r="F304" s="29" t="s">
        <v>371</v>
      </c>
      <c r="G304" s="27" t="s">
        <v>40</v>
      </c>
      <c r="H304" s="25">
        <f>2387.9+265.3</f>
        <v>2653.2000000000003</v>
      </c>
      <c r="I304" s="25">
        <v>0</v>
      </c>
      <c r="J304" s="25">
        <v>0</v>
      </c>
    </row>
    <row r="305" spans="2:10" s="91" customFormat="1" ht="25.5" hidden="1">
      <c r="B305" s="70" t="s">
        <v>372</v>
      </c>
      <c r="C305" s="27" t="s">
        <v>13</v>
      </c>
      <c r="D305" s="27" t="s">
        <v>80</v>
      </c>
      <c r="E305" s="27" t="s">
        <v>193</v>
      </c>
      <c r="F305" s="29" t="s">
        <v>373</v>
      </c>
      <c r="G305" s="27"/>
      <c r="H305" s="25">
        <f>H306</f>
        <v>0</v>
      </c>
      <c r="I305" s="25">
        <f>I306</f>
        <v>0</v>
      </c>
      <c r="J305" s="25">
        <f>J306</f>
        <v>0</v>
      </c>
    </row>
    <row r="306" spans="2:10" s="91" customFormat="1" ht="25.5" hidden="1">
      <c r="B306" s="38" t="s">
        <v>100</v>
      </c>
      <c r="C306" s="27" t="s">
        <v>13</v>
      </c>
      <c r="D306" s="27" t="s">
        <v>80</v>
      </c>
      <c r="E306" s="27" t="s">
        <v>193</v>
      </c>
      <c r="F306" s="29" t="s">
        <v>373</v>
      </c>
      <c r="G306" s="27" t="s">
        <v>40</v>
      </c>
      <c r="H306" s="25"/>
      <c r="I306" s="25"/>
      <c r="J306" s="25"/>
    </row>
    <row r="307" spans="2:10" s="91" customFormat="1" ht="25.5">
      <c r="B307" s="70" t="s">
        <v>374</v>
      </c>
      <c r="C307" s="27" t="s">
        <v>13</v>
      </c>
      <c r="D307" s="27" t="s">
        <v>80</v>
      </c>
      <c r="E307" s="27" t="s">
        <v>193</v>
      </c>
      <c r="F307" s="29" t="s">
        <v>375</v>
      </c>
      <c r="G307" s="27"/>
      <c r="H307" s="25">
        <f>H308+H314+H319</f>
        <v>8509.2999999999993</v>
      </c>
      <c r="I307" s="25">
        <f>I308+I314+I319</f>
        <v>8509.2999999999993</v>
      </c>
      <c r="J307" s="25">
        <f>J308+J314+J319</f>
        <v>8509.2999999999993</v>
      </c>
    </row>
    <row r="308" spans="2:10" s="91" customFormat="1">
      <c r="B308" s="38" t="s">
        <v>376</v>
      </c>
      <c r="C308" s="27" t="s">
        <v>13</v>
      </c>
      <c r="D308" s="27" t="s">
        <v>80</v>
      </c>
      <c r="E308" s="27" t="s">
        <v>193</v>
      </c>
      <c r="F308" s="29" t="s">
        <v>377</v>
      </c>
      <c r="G308" s="27"/>
      <c r="H308" s="25">
        <f>H309+H312</f>
        <v>7639.3</v>
      </c>
      <c r="I308" s="25">
        <f>I309+I312</f>
        <v>7639.3</v>
      </c>
      <c r="J308" s="25">
        <f>J309+J312</f>
        <v>7639.3</v>
      </c>
    </row>
    <row r="309" spans="2:10" s="91" customFormat="1">
      <c r="B309" s="38" t="s">
        <v>378</v>
      </c>
      <c r="C309" s="27" t="s">
        <v>13</v>
      </c>
      <c r="D309" s="27" t="s">
        <v>80</v>
      </c>
      <c r="E309" s="27" t="s">
        <v>193</v>
      </c>
      <c r="F309" s="29" t="s">
        <v>379</v>
      </c>
      <c r="G309" s="27"/>
      <c r="H309" s="25">
        <f>H310+H311</f>
        <v>7639.3</v>
      </c>
      <c r="I309" s="25">
        <f>I310+I311</f>
        <v>7639.3</v>
      </c>
      <c r="J309" s="25">
        <f>J310+J311</f>
        <v>7639.3</v>
      </c>
    </row>
    <row r="310" spans="2:10" s="91" customFormat="1" ht="25.5">
      <c r="B310" s="38" t="s">
        <v>39</v>
      </c>
      <c r="C310" s="27" t="s">
        <v>13</v>
      </c>
      <c r="D310" s="27" t="s">
        <v>80</v>
      </c>
      <c r="E310" s="27" t="s">
        <v>193</v>
      </c>
      <c r="F310" s="29" t="s">
        <v>379</v>
      </c>
      <c r="G310" s="27" t="s">
        <v>40</v>
      </c>
      <c r="H310" s="25">
        <f>5729.5+1909.8</f>
        <v>7639.3</v>
      </c>
      <c r="I310" s="25">
        <f>5729.5+1909.8</f>
        <v>7639.3</v>
      </c>
      <c r="J310" s="25">
        <f>5729.5+1909.8</f>
        <v>7639.3</v>
      </c>
    </row>
    <row r="311" spans="2:10" s="91" customFormat="1" ht="18" hidden="1" customHeight="1">
      <c r="B311" s="38" t="s">
        <v>380</v>
      </c>
      <c r="C311" s="27" t="s">
        <v>13</v>
      </c>
      <c r="D311" s="27" t="s">
        <v>80</v>
      </c>
      <c r="E311" s="27" t="s">
        <v>193</v>
      </c>
      <c r="F311" s="29" t="s">
        <v>379</v>
      </c>
      <c r="G311" s="27" t="s">
        <v>44</v>
      </c>
      <c r="H311" s="25"/>
      <c r="I311" s="25"/>
      <c r="J311" s="25"/>
    </row>
    <row r="312" spans="2:10" s="91" customFormat="1" ht="15.75" hidden="1" customHeight="1">
      <c r="B312" s="38" t="s">
        <v>381</v>
      </c>
      <c r="C312" s="27" t="s">
        <v>13</v>
      </c>
      <c r="D312" s="27" t="s">
        <v>80</v>
      </c>
      <c r="E312" s="27" t="s">
        <v>193</v>
      </c>
      <c r="F312" s="29" t="s">
        <v>382</v>
      </c>
      <c r="G312" s="27"/>
      <c r="H312" s="25">
        <f>H313</f>
        <v>0</v>
      </c>
      <c r="I312" s="25">
        <f>I313</f>
        <v>0</v>
      </c>
      <c r="J312" s="25">
        <f>J313</f>
        <v>0</v>
      </c>
    </row>
    <row r="313" spans="2:10" s="91" customFormat="1" ht="18" hidden="1" customHeight="1">
      <c r="B313" s="38" t="s">
        <v>39</v>
      </c>
      <c r="C313" s="27" t="s">
        <v>13</v>
      </c>
      <c r="D313" s="27" t="s">
        <v>80</v>
      </c>
      <c r="E313" s="27" t="s">
        <v>193</v>
      </c>
      <c r="F313" s="29" t="s">
        <v>382</v>
      </c>
      <c r="G313" s="27" t="s">
        <v>40</v>
      </c>
      <c r="H313" s="25"/>
      <c r="I313" s="25"/>
      <c r="J313" s="25"/>
    </row>
    <row r="314" spans="2:10" s="91" customFormat="1">
      <c r="B314" s="38" t="s">
        <v>383</v>
      </c>
      <c r="C314" s="27" t="s">
        <v>13</v>
      </c>
      <c r="D314" s="27" t="s">
        <v>80</v>
      </c>
      <c r="E314" s="27" t="s">
        <v>193</v>
      </c>
      <c r="F314" s="29" t="s">
        <v>384</v>
      </c>
      <c r="G314" s="27"/>
      <c r="H314" s="25">
        <f>H315+H317</f>
        <v>870</v>
      </c>
      <c r="I314" s="25">
        <f>I315+I317</f>
        <v>870</v>
      </c>
      <c r="J314" s="25">
        <f>J315+J317</f>
        <v>870</v>
      </c>
    </row>
    <row r="315" spans="2:10" s="91" customFormat="1">
      <c r="B315" s="38" t="s">
        <v>385</v>
      </c>
      <c r="C315" s="27" t="s">
        <v>13</v>
      </c>
      <c r="D315" s="27" t="s">
        <v>80</v>
      </c>
      <c r="E315" s="27" t="s">
        <v>193</v>
      </c>
      <c r="F315" s="29" t="s">
        <v>386</v>
      </c>
      <c r="G315" s="27"/>
      <c r="H315" s="25">
        <f>H316</f>
        <v>870</v>
      </c>
      <c r="I315" s="25">
        <f>I316</f>
        <v>870</v>
      </c>
      <c r="J315" s="25">
        <f>J316</f>
        <v>870</v>
      </c>
    </row>
    <row r="316" spans="2:10" s="91" customFormat="1" ht="25.5">
      <c r="B316" s="38" t="s">
        <v>39</v>
      </c>
      <c r="C316" s="27" t="s">
        <v>13</v>
      </c>
      <c r="D316" s="27" t="s">
        <v>80</v>
      </c>
      <c r="E316" s="27" t="s">
        <v>193</v>
      </c>
      <c r="F316" s="29" t="s">
        <v>386</v>
      </c>
      <c r="G316" s="27" t="s">
        <v>40</v>
      </c>
      <c r="H316" s="25">
        <f>770+100</f>
        <v>870</v>
      </c>
      <c r="I316" s="25">
        <f>770+100</f>
        <v>870</v>
      </c>
      <c r="J316" s="25">
        <f>770+100</f>
        <v>870</v>
      </c>
    </row>
    <row r="317" spans="2:10" s="91" customFormat="1" hidden="1">
      <c r="B317" s="38" t="s">
        <v>381</v>
      </c>
      <c r="C317" s="27" t="s">
        <v>13</v>
      </c>
      <c r="D317" s="27" t="s">
        <v>80</v>
      </c>
      <c r="E317" s="27" t="s">
        <v>193</v>
      </c>
      <c r="F317" s="29" t="s">
        <v>387</v>
      </c>
      <c r="G317" s="27"/>
      <c r="H317" s="25">
        <f>H318</f>
        <v>0</v>
      </c>
      <c r="I317" s="25">
        <f>I318</f>
        <v>0</v>
      </c>
      <c r="J317" s="25">
        <f>J318</f>
        <v>0</v>
      </c>
    </row>
    <row r="318" spans="2:10" s="91" customFormat="1" ht="25.5" hidden="1">
      <c r="B318" s="38" t="s">
        <v>39</v>
      </c>
      <c r="C318" s="27" t="s">
        <v>13</v>
      </c>
      <c r="D318" s="27" t="s">
        <v>80</v>
      </c>
      <c r="E318" s="27" t="s">
        <v>193</v>
      </c>
      <c r="F318" s="29" t="s">
        <v>387</v>
      </c>
      <c r="G318" s="27" t="s">
        <v>40</v>
      </c>
      <c r="H318" s="25"/>
      <c r="I318" s="25"/>
      <c r="J318" s="25"/>
    </row>
    <row r="319" spans="2:10" s="91" customFormat="1" ht="25.5" hidden="1">
      <c r="B319" s="38" t="s">
        <v>388</v>
      </c>
      <c r="C319" s="27" t="s">
        <v>13</v>
      </c>
      <c r="D319" s="27" t="s">
        <v>80</v>
      </c>
      <c r="E319" s="27" t="s">
        <v>193</v>
      </c>
      <c r="F319" s="29" t="s">
        <v>389</v>
      </c>
      <c r="G319" s="27"/>
      <c r="H319" s="25">
        <f t="shared" ref="H319:J320" si="38">H320</f>
        <v>0</v>
      </c>
      <c r="I319" s="25">
        <f t="shared" si="38"/>
        <v>0</v>
      </c>
      <c r="J319" s="25">
        <f t="shared" si="38"/>
        <v>0</v>
      </c>
    </row>
    <row r="320" spans="2:10" s="91" customFormat="1" hidden="1">
      <c r="B320" s="38" t="s">
        <v>390</v>
      </c>
      <c r="C320" s="27" t="s">
        <v>13</v>
      </c>
      <c r="D320" s="27" t="s">
        <v>80</v>
      </c>
      <c r="E320" s="27" t="s">
        <v>193</v>
      </c>
      <c r="F320" s="29" t="s">
        <v>391</v>
      </c>
      <c r="G320" s="27"/>
      <c r="H320" s="25">
        <f t="shared" si="38"/>
        <v>0</v>
      </c>
      <c r="I320" s="25">
        <f t="shared" si="38"/>
        <v>0</v>
      </c>
      <c r="J320" s="25">
        <f t="shared" si="38"/>
        <v>0</v>
      </c>
    </row>
    <row r="321" spans="2:10" s="91" customFormat="1" ht="25.5" hidden="1">
      <c r="B321" s="38" t="s">
        <v>39</v>
      </c>
      <c r="C321" s="27" t="s">
        <v>13</v>
      </c>
      <c r="D321" s="27" t="s">
        <v>80</v>
      </c>
      <c r="E321" s="27" t="s">
        <v>193</v>
      </c>
      <c r="F321" s="29" t="s">
        <v>391</v>
      </c>
      <c r="G321" s="27" t="s">
        <v>40</v>
      </c>
      <c r="H321" s="25">
        <f>80-40-40</f>
        <v>0</v>
      </c>
      <c r="I321" s="25">
        <f>80-40-40</f>
        <v>0</v>
      </c>
      <c r="J321" s="25">
        <f>80-40-40</f>
        <v>0</v>
      </c>
    </row>
    <row r="322" spans="2:10" s="91" customFormat="1" ht="28.5" customHeight="1">
      <c r="B322" s="38" t="s">
        <v>392</v>
      </c>
      <c r="C322" s="27" t="s">
        <v>13</v>
      </c>
      <c r="D322" s="27" t="s">
        <v>80</v>
      </c>
      <c r="E322" s="27" t="s">
        <v>193</v>
      </c>
      <c r="F322" s="29" t="s">
        <v>393</v>
      </c>
      <c r="G322" s="27"/>
      <c r="H322" s="25">
        <f t="shared" ref="H322:J324" si="39">H323</f>
        <v>4775.3</v>
      </c>
      <c r="I322" s="25">
        <f t="shared" si="39"/>
        <v>0</v>
      </c>
      <c r="J322" s="25">
        <f t="shared" si="39"/>
        <v>0</v>
      </c>
    </row>
    <row r="323" spans="2:10" s="91" customFormat="1" ht="25.5">
      <c r="B323" s="49" t="s">
        <v>394</v>
      </c>
      <c r="C323" s="27" t="s">
        <v>13</v>
      </c>
      <c r="D323" s="27" t="s">
        <v>80</v>
      </c>
      <c r="E323" s="27" t="s">
        <v>193</v>
      </c>
      <c r="F323" s="29" t="s">
        <v>395</v>
      </c>
      <c r="G323" s="27"/>
      <c r="H323" s="25">
        <f t="shared" si="39"/>
        <v>4775.3</v>
      </c>
      <c r="I323" s="25">
        <f t="shared" si="39"/>
        <v>0</v>
      </c>
      <c r="J323" s="25">
        <f t="shared" si="39"/>
        <v>0</v>
      </c>
    </row>
    <row r="324" spans="2:10" s="91" customFormat="1" ht="25.5">
      <c r="B324" s="49" t="s">
        <v>396</v>
      </c>
      <c r="C324" s="27" t="s">
        <v>13</v>
      </c>
      <c r="D324" s="27" t="s">
        <v>80</v>
      </c>
      <c r="E324" s="27" t="s">
        <v>193</v>
      </c>
      <c r="F324" s="29" t="s">
        <v>397</v>
      </c>
      <c r="G324" s="27"/>
      <c r="H324" s="25">
        <f t="shared" si="39"/>
        <v>4775.3</v>
      </c>
      <c r="I324" s="25">
        <f t="shared" si="39"/>
        <v>0</v>
      </c>
      <c r="J324" s="25">
        <f t="shared" si="39"/>
        <v>0</v>
      </c>
    </row>
    <row r="325" spans="2:10" s="91" customFormat="1" ht="25.5">
      <c r="B325" s="38" t="s">
        <v>39</v>
      </c>
      <c r="C325" s="27" t="s">
        <v>13</v>
      </c>
      <c r="D325" s="27" t="s">
        <v>80</v>
      </c>
      <c r="E325" s="27" t="s">
        <v>193</v>
      </c>
      <c r="F325" s="29" t="s">
        <v>397</v>
      </c>
      <c r="G325" s="27" t="s">
        <v>40</v>
      </c>
      <c r="H325" s="25">
        <f>4727.5+47.8</f>
        <v>4775.3</v>
      </c>
      <c r="I325" s="25">
        <f>0</f>
        <v>0</v>
      </c>
      <c r="J325" s="25">
        <v>0</v>
      </c>
    </row>
    <row r="326" spans="2:10" s="72" customFormat="1">
      <c r="B326" s="104" t="s">
        <v>398</v>
      </c>
      <c r="C326" s="20" t="s">
        <v>13</v>
      </c>
      <c r="D326" s="20" t="s">
        <v>399</v>
      </c>
      <c r="E326" s="20"/>
      <c r="F326" s="88"/>
      <c r="G326" s="20"/>
      <c r="H326" s="21">
        <f t="shared" ref="H326:J327" si="40">H327</f>
        <v>12508.8</v>
      </c>
      <c r="I326" s="21">
        <f t="shared" si="40"/>
        <v>465.6</v>
      </c>
      <c r="J326" s="21">
        <f t="shared" si="40"/>
        <v>465.6</v>
      </c>
    </row>
    <row r="327" spans="2:10" s="72" customFormat="1">
      <c r="B327" s="105" t="s">
        <v>400</v>
      </c>
      <c r="C327" s="20" t="s">
        <v>13</v>
      </c>
      <c r="D327" s="20" t="s">
        <v>399</v>
      </c>
      <c r="E327" s="20" t="s">
        <v>80</v>
      </c>
      <c r="F327" s="88"/>
      <c r="G327" s="20"/>
      <c r="H327" s="21">
        <f t="shared" si="40"/>
        <v>12508.8</v>
      </c>
      <c r="I327" s="21">
        <f t="shared" si="40"/>
        <v>465.6</v>
      </c>
      <c r="J327" s="21">
        <f t="shared" si="40"/>
        <v>465.6</v>
      </c>
    </row>
    <row r="328" spans="2:10" s="22" customFormat="1" ht="27.75" customHeight="1">
      <c r="B328" s="38" t="s">
        <v>63</v>
      </c>
      <c r="C328" s="27" t="s">
        <v>13</v>
      </c>
      <c r="D328" s="27" t="s">
        <v>399</v>
      </c>
      <c r="E328" s="27" t="s">
        <v>80</v>
      </c>
      <c r="F328" s="29" t="s">
        <v>64</v>
      </c>
      <c r="G328" s="27"/>
      <c r="H328" s="25">
        <f>H329+H333+H340+H344</f>
        <v>12508.8</v>
      </c>
      <c r="I328" s="25">
        <f>I329+I333+I340+I344</f>
        <v>465.6</v>
      </c>
      <c r="J328" s="25">
        <f>J329+J333+J340+J344</f>
        <v>465.6</v>
      </c>
    </row>
    <row r="329" spans="2:10" s="22" customFormat="1" ht="25.5">
      <c r="B329" s="77" t="s">
        <v>401</v>
      </c>
      <c r="C329" s="27" t="s">
        <v>13</v>
      </c>
      <c r="D329" s="27" t="s">
        <v>399</v>
      </c>
      <c r="E329" s="27" t="s">
        <v>80</v>
      </c>
      <c r="F329" s="29" t="s">
        <v>402</v>
      </c>
      <c r="G329" s="27"/>
      <c r="H329" s="25">
        <f>H330</f>
        <v>299.60000000000002</v>
      </c>
      <c r="I329" s="25">
        <f>I330</f>
        <v>299.60000000000002</v>
      </c>
      <c r="J329" s="25">
        <f>J330</f>
        <v>299.60000000000002</v>
      </c>
    </row>
    <row r="330" spans="2:10" s="22" customFormat="1">
      <c r="B330" s="106" t="s">
        <v>403</v>
      </c>
      <c r="C330" s="27" t="s">
        <v>13</v>
      </c>
      <c r="D330" s="27" t="s">
        <v>399</v>
      </c>
      <c r="E330" s="27" t="s">
        <v>80</v>
      </c>
      <c r="F330" s="29" t="s">
        <v>404</v>
      </c>
      <c r="G330" s="27"/>
      <c r="H330" s="25">
        <f>H331+H332</f>
        <v>299.60000000000002</v>
      </c>
      <c r="I330" s="25">
        <f>I331+I332</f>
        <v>299.60000000000002</v>
      </c>
      <c r="J330" s="25">
        <f>J331+J332</f>
        <v>299.60000000000002</v>
      </c>
    </row>
    <row r="331" spans="2:10" s="22" customFormat="1" ht="25.5">
      <c r="B331" s="38" t="s">
        <v>39</v>
      </c>
      <c r="C331" s="27" t="s">
        <v>13</v>
      </c>
      <c r="D331" s="27" t="s">
        <v>399</v>
      </c>
      <c r="E331" s="27" t="s">
        <v>80</v>
      </c>
      <c r="F331" s="29" t="s">
        <v>404</v>
      </c>
      <c r="G331" s="27" t="s">
        <v>40</v>
      </c>
      <c r="H331" s="25">
        <v>299</v>
      </c>
      <c r="I331" s="25">
        <v>299</v>
      </c>
      <c r="J331" s="25">
        <v>299</v>
      </c>
    </row>
    <row r="332" spans="2:10" s="22" customFormat="1">
      <c r="B332" s="38" t="s">
        <v>43</v>
      </c>
      <c r="C332" s="27" t="s">
        <v>13</v>
      </c>
      <c r="D332" s="27" t="s">
        <v>399</v>
      </c>
      <c r="E332" s="27" t="s">
        <v>80</v>
      </c>
      <c r="F332" s="29" t="s">
        <v>404</v>
      </c>
      <c r="G332" s="27" t="s">
        <v>44</v>
      </c>
      <c r="H332" s="25">
        <v>0.6</v>
      </c>
      <c r="I332" s="25">
        <v>0.6</v>
      </c>
      <c r="J332" s="25">
        <v>0.6</v>
      </c>
    </row>
    <row r="333" spans="2:10" s="22" customFormat="1" ht="25.5">
      <c r="B333" s="38" t="s">
        <v>65</v>
      </c>
      <c r="C333" s="27" t="s">
        <v>13</v>
      </c>
      <c r="D333" s="27" t="s">
        <v>399</v>
      </c>
      <c r="E333" s="27" t="s">
        <v>80</v>
      </c>
      <c r="F333" s="29" t="s">
        <v>66</v>
      </c>
      <c r="G333" s="27"/>
      <c r="H333" s="25">
        <f>H334+H336+H338</f>
        <v>12153.199999999999</v>
      </c>
      <c r="I333" s="25">
        <f>I334+I336+I338</f>
        <v>140</v>
      </c>
      <c r="J333" s="25">
        <f>J334+J336+J338</f>
        <v>140</v>
      </c>
    </row>
    <row r="334" spans="2:10" s="22" customFormat="1">
      <c r="B334" s="106" t="s">
        <v>403</v>
      </c>
      <c r="C334" s="27" t="s">
        <v>13</v>
      </c>
      <c r="D334" s="27" t="s">
        <v>399</v>
      </c>
      <c r="E334" s="27" t="s">
        <v>80</v>
      </c>
      <c r="F334" s="29" t="s">
        <v>405</v>
      </c>
      <c r="G334" s="27"/>
      <c r="H334" s="25">
        <f>H335</f>
        <v>540</v>
      </c>
      <c r="I334" s="25">
        <f>I335</f>
        <v>140</v>
      </c>
      <c r="J334" s="25">
        <f>J335</f>
        <v>140</v>
      </c>
    </row>
    <row r="335" spans="2:10" s="22" customFormat="1" ht="25.5">
      <c r="B335" s="38" t="s">
        <v>39</v>
      </c>
      <c r="C335" s="27" t="s">
        <v>13</v>
      </c>
      <c r="D335" s="27" t="s">
        <v>399</v>
      </c>
      <c r="E335" s="27" t="s">
        <v>80</v>
      </c>
      <c r="F335" s="29" t="s">
        <v>405</v>
      </c>
      <c r="G335" s="27" t="s">
        <v>40</v>
      </c>
      <c r="H335" s="25">
        <v>540</v>
      </c>
      <c r="I335" s="25">
        <v>140</v>
      </c>
      <c r="J335" s="25">
        <v>140</v>
      </c>
    </row>
    <row r="336" spans="2:10" s="22" customFormat="1" ht="25.5" hidden="1">
      <c r="B336" s="107" t="s">
        <v>406</v>
      </c>
      <c r="C336" s="27" t="s">
        <v>13</v>
      </c>
      <c r="D336" s="27" t="s">
        <v>399</v>
      </c>
      <c r="E336" s="27" t="s">
        <v>80</v>
      </c>
      <c r="F336" s="29" t="s">
        <v>407</v>
      </c>
      <c r="G336" s="27"/>
      <c r="H336" s="25">
        <f>H337</f>
        <v>0</v>
      </c>
      <c r="I336" s="25">
        <f>I337</f>
        <v>0</v>
      </c>
      <c r="J336" s="25">
        <f>J337</f>
        <v>0</v>
      </c>
    </row>
    <row r="337" spans="2:10" s="22" customFormat="1" ht="25.5" hidden="1">
      <c r="B337" s="38" t="s">
        <v>39</v>
      </c>
      <c r="C337" s="27" t="s">
        <v>13</v>
      </c>
      <c r="D337" s="27" t="s">
        <v>399</v>
      </c>
      <c r="E337" s="27" t="s">
        <v>80</v>
      </c>
      <c r="F337" s="29" t="s">
        <v>407</v>
      </c>
      <c r="G337" s="27" t="s">
        <v>40</v>
      </c>
      <c r="H337" s="25"/>
      <c r="I337" s="25"/>
      <c r="J337" s="25"/>
    </row>
    <row r="338" spans="2:10" s="22" customFormat="1" ht="25.5">
      <c r="B338" s="108" t="s">
        <v>408</v>
      </c>
      <c r="C338" s="27" t="s">
        <v>13</v>
      </c>
      <c r="D338" s="27" t="s">
        <v>399</v>
      </c>
      <c r="E338" s="27" t="s">
        <v>80</v>
      </c>
      <c r="F338" s="29" t="s">
        <v>409</v>
      </c>
      <c r="G338" s="27"/>
      <c r="H338" s="25">
        <f>H339</f>
        <v>11613.199999999999</v>
      </c>
      <c r="I338" s="25">
        <f>I339</f>
        <v>0</v>
      </c>
      <c r="J338" s="25">
        <f>J339</f>
        <v>0</v>
      </c>
    </row>
    <row r="339" spans="2:10" s="22" customFormat="1" ht="25.5">
      <c r="B339" s="77" t="s">
        <v>39</v>
      </c>
      <c r="C339" s="27" t="s">
        <v>13</v>
      </c>
      <c r="D339" s="27" t="s">
        <v>399</v>
      </c>
      <c r="E339" s="27" t="s">
        <v>80</v>
      </c>
      <c r="F339" s="29" t="s">
        <v>409</v>
      </c>
      <c r="G339" s="27" t="s">
        <v>40</v>
      </c>
      <c r="H339" s="25">
        <f>11264.8+348.4</f>
        <v>11613.199999999999</v>
      </c>
      <c r="I339" s="25">
        <v>0</v>
      </c>
      <c r="J339" s="25">
        <v>0</v>
      </c>
    </row>
    <row r="340" spans="2:10" s="22" customFormat="1" ht="25.5">
      <c r="B340" s="49" t="s">
        <v>410</v>
      </c>
      <c r="C340" s="27" t="s">
        <v>13</v>
      </c>
      <c r="D340" s="27" t="s">
        <v>399</v>
      </c>
      <c r="E340" s="27" t="s">
        <v>80</v>
      </c>
      <c r="F340" s="29" t="s">
        <v>411</v>
      </c>
      <c r="G340" s="27"/>
      <c r="H340" s="25">
        <f>H341</f>
        <v>26</v>
      </c>
      <c r="I340" s="25">
        <f>I341</f>
        <v>26</v>
      </c>
      <c r="J340" s="25">
        <f>J341</f>
        <v>26</v>
      </c>
    </row>
    <row r="341" spans="2:10" s="22" customFormat="1">
      <c r="B341" s="106" t="s">
        <v>403</v>
      </c>
      <c r="C341" s="27" t="s">
        <v>13</v>
      </c>
      <c r="D341" s="27" t="s">
        <v>399</v>
      </c>
      <c r="E341" s="27" t="s">
        <v>80</v>
      </c>
      <c r="F341" s="29" t="s">
        <v>412</v>
      </c>
      <c r="G341" s="27"/>
      <c r="H341" s="25">
        <f>H342+H343</f>
        <v>26</v>
      </c>
      <c r="I341" s="25">
        <f>I342+I343</f>
        <v>26</v>
      </c>
      <c r="J341" s="25">
        <f>J342+J343</f>
        <v>26</v>
      </c>
    </row>
    <row r="342" spans="2:10" s="22" customFormat="1" ht="25.5" hidden="1">
      <c r="B342" s="38" t="s">
        <v>39</v>
      </c>
      <c r="C342" s="27" t="s">
        <v>13</v>
      </c>
      <c r="D342" s="27" t="s">
        <v>399</v>
      </c>
      <c r="E342" s="27" t="s">
        <v>80</v>
      </c>
      <c r="F342" s="29" t="s">
        <v>412</v>
      </c>
      <c r="G342" s="27" t="s">
        <v>40</v>
      </c>
      <c r="H342" s="25">
        <v>0</v>
      </c>
      <c r="I342" s="25">
        <v>0</v>
      </c>
      <c r="J342" s="25">
        <v>0</v>
      </c>
    </row>
    <row r="343" spans="2:10" s="22" customFormat="1">
      <c r="B343" s="70" t="s">
        <v>127</v>
      </c>
      <c r="C343" s="27" t="s">
        <v>13</v>
      </c>
      <c r="D343" s="27" t="s">
        <v>399</v>
      </c>
      <c r="E343" s="27" t="s">
        <v>80</v>
      </c>
      <c r="F343" s="29" t="s">
        <v>412</v>
      </c>
      <c r="G343" s="27" t="s">
        <v>128</v>
      </c>
      <c r="H343" s="25">
        <v>26</v>
      </c>
      <c r="I343" s="25">
        <v>26</v>
      </c>
      <c r="J343" s="25">
        <v>26</v>
      </c>
    </row>
    <row r="344" spans="2:10" s="22" customFormat="1" ht="25.5">
      <c r="B344" s="49" t="s">
        <v>413</v>
      </c>
      <c r="C344" s="27" t="s">
        <v>13</v>
      </c>
      <c r="D344" s="27" t="s">
        <v>399</v>
      </c>
      <c r="E344" s="27" t="s">
        <v>80</v>
      </c>
      <c r="F344" s="29" t="s">
        <v>414</v>
      </c>
      <c r="G344" s="27"/>
      <c r="H344" s="25">
        <f t="shared" ref="H344:J345" si="41">H345</f>
        <v>30</v>
      </c>
      <c r="I344" s="25">
        <f t="shared" si="41"/>
        <v>0</v>
      </c>
      <c r="J344" s="25">
        <f t="shared" si="41"/>
        <v>0</v>
      </c>
    </row>
    <row r="345" spans="2:10" s="22" customFormat="1">
      <c r="B345" s="106" t="s">
        <v>403</v>
      </c>
      <c r="C345" s="27" t="s">
        <v>13</v>
      </c>
      <c r="D345" s="27" t="s">
        <v>399</v>
      </c>
      <c r="E345" s="27" t="s">
        <v>80</v>
      </c>
      <c r="F345" s="29" t="s">
        <v>415</v>
      </c>
      <c r="G345" s="27"/>
      <c r="H345" s="25">
        <f t="shared" si="41"/>
        <v>30</v>
      </c>
      <c r="I345" s="25">
        <f t="shared" si="41"/>
        <v>0</v>
      </c>
      <c r="J345" s="25">
        <f t="shared" si="41"/>
        <v>0</v>
      </c>
    </row>
    <row r="346" spans="2:10" s="22" customFormat="1" ht="25.5">
      <c r="B346" s="38" t="s">
        <v>100</v>
      </c>
      <c r="C346" s="27" t="s">
        <v>13</v>
      </c>
      <c r="D346" s="27" t="s">
        <v>399</v>
      </c>
      <c r="E346" s="27" t="s">
        <v>80</v>
      </c>
      <c r="F346" s="29" t="s">
        <v>415</v>
      </c>
      <c r="G346" s="27" t="s">
        <v>40</v>
      </c>
      <c r="H346" s="25">
        <v>30</v>
      </c>
      <c r="I346" s="25">
        <v>0</v>
      </c>
      <c r="J346" s="25">
        <v>0</v>
      </c>
    </row>
    <row r="347" spans="2:10" s="72" customFormat="1">
      <c r="B347" s="109" t="s">
        <v>416</v>
      </c>
      <c r="C347" s="20" t="s">
        <v>13</v>
      </c>
      <c r="D347" s="20" t="s">
        <v>417</v>
      </c>
      <c r="E347" s="20"/>
      <c r="F347" s="88"/>
      <c r="G347" s="20"/>
      <c r="H347" s="21">
        <f>H361+H354+H348</f>
        <v>5764.8</v>
      </c>
      <c r="I347" s="21">
        <f>I361+I354+I348</f>
        <v>6585.2000000000007</v>
      </c>
      <c r="J347" s="21">
        <f>J361+J354+J348</f>
        <v>6307.6</v>
      </c>
    </row>
    <row r="348" spans="2:10" s="72" customFormat="1" hidden="1">
      <c r="B348" s="109" t="s">
        <v>418</v>
      </c>
      <c r="C348" s="20" t="s">
        <v>13</v>
      </c>
      <c r="D348" s="20" t="s">
        <v>417</v>
      </c>
      <c r="E348" s="20" t="s">
        <v>17</v>
      </c>
      <c r="F348" s="88"/>
      <c r="G348" s="20"/>
      <c r="H348" s="21">
        <f>H349</f>
        <v>0</v>
      </c>
      <c r="I348" s="21">
        <f>I349</f>
        <v>0</v>
      </c>
      <c r="J348" s="21">
        <f>J349</f>
        <v>0</v>
      </c>
    </row>
    <row r="349" spans="2:10" s="72" customFormat="1" ht="25.5" hidden="1">
      <c r="B349" s="110" t="s">
        <v>419</v>
      </c>
      <c r="C349" s="27" t="s">
        <v>13</v>
      </c>
      <c r="D349" s="27" t="s">
        <v>417</v>
      </c>
      <c r="E349" s="27" t="s">
        <v>17</v>
      </c>
      <c r="F349" s="29" t="s">
        <v>420</v>
      </c>
      <c r="G349" s="20"/>
      <c r="H349" s="21">
        <f t="shared" ref="H349:J352" si="42">H350</f>
        <v>0</v>
      </c>
      <c r="I349" s="21">
        <f t="shared" si="42"/>
        <v>0</v>
      </c>
      <c r="J349" s="21">
        <f t="shared" si="42"/>
        <v>0</v>
      </c>
    </row>
    <row r="350" spans="2:10" s="72" customFormat="1" ht="25.5" hidden="1">
      <c r="B350" s="110" t="s">
        <v>421</v>
      </c>
      <c r="C350" s="27" t="s">
        <v>13</v>
      </c>
      <c r="D350" s="27" t="s">
        <v>417</v>
      </c>
      <c r="E350" s="27" t="s">
        <v>17</v>
      </c>
      <c r="F350" s="29" t="s">
        <v>422</v>
      </c>
      <c r="G350" s="27"/>
      <c r="H350" s="25">
        <f t="shared" si="42"/>
        <v>0</v>
      </c>
      <c r="I350" s="25">
        <f t="shared" si="42"/>
        <v>0</v>
      </c>
      <c r="J350" s="25">
        <f t="shared" si="42"/>
        <v>0</v>
      </c>
    </row>
    <row r="351" spans="2:10" s="72" customFormat="1" ht="25.5" hidden="1">
      <c r="B351" s="110" t="s">
        <v>423</v>
      </c>
      <c r="C351" s="27" t="s">
        <v>13</v>
      </c>
      <c r="D351" s="27" t="s">
        <v>417</v>
      </c>
      <c r="E351" s="27" t="s">
        <v>17</v>
      </c>
      <c r="F351" s="29" t="s">
        <v>424</v>
      </c>
      <c r="G351" s="27"/>
      <c r="H351" s="25">
        <f t="shared" si="42"/>
        <v>0</v>
      </c>
      <c r="I351" s="25">
        <f t="shared" si="42"/>
        <v>0</v>
      </c>
      <c r="J351" s="25">
        <f t="shared" si="42"/>
        <v>0</v>
      </c>
    </row>
    <row r="352" spans="2:10" s="72" customFormat="1" ht="38.25" hidden="1">
      <c r="B352" s="110" t="s">
        <v>425</v>
      </c>
      <c r="C352" s="27" t="s">
        <v>13</v>
      </c>
      <c r="D352" s="27" t="s">
        <v>417</v>
      </c>
      <c r="E352" s="27" t="s">
        <v>17</v>
      </c>
      <c r="F352" s="29" t="s">
        <v>426</v>
      </c>
      <c r="G352" s="27"/>
      <c r="H352" s="25">
        <f t="shared" si="42"/>
        <v>0</v>
      </c>
      <c r="I352" s="25">
        <f t="shared" si="42"/>
        <v>0</v>
      </c>
      <c r="J352" s="25">
        <f t="shared" si="42"/>
        <v>0</v>
      </c>
    </row>
    <row r="353" spans="2:12" s="72" customFormat="1" ht="13.5" hidden="1" customHeight="1">
      <c r="B353" s="70" t="s">
        <v>332</v>
      </c>
      <c r="C353" s="27" t="s">
        <v>13</v>
      </c>
      <c r="D353" s="27" t="s">
        <v>417</v>
      </c>
      <c r="E353" s="27" t="s">
        <v>17</v>
      </c>
      <c r="F353" s="29" t="s">
        <v>426</v>
      </c>
      <c r="G353" s="27" t="s">
        <v>316</v>
      </c>
      <c r="H353" s="25"/>
      <c r="I353" s="25"/>
      <c r="J353" s="25"/>
      <c r="L353" s="60"/>
    </row>
    <row r="354" spans="2:12" s="72" customFormat="1">
      <c r="B354" s="19" t="s">
        <v>427</v>
      </c>
      <c r="C354" s="20" t="s">
        <v>13</v>
      </c>
      <c r="D354" s="20" t="s">
        <v>417</v>
      </c>
      <c r="E354" s="20" t="s">
        <v>193</v>
      </c>
      <c r="F354" s="29"/>
      <c r="G354" s="20"/>
      <c r="H354" s="21">
        <f t="shared" ref="H354:J355" si="43">H355</f>
        <v>5487.2</v>
      </c>
      <c r="I354" s="21">
        <f t="shared" si="43"/>
        <v>6037.6</v>
      </c>
      <c r="J354" s="21">
        <f t="shared" si="43"/>
        <v>6037.6</v>
      </c>
    </row>
    <row r="355" spans="2:12" s="72" customFormat="1" ht="24.75" customHeight="1">
      <c r="B355" s="70" t="s">
        <v>166</v>
      </c>
      <c r="C355" s="27" t="s">
        <v>13</v>
      </c>
      <c r="D355" s="27" t="s">
        <v>417</v>
      </c>
      <c r="E355" s="27" t="s">
        <v>193</v>
      </c>
      <c r="F355" s="29" t="s">
        <v>167</v>
      </c>
      <c r="G355" s="27"/>
      <c r="H355" s="25">
        <f t="shared" si="43"/>
        <v>5487.2</v>
      </c>
      <c r="I355" s="25">
        <f t="shared" si="43"/>
        <v>6037.6</v>
      </c>
      <c r="J355" s="25">
        <f t="shared" si="43"/>
        <v>6037.6</v>
      </c>
    </row>
    <row r="356" spans="2:12" s="72" customFormat="1" ht="27" customHeight="1">
      <c r="B356" s="38" t="s">
        <v>428</v>
      </c>
      <c r="C356" s="27" t="s">
        <v>13</v>
      </c>
      <c r="D356" s="27" t="s">
        <v>417</v>
      </c>
      <c r="E356" s="27" t="s">
        <v>193</v>
      </c>
      <c r="F356" s="29" t="s">
        <v>429</v>
      </c>
      <c r="G356" s="27"/>
      <c r="H356" s="25">
        <f>H357+H359</f>
        <v>5487.2</v>
      </c>
      <c r="I356" s="25">
        <f>I357+I359</f>
        <v>6037.6</v>
      </c>
      <c r="J356" s="25">
        <f>J357+J359</f>
        <v>6037.6</v>
      </c>
    </row>
    <row r="357" spans="2:12" s="72" customFormat="1" ht="18.75" customHeight="1">
      <c r="B357" s="38" t="s">
        <v>430</v>
      </c>
      <c r="C357" s="27" t="s">
        <v>13</v>
      </c>
      <c r="D357" s="27" t="s">
        <v>417</v>
      </c>
      <c r="E357" s="27" t="s">
        <v>193</v>
      </c>
      <c r="F357" s="29" t="s">
        <v>431</v>
      </c>
      <c r="G357" s="27"/>
      <c r="H357" s="25">
        <f>H358</f>
        <v>3120.6</v>
      </c>
      <c r="I357" s="25">
        <f>I358</f>
        <v>3667.3</v>
      </c>
      <c r="J357" s="25">
        <f>J358</f>
        <v>3667.3</v>
      </c>
    </row>
    <row r="358" spans="2:12" s="72" customFormat="1" ht="16.5" customHeight="1">
      <c r="B358" s="70" t="s">
        <v>127</v>
      </c>
      <c r="C358" s="27" t="s">
        <v>13</v>
      </c>
      <c r="D358" s="27" t="s">
        <v>417</v>
      </c>
      <c r="E358" s="27" t="s">
        <v>193</v>
      </c>
      <c r="F358" s="29" t="s">
        <v>431</v>
      </c>
      <c r="G358" s="27" t="s">
        <v>128</v>
      </c>
      <c r="H358" s="25">
        <f>5687.2-200-2366.6</f>
        <v>3120.6</v>
      </c>
      <c r="I358" s="25">
        <f>6037.6-2370.3</f>
        <v>3667.3</v>
      </c>
      <c r="J358" s="25">
        <f>6037.6-2370.3</f>
        <v>3667.3</v>
      </c>
      <c r="K358"/>
    </row>
    <row r="359" spans="2:12" s="72" customFormat="1" ht="25.5" customHeight="1">
      <c r="B359" s="70" t="s">
        <v>45</v>
      </c>
      <c r="C359" s="27" t="s">
        <v>13</v>
      </c>
      <c r="D359" s="27" t="s">
        <v>417</v>
      </c>
      <c r="E359" s="27" t="s">
        <v>193</v>
      </c>
      <c r="F359" s="29" t="s">
        <v>432</v>
      </c>
      <c r="G359" s="27"/>
      <c r="H359" s="25">
        <f>H360</f>
        <v>2366.6</v>
      </c>
      <c r="I359" s="25">
        <f>I360</f>
        <v>2370.3000000000002</v>
      </c>
      <c r="J359" s="25">
        <f>J360</f>
        <v>2370.3000000000002</v>
      </c>
    </row>
    <row r="360" spans="2:12" s="72" customFormat="1" ht="16.5" customHeight="1">
      <c r="B360" s="70" t="s">
        <v>176</v>
      </c>
      <c r="C360" s="27" t="s">
        <v>13</v>
      </c>
      <c r="D360" s="27" t="s">
        <v>417</v>
      </c>
      <c r="E360" s="27" t="s">
        <v>193</v>
      </c>
      <c r="F360" s="29" t="s">
        <v>432</v>
      </c>
      <c r="G360" s="27" t="s">
        <v>128</v>
      </c>
      <c r="H360" s="25">
        <v>2366.6</v>
      </c>
      <c r="I360" s="25">
        <v>2370.3000000000002</v>
      </c>
      <c r="J360" s="25">
        <v>2370.3000000000002</v>
      </c>
    </row>
    <row r="361" spans="2:12" s="72" customFormat="1">
      <c r="B361" s="75" t="s">
        <v>433</v>
      </c>
      <c r="C361" s="20" t="s">
        <v>13</v>
      </c>
      <c r="D361" s="20" t="s">
        <v>417</v>
      </c>
      <c r="E361" s="20" t="s">
        <v>417</v>
      </c>
      <c r="F361" s="88"/>
      <c r="G361" s="20"/>
      <c r="H361" s="21">
        <f>H362</f>
        <v>277.60000000000002</v>
      </c>
      <c r="I361" s="21">
        <f>I362</f>
        <v>547.6</v>
      </c>
      <c r="J361" s="21">
        <f>J362</f>
        <v>270</v>
      </c>
    </row>
    <row r="362" spans="2:12" s="22" customFormat="1" ht="25.5">
      <c r="B362" s="70" t="s">
        <v>434</v>
      </c>
      <c r="C362" s="27" t="s">
        <v>13</v>
      </c>
      <c r="D362" s="27" t="s">
        <v>417</v>
      </c>
      <c r="E362" s="27" t="s">
        <v>417</v>
      </c>
      <c r="F362" s="29" t="s">
        <v>435</v>
      </c>
      <c r="G362" s="27"/>
      <c r="H362" s="25">
        <f>H363+H367</f>
        <v>277.60000000000002</v>
      </c>
      <c r="I362" s="25">
        <f>I363+I367</f>
        <v>547.6</v>
      </c>
      <c r="J362" s="25">
        <f>J363+J367</f>
        <v>270</v>
      </c>
    </row>
    <row r="363" spans="2:12" s="22" customFormat="1" ht="38.25">
      <c r="B363" s="38" t="s">
        <v>436</v>
      </c>
      <c r="C363" s="27" t="s">
        <v>13</v>
      </c>
      <c r="D363" s="27" t="s">
        <v>417</v>
      </c>
      <c r="E363" s="27" t="s">
        <v>417</v>
      </c>
      <c r="F363" s="29" t="s">
        <v>437</v>
      </c>
      <c r="G363" s="27"/>
      <c r="H363" s="25">
        <f>H364</f>
        <v>261.60000000000002</v>
      </c>
      <c r="I363" s="25">
        <f>I364</f>
        <v>531.6</v>
      </c>
      <c r="J363" s="25">
        <f>J364</f>
        <v>254</v>
      </c>
    </row>
    <row r="364" spans="2:12" s="22" customFormat="1">
      <c r="B364" s="77" t="s">
        <v>438</v>
      </c>
      <c r="C364" s="27" t="s">
        <v>13</v>
      </c>
      <c r="D364" s="27" t="s">
        <v>417</v>
      </c>
      <c r="E364" s="27" t="s">
        <v>417</v>
      </c>
      <c r="F364" s="29" t="s">
        <v>439</v>
      </c>
      <c r="G364" s="27"/>
      <c r="H364" s="25">
        <f>H366+H365</f>
        <v>261.60000000000002</v>
      </c>
      <c r="I364" s="25">
        <f>I366+I365</f>
        <v>531.6</v>
      </c>
      <c r="J364" s="25">
        <f>J366+J365</f>
        <v>254</v>
      </c>
    </row>
    <row r="365" spans="2:12" s="22" customFormat="1" ht="25.5">
      <c r="B365" s="38" t="s">
        <v>26</v>
      </c>
      <c r="C365" s="27" t="s">
        <v>13</v>
      </c>
      <c r="D365" s="27" t="s">
        <v>417</v>
      </c>
      <c r="E365" s="27" t="s">
        <v>417</v>
      </c>
      <c r="F365" s="29" t="s">
        <v>439</v>
      </c>
      <c r="G365" s="27" t="s">
        <v>27</v>
      </c>
      <c r="H365" s="25">
        <f>183-70</f>
        <v>113</v>
      </c>
      <c r="I365" s="25">
        <v>183</v>
      </c>
      <c r="J365" s="25">
        <v>84</v>
      </c>
      <c r="K365" s="60"/>
    </row>
    <row r="366" spans="2:12" s="22" customFormat="1" ht="25.5">
      <c r="B366" s="38" t="s">
        <v>39</v>
      </c>
      <c r="C366" s="27" t="s">
        <v>13</v>
      </c>
      <c r="D366" s="27" t="s">
        <v>417</v>
      </c>
      <c r="E366" s="27" t="s">
        <v>417</v>
      </c>
      <c r="F366" s="29" t="s">
        <v>439</v>
      </c>
      <c r="G366" s="27" t="s">
        <v>40</v>
      </c>
      <c r="H366" s="25">
        <f>348.6-200</f>
        <v>148.60000000000002</v>
      </c>
      <c r="I366" s="25">
        <v>348.6</v>
      </c>
      <c r="J366" s="25">
        <v>170</v>
      </c>
    </row>
    <row r="367" spans="2:12" s="22" customFormat="1" ht="36.75" customHeight="1">
      <c r="B367" s="38" t="s">
        <v>440</v>
      </c>
      <c r="C367" s="27" t="s">
        <v>13</v>
      </c>
      <c r="D367" s="27" t="s">
        <v>417</v>
      </c>
      <c r="E367" s="27" t="s">
        <v>417</v>
      </c>
      <c r="F367" s="29" t="s">
        <v>441</v>
      </c>
      <c r="G367" s="27"/>
      <c r="H367" s="25">
        <f t="shared" ref="H367:J368" si="44">H368</f>
        <v>16</v>
      </c>
      <c r="I367" s="25">
        <f t="shared" si="44"/>
        <v>16</v>
      </c>
      <c r="J367" s="25">
        <f t="shared" si="44"/>
        <v>16</v>
      </c>
    </row>
    <row r="368" spans="2:12" s="22" customFormat="1">
      <c r="B368" s="77" t="s">
        <v>438</v>
      </c>
      <c r="C368" s="27" t="s">
        <v>13</v>
      </c>
      <c r="D368" s="27" t="s">
        <v>417</v>
      </c>
      <c r="E368" s="27" t="s">
        <v>417</v>
      </c>
      <c r="F368" s="29" t="s">
        <v>442</v>
      </c>
      <c r="G368" s="27"/>
      <c r="H368" s="25">
        <f t="shared" si="44"/>
        <v>16</v>
      </c>
      <c r="I368" s="25">
        <f t="shared" si="44"/>
        <v>16</v>
      </c>
      <c r="J368" s="25">
        <f t="shared" si="44"/>
        <v>16</v>
      </c>
    </row>
    <row r="369" spans="2:11" s="22" customFormat="1" ht="25.5">
      <c r="B369" s="38" t="s">
        <v>39</v>
      </c>
      <c r="C369" s="27" t="s">
        <v>13</v>
      </c>
      <c r="D369" s="27" t="s">
        <v>417</v>
      </c>
      <c r="E369" s="27" t="s">
        <v>417</v>
      </c>
      <c r="F369" s="29" t="s">
        <v>442</v>
      </c>
      <c r="G369" s="27" t="s">
        <v>40</v>
      </c>
      <c r="H369" s="25">
        <v>16</v>
      </c>
      <c r="I369" s="25">
        <v>16</v>
      </c>
      <c r="J369" s="25">
        <v>16</v>
      </c>
    </row>
    <row r="370" spans="2:11" s="72" customFormat="1">
      <c r="B370" s="109" t="s">
        <v>443</v>
      </c>
      <c r="C370" s="20" t="s">
        <v>13</v>
      </c>
      <c r="D370" s="20" t="s">
        <v>255</v>
      </c>
      <c r="E370" s="20"/>
      <c r="F370" s="88"/>
      <c r="G370" s="20"/>
      <c r="H370" s="21">
        <f>H371+H420</f>
        <v>209295.9</v>
      </c>
      <c r="I370" s="21">
        <f>I371+I420</f>
        <v>66698.3</v>
      </c>
      <c r="J370" s="21">
        <f>J371+J420</f>
        <v>69106.7</v>
      </c>
    </row>
    <row r="371" spans="2:11" s="72" customFormat="1">
      <c r="B371" s="109" t="s">
        <v>444</v>
      </c>
      <c r="C371" s="27" t="s">
        <v>13</v>
      </c>
      <c r="D371" s="20" t="s">
        <v>255</v>
      </c>
      <c r="E371" s="20" t="s">
        <v>15</v>
      </c>
      <c r="F371" s="88"/>
      <c r="G371" s="20"/>
      <c r="H371" s="21">
        <f>H372</f>
        <v>67394.899999999994</v>
      </c>
      <c r="I371" s="21">
        <f>I372</f>
        <v>66698.3</v>
      </c>
      <c r="J371" s="21">
        <f>J372</f>
        <v>69106.7</v>
      </c>
    </row>
    <row r="372" spans="2:11" s="22" customFormat="1" ht="25.5">
      <c r="B372" s="70" t="s">
        <v>166</v>
      </c>
      <c r="C372" s="27" t="s">
        <v>13</v>
      </c>
      <c r="D372" s="27" t="s">
        <v>255</v>
      </c>
      <c r="E372" s="27" t="s">
        <v>15</v>
      </c>
      <c r="F372" s="29" t="s">
        <v>167</v>
      </c>
      <c r="G372" s="27"/>
      <c r="H372" s="25">
        <f>H373+H381+H391+H402+H414</f>
        <v>67394.899999999994</v>
      </c>
      <c r="I372" s="25">
        <f>I373+I381+I391+I402+I414</f>
        <v>66698.3</v>
      </c>
      <c r="J372" s="25">
        <f>J373+J381+J391+J402+J414</f>
        <v>69106.7</v>
      </c>
    </row>
    <row r="373" spans="2:11" s="22" customFormat="1" ht="25.5">
      <c r="B373" s="70" t="s">
        <v>445</v>
      </c>
      <c r="C373" s="27" t="s">
        <v>13</v>
      </c>
      <c r="D373" s="27" t="s">
        <v>255</v>
      </c>
      <c r="E373" s="27" t="s">
        <v>15</v>
      </c>
      <c r="F373" s="29" t="s">
        <v>446</v>
      </c>
      <c r="G373" s="27"/>
      <c r="H373" s="25">
        <f>H374+H376+H378</f>
        <v>5143.8</v>
      </c>
      <c r="I373" s="25">
        <f>I374+I376+I378</f>
        <v>5206.7</v>
      </c>
      <c r="J373" s="25">
        <f>J374+J376+J378</f>
        <v>5554</v>
      </c>
    </row>
    <row r="374" spans="2:11" s="22" customFormat="1">
      <c r="B374" s="70" t="s">
        <v>174</v>
      </c>
      <c r="C374" s="27" t="s">
        <v>13</v>
      </c>
      <c r="D374" s="27" t="s">
        <v>255</v>
      </c>
      <c r="E374" s="27" t="s">
        <v>15</v>
      </c>
      <c r="F374" s="29" t="s">
        <v>447</v>
      </c>
      <c r="G374" s="27"/>
      <c r="H374" s="25">
        <f>H375</f>
        <v>5143.8</v>
      </c>
      <c r="I374" s="25">
        <f>I375</f>
        <v>5206.7</v>
      </c>
      <c r="J374" s="25">
        <f>J375</f>
        <v>5554</v>
      </c>
    </row>
    <row r="375" spans="2:11" s="22" customFormat="1">
      <c r="B375" s="70" t="s">
        <v>176</v>
      </c>
      <c r="C375" s="27" t="s">
        <v>13</v>
      </c>
      <c r="D375" s="27" t="s">
        <v>255</v>
      </c>
      <c r="E375" s="27" t="s">
        <v>15</v>
      </c>
      <c r="F375" s="29" t="s">
        <v>447</v>
      </c>
      <c r="G375" s="27" t="s">
        <v>128</v>
      </c>
      <c r="H375" s="25">
        <f>4993.8-350+500</f>
        <v>5143.8</v>
      </c>
      <c r="I375" s="25">
        <v>5206.7</v>
      </c>
      <c r="J375" s="25">
        <v>5554</v>
      </c>
      <c r="K375"/>
    </row>
    <row r="376" spans="2:11" s="22" customFormat="1" ht="28.5" hidden="1" customHeight="1">
      <c r="B376" s="70" t="s">
        <v>45</v>
      </c>
      <c r="C376" s="27" t="s">
        <v>13</v>
      </c>
      <c r="D376" s="27" t="s">
        <v>255</v>
      </c>
      <c r="E376" s="27" t="s">
        <v>15</v>
      </c>
      <c r="F376" s="29" t="s">
        <v>448</v>
      </c>
      <c r="G376" s="27"/>
      <c r="H376" s="25">
        <f>H377</f>
        <v>0</v>
      </c>
      <c r="I376" s="25">
        <f>I377</f>
        <v>0</v>
      </c>
      <c r="J376" s="25">
        <f>J377</f>
        <v>0</v>
      </c>
    </row>
    <row r="377" spans="2:11" s="22" customFormat="1" hidden="1">
      <c r="B377" s="70" t="s">
        <v>176</v>
      </c>
      <c r="C377" s="27" t="s">
        <v>13</v>
      </c>
      <c r="D377" s="27" t="s">
        <v>255</v>
      </c>
      <c r="E377" s="27" t="s">
        <v>15</v>
      </c>
      <c r="F377" s="29" t="s">
        <v>448</v>
      </c>
      <c r="G377" s="27" t="s">
        <v>128</v>
      </c>
      <c r="H377" s="25"/>
      <c r="I377" s="25"/>
      <c r="J377" s="25"/>
    </row>
    <row r="378" spans="2:11" s="22" customFormat="1" ht="25.5" hidden="1">
      <c r="B378" s="111" t="s">
        <v>449</v>
      </c>
      <c r="C378" s="27" t="s">
        <v>13</v>
      </c>
      <c r="D378" s="27" t="s">
        <v>255</v>
      </c>
      <c r="E378" s="27" t="s">
        <v>15</v>
      </c>
      <c r="F378" s="29" t="s">
        <v>450</v>
      </c>
      <c r="G378" s="27"/>
      <c r="H378" s="25">
        <f t="shared" ref="H378:J379" si="45">H379</f>
        <v>0</v>
      </c>
      <c r="I378" s="25">
        <f t="shared" si="45"/>
        <v>0</v>
      </c>
      <c r="J378" s="25">
        <f t="shared" si="45"/>
        <v>0</v>
      </c>
    </row>
    <row r="379" spans="2:11" s="22" customFormat="1" ht="38.25" hidden="1">
      <c r="B379" s="111" t="s">
        <v>451</v>
      </c>
      <c r="C379" s="27" t="s">
        <v>13</v>
      </c>
      <c r="D379" s="27" t="s">
        <v>255</v>
      </c>
      <c r="E379" s="27" t="s">
        <v>15</v>
      </c>
      <c r="F379" s="29" t="s">
        <v>452</v>
      </c>
      <c r="G379" s="27"/>
      <c r="H379" s="25">
        <f t="shared" si="45"/>
        <v>0</v>
      </c>
      <c r="I379" s="25">
        <f t="shared" si="45"/>
        <v>0</v>
      </c>
      <c r="J379" s="25">
        <f t="shared" si="45"/>
        <v>0</v>
      </c>
    </row>
    <row r="380" spans="2:11" s="22" customFormat="1" hidden="1">
      <c r="B380" s="70" t="s">
        <v>176</v>
      </c>
      <c r="C380" s="27" t="s">
        <v>13</v>
      </c>
      <c r="D380" s="27" t="s">
        <v>255</v>
      </c>
      <c r="E380" s="27" t="s">
        <v>15</v>
      </c>
      <c r="F380" s="29" t="s">
        <v>452</v>
      </c>
      <c r="G380" s="27" t="s">
        <v>128</v>
      </c>
      <c r="H380" s="25"/>
      <c r="I380" s="25"/>
      <c r="J380" s="25"/>
    </row>
    <row r="381" spans="2:11" s="22" customFormat="1" ht="39" customHeight="1">
      <c r="B381" s="71" t="s">
        <v>453</v>
      </c>
      <c r="C381" s="27" t="s">
        <v>13</v>
      </c>
      <c r="D381" s="27" t="s">
        <v>255</v>
      </c>
      <c r="E381" s="27" t="s">
        <v>15</v>
      </c>
      <c r="F381" s="29" t="s">
        <v>454</v>
      </c>
      <c r="G381" s="27"/>
      <c r="H381" s="25">
        <f>H382+H384+H388+H386</f>
        <v>15475.199999999999</v>
      </c>
      <c r="I381" s="25">
        <f>I382+I384+I388+I386</f>
        <v>16391.2</v>
      </c>
      <c r="J381" s="25">
        <f>J382+J384+J388+J386</f>
        <v>17355.599999999999</v>
      </c>
    </row>
    <row r="382" spans="2:11" s="22" customFormat="1">
      <c r="B382" s="70" t="s">
        <v>174</v>
      </c>
      <c r="C382" s="27" t="s">
        <v>13</v>
      </c>
      <c r="D382" s="27" t="s">
        <v>255</v>
      </c>
      <c r="E382" s="27" t="s">
        <v>15</v>
      </c>
      <c r="F382" s="29" t="s">
        <v>455</v>
      </c>
      <c r="G382" s="27"/>
      <c r="H382" s="25">
        <f>H383</f>
        <v>8792.9</v>
      </c>
      <c r="I382" s="25">
        <f>I383</f>
        <v>11410.800000000001</v>
      </c>
      <c r="J382" s="25">
        <f>J383</f>
        <v>13380.999999999998</v>
      </c>
    </row>
    <row r="383" spans="2:11" s="22" customFormat="1">
      <c r="B383" s="70" t="s">
        <v>176</v>
      </c>
      <c r="C383" s="27" t="s">
        <v>13</v>
      </c>
      <c r="D383" s="27" t="s">
        <v>255</v>
      </c>
      <c r="E383" s="27" t="s">
        <v>15</v>
      </c>
      <c r="F383" s="29" t="s">
        <v>455</v>
      </c>
      <c r="G383" s="27" t="s">
        <v>128</v>
      </c>
      <c r="H383" s="25">
        <f>5404.3+10005.5+2.5-6003.9-615.5</f>
        <v>8792.9</v>
      </c>
      <c r="I383" s="25">
        <f>5746.2+10645-4980.4</f>
        <v>11410.800000000001</v>
      </c>
      <c r="J383" s="25">
        <f>6082.2+11273.4-3974.6</f>
        <v>13380.999999999998</v>
      </c>
      <c r="K383"/>
    </row>
    <row r="384" spans="2:11" s="22" customFormat="1" ht="24.75" customHeight="1">
      <c r="B384" s="70" t="s">
        <v>45</v>
      </c>
      <c r="C384" s="27" t="s">
        <v>13</v>
      </c>
      <c r="D384" s="27" t="s">
        <v>255</v>
      </c>
      <c r="E384" s="27" t="s">
        <v>15</v>
      </c>
      <c r="F384" s="29" t="s">
        <v>456</v>
      </c>
      <c r="G384" s="27"/>
      <c r="H384" s="25">
        <f>H385</f>
        <v>6003.9</v>
      </c>
      <c r="I384" s="25">
        <f>I385</f>
        <v>4980.3999999999996</v>
      </c>
      <c r="J384" s="25">
        <f>J385</f>
        <v>3974.6</v>
      </c>
    </row>
    <row r="385" spans="2:11" s="22" customFormat="1">
      <c r="B385" s="70" t="s">
        <v>176</v>
      </c>
      <c r="C385" s="27" t="s">
        <v>13</v>
      </c>
      <c r="D385" s="27" t="s">
        <v>255</v>
      </c>
      <c r="E385" s="27" t="s">
        <v>15</v>
      </c>
      <c r="F385" s="29" t="s">
        <v>456</v>
      </c>
      <c r="G385" s="27" t="s">
        <v>128</v>
      </c>
      <c r="H385" s="25">
        <v>6003.9</v>
      </c>
      <c r="I385" s="25">
        <v>4980.3999999999996</v>
      </c>
      <c r="J385" s="25">
        <v>3974.6</v>
      </c>
    </row>
    <row r="386" spans="2:11" s="22" customFormat="1" ht="25.5">
      <c r="B386" s="70" t="s">
        <v>457</v>
      </c>
      <c r="C386" s="27" t="s">
        <v>13</v>
      </c>
      <c r="D386" s="27" t="s">
        <v>255</v>
      </c>
      <c r="E386" s="27" t="s">
        <v>15</v>
      </c>
      <c r="F386" s="29" t="s">
        <v>458</v>
      </c>
      <c r="G386" s="27"/>
      <c r="H386" s="25">
        <f>H387</f>
        <v>678.4</v>
      </c>
      <c r="I386" s="25">
        <f>I387</f>
        <v>0</v>
      </c>
      <c r="J386" s="25">
        <f>J387</f>
        <v>0</v>
      </c>
      <c r="K386" s="60"/>
    </row>
    <row r="387" spans="2:11" s="22" customFormat="1">
      <c r="B387" s="70" t="s">
        <v>176</v>
      </c>
      <c r="C387" s="27" t="s">
        <v>13</v>
      </c>
      <c r="D387" s="27" t="s">
        <v>255</v>
      </c>
      <c r="E387" s="27" t="s">
        <v>15</v>
      </c>
      <c r="F387" s="29" t="s">
        <v>458</v>
      </c>
      <c r="G387" s="27" t="s">
        <v>128</v>
      </c>
      <c r="H387" s="25">
        <f>658+20.4</f>
        <v>678.4</v>
      </c>
      <c r="I387" s="25">
        <v>0</v>
      </c>
      <c r="J387" s="25">
        <v>0</v>
      </c>
    </row>
    <row r="388" spans="2:11" s="22" customFormat="1" ht="25.5" hidden="1">
      <c r="B388" s="111" t="s">
        <v>449</v>
      </c>
      <c r="C388" s="27" t="s">
        <v>13</v>
      </c>
      <c r="D388" s="27" t="s">
        <v>255</v>
      </c>
      <c r="E388" s="27" t="s">
        <v>15</v>
      </c>
      <c r="F388" s="29" t="s">
        <v>459</v>
      </c>
      <c r="G388" s="27"/>
      <c r="H388" s="25">
        <f t="shared" ref="H388:J389" si="46">H389</f>
        <v>0</v>
      </c>
      <c r="I388" s="25">
        <f t="shared" si="46"/>
        <v>0</v>
      </c>
      <c r="J388" s="25">
        <f t="shared" si="46"/>
        <v>0</v>
      </c>
    </row>
    <row r="389" spans="2:11" s="22" customFormat="1" ht="38.25" hidden="1">
      <c r="B389" s="111" t="s">
        <v>451</v>
      </c>
      <c r="C389" s="27" t="s">
        <v>13</v>
      </c>
      <c r="D389" s="27" t="s">
        <v>255</v>
      </c>
      <c r="E389" s="27" t="s">
        <v>15</v>
      </c>
      <c r="F389" s="29" t="s">
        <v>460</v>
      </c>
      <c r="G389" s="27"/>
      <c r="H389" s="25">
        <f t="shared" si="46"/>
        <v>0</v>
      </c>
      <c r="I389" s="25">
        <f t="shared" si="46"/>
        <v>0</v>
      </c>
      <c r="J389" s="25">
        <f t="shared" si="46"/>
        <v>0</v>
      </c>
    </row>
    <row r="390" spans="2:11" s="22" customFormat="1" hidden="1">
      <c r="B390" s="70" t="s">
        <v>176</v>
      </c>
      <c r="C390" s="27" t="s">
        <v>13</v>
      </c>
      <c r="D390" s="27" t="s">
        <v>255</v>
      </c>
      <c r="E390" s="27" t="s">
        <v>15</v>
      </c>
      <c r="F390" s="29" t="s">
        <v>460</v>
      </c>
      <c r="G390" s="27" t="s">
        <v>128</v>
      </c>
      <c r="H390" s="25"/>
      <c r="I390" s="25"/>
      <c r="J390" s="25"/>
    </row>
    <row r="391" spans="2:11" s="22" customFormat="1">
      <c r="B391" s="77" t="s">
        <v>461</v>
      </c>
      <c r="C391" s="27" t="s">
        <v>13</v>
      </c>
      <c r="D391" s="27" t="s">
        <v>255</v>
      </c>
      <c r="E391" s="27" t="s">
        <v>15</v>
      </c>
      <c r="F391" s="29" t="s">
        <v>462</v>
      </c>
      <c r="G391" s="27"/>
      <c r="H391" s="25">
        <f>H392+H400+H398+H396</f>
        <v>19779.5</v>
      </c>
      <c r="I391" s="25">
        <f>I392+I400+I398+I396</f>
        <v>19832.800000000003</v>
      </c>
      <c r="J391" s="25">
        <f>J392+J400+J398+J396</f>
        <v>20929.5</v>
      </c>
    </row>
    <row r="392" spans="2:11" s="22" customFormat="1">
      <c r="B392" s="70" t="s">
        <v>174</v>
      </c>
      <c r="C392" s="27" t="s">
        <v>13</v>
      </c>
      <c r="D392" s="27" t="s">
        <v>255</v>
      </c>
      <c r="E392" s="27" t="s">
        <v>15</v>
      </c>
      <c r="F392" s="29" t="s">
        <v>463</v>
      </c>
      <c r="G392" s="27"/>
      <c r="H392" s="25">
        <f>H393+H394+H395</f>
        <v>10444.299999999999</v>
      </c>
      <c r="I392" s="25">
        <f>I393+I394+I395</f>
        <v>9202.2000000000007</v>
      </c>
      <c r="J392" s="25">
        <f>J393+J394+J395</f>
        <v>7301.5999999999985</v>
      </c>
    </row>
    <row r="393" spans="2:11" s="22" customFormat="1">
      <c r="B393" s="38" t="s">
        <v>158</v>
      </c>
      <c r="C393" s="27" t="s">
        <v>13</v>
      </c>
      <c r="D393" s="27" t="s">
        <v>255</v>
      </c>
      <c r="E393" s="27" t="s">
        <v>15</v>
      </c>
      <c r="F393" s="29" t="s">
        <v>463</v>
      </c>
      <c r="G393" s="27" t="s">
        <v>159</v>
      </c>
      <c r="H393" s="25">
        <f>15500.4+20-7542.5-521</f>
        <v>7456.9</v>
      </c>
      <c r="I393" s="25">
        <f>16616.4+20-10630.6</f>
        <v>6005.8000000000011</v>
      </c>
      <c r="J393" s="25">
        <f>17713.1+20-13627.9</f>
        <v>4105.1999999999989</v>
      </c>
      <c r="K393" s="60"/>
    </row>
    <row r="394" spans="2:11" s="22" customFormat="1" ht="25.5">
      <c r="B394" s="38" t="s">
        <v>39</v>
      </c>
      <c r="C394" s="27" t="s">
        <v>13</v>
      </c>
      <c r="D394" s="27" t="s">
        <v>255</v>
      </c>
      <c r="E394" s="27" t="s">
        <v>15</v>
      </c>
      <c r="F394" s="29" t="s">
        <v>463</v>
      </c>
      <c r="G394" s="27" t="s">
        <v>40</v>
      </c>
      <c r="H394" s="25">
        <f>3196.4-209</f>
        <v>2987.4</v>
      </c>
      <c r="I394" s="25">
        <v>3196.4</v>
      </c>
      <c r="J394" s="25">
        <v>3196.4</v>
      </c>
      <c r="K394" s="60"/>
    </row>
    <row r="395" spans="2:11" s="22" customFormat="1">
      <c r="B395" s="38" t="s">
        <v>43</v>
      </c>
      <c r="C395" s="27" t="s">
        <v>13</v>
      </c>
      <c r="D395" s="27" t="s">
        <v>255</v>
      </c>
      <c r="E395" s="27" t="s">
        <v>15</v>
      </c>
      <c r="F395" s="29" t="s">
        <v>463</v>
      </c>
      <c r="G395" s="27" t="s">
        <v>44</v>
      </c>
      <c r="H395" s="25"/>
      <c r="I395" s="25"/>
      <c r="J395" s="25"/>
    </row>
    <row r="396" spans="2:11" s="22" customFormat="1" ht="25.5">
      <c r="B396" s="70" t="s">
        <v>45</v>
      </c>
      <c r="C396" s="27" t="s">
        <v>13</v>
      </c>
      <c r="D396" s="27" t="s">
        <v>255</v>
      </c>
      <c r="E396" s="27" t="s">
        <v>15</v>
      </c>
      <c r="F396" s="29" t="s">
        <v>464</v>
      </c>
      <c r="G396" s="27"/>
      <c r="H396" s="25">
        <f>H397</f>
        <v>7542.5</v>
      </c>
      <c r="I396" s="25">
        <f>I397</f>
        <v>10630.6</v>
      </c>
      <c r="J396" s="25">
        <f>J397</f>
        <v>13627.9</v>
      </c>
    </row>
    <row r="397" spans="2:11" s="22" customFormat="1">
      <c r="B397" s="38" t="s">
        <v>158</v>
      </c>
      <c r="C397" s="27" t="s">
        <v>13</v>
      </c>
      <c r="D397" s="27" t="s">
        <v>255</v>
      </c>
      <c r="E397" s="27" t="s">
        <v>15</v>
      </c>
      <c r="F397" s="29" t="s">
        <v>464</v>
      </c>
      <c r="G397" s="27" t="s">
        <v>159</v>
      </c>
      <c r="H397" s="25">
        <v>7542.5</v>
      </c>
      <c r="I397" s="25">
        <f>10630.6</f>
        <v>10630.6</v>
      </c>
      <c r="J397" s="25">
        <f>13627.9</f>
        <v>13627.9</v>
      </c>
    </row>
    <row r="398" spans="2:11" s="22" customFormat="1" ht="38.25">
      <c r="B398" s="112" t="s">
        <v>465</v>
      </c>
      <c r="C398" s="27" t="s">
        <v>13</v>
      </c>
      <c r="D398" s="27" t="s">
        <v>255</v>
      </c>
      <c r="E398" s="27" t="s">
        <v>15</v>
      </c>
      <c r="F398" s="29" t="s">
        <v>466</v>
      </c>
      <c r="G398" s="27"/>
      <c r="H398" s="59">
        <f>H399</f>
        <v>1792.7</v>
      </c>
      <c r="I398" s="59">
        <f>I399</f>
        <v>0</v>
      </c>
      <c r="J398" s="59">
        <f>J399</f>
        <v>0</v>
      </c>
      <c r="K398" s="91"/>
    </row>
    <row r="399" spans="2:11" s="22" customFormat="1" ht="25.5">
      <c r="B399" s="38" t="s">
        <v>39</v>
      </c>
      <c r="C399" s="27" t="s">
        <v>13</v>
      </c>
      <c r="D399" s="27" t="s">
        <v>255</v>
      </c>
      <c r="E399" s="27" t="s">
        <v>15</v>
      </c>
      <c r="F399" s="29" t="s">
        <v>466</v>
      </c>
      <c r="G399" s="27" t="s">
        <v>40</v>
      </c>
      <c r="H399" s="25">
        <f>1372.5+42.4+340+37.8</f>
        <v>1792.7</v>
      </c>
      <c r="I399" s="59">
        <v>0</v>
      </c>
      <c r="J399" s="59">
        <v>0</v>
      </c>
      <c r="K399" s="84"/>
    </row>
    <row r="400" spans="2:11" s="22" customFormat="1" ht="24" hidden="1" customHeight="1">
      <c r="B400" s="113" t="s">
        <v>467</v>
      </c>
      <c r="C400" s="27" t="s">
        <v>13</v>
      </c>
      <c r="D400" s="27" t="s">
        <v>255</v>
      </c>
      <c r="E400" s="27" t="s">
        <v>15</v>
      </c>
      <c r="F400" s="29" t="s">
        <v>468</v>
      </c>
      <c r="G400" s="27"/>
      <c r="H400" s="25">
        <f>H401</f>
        <v>0</v>
      </c>
      <c r="I400" s="25">
        <f>I401</f>
        <v>0</v>
      </c>
      <c r="J400" s="25">
        <f>J401</f>
        <v>0</v>
      </c>
    </row>
    <row r="401" spans="2:11" s="22" customFormat="1" ht="25.5" hidden="1">
      <c r="B401" s="26" t="s">
        <v>39</v>
      </c>
      <c r="C401" s="27" t="s">
        <v>13</v>
      </c>
      <c r="D401" s="27" t="s">
        <v>255</v>
      </c>
      <c r="E401" s="27" t="s">
        <v>15</v>
      </c>
      <c r="F401" s="29" t="s">
        <v>468</v>
      </c>
      <c r="G401" s="27" t="s">
        <v>40</v>
      </c>
      <c r="H401" s="25"/>
      <c r="I401" s="25"/>
      <c r="J401" s="25"/>
    </row>
    <row r="402" spans="2:11" s="22" customFormat="1" ht="24.75" customHeight="1">
      <c r="B402" s="70" t="s">
        <v>168</v>
      </c>
      <c r="C402" s="27" t="s">
        <v>13</v>
      </c>
      <c r="D402" s="27" t="s">
        <v>255</v>
      </c>
      <c r="E402" s="27" t="s">
        <v>15</v>
      </c>
      <c r="F402" s="29" t="s">
        <v>169</v>
      </c>
      <c r="G402" s="27"/>
      <c r="H402" s="25">
        <f>H403+H406+H408+H410+H412</f>
        <v>26996.399999999998</v>
      </c>
      <c r="I402" s="25">
        <f>I403+I406+I408+I410+I412</f>
        <v>25267.599999999999</v>
      </c>
      <c r="J402" s="25">
        <f>J403+J406+J408+J410+J412</f>
        <v>25267.599999999999</v>
      </c>
    </row>
    <row r="403" spans="2:11" s="22" customFormat="1">
      <c r="B403" s="70" t="s">
        <v>170</v>
      </c>
      <c r="C403" s="27" t="s">
        <v>13</v>
      </c>
      <c r="D403" s="27" t="s">
        <v>255</v>
      </c>
      <c r="E403" s="27" t="s">
        <v>15</v>
      </c>
      <c r="F403" s="29" t="s">
        <v>171</v>
      </c>
      <c r="G403" s="27"/>
      <c r="H403" s="25">
        <f>H405+H404</f>
        <v>627</v>
      </c>
      <c r="I403" s="25">
        <f>I405+I404</f>
        <v>627</v>
      </c>
      <c r="J403" s="25">
        <f>J405+J404</f>
        <v>627</v>
      </c>
    </row>
    <row r="404" spans="2:11" s="22" customFormat="1" ht="27" customHeight="1">
      <c r="B404" s="38" t="s">
        <v>39</v>
      </c>
      <c r="C404" s="27" t="s">
        <v>13</v>
      </c>
      <c r="D404" s="27" t="s">
        <v>255</v>
      </c>
      <c r="E404" s="27" t="s">
        <v>15</v>
      </c>
      <c r="F404" s="29" t="s">
        <v>171</v>
      </c>
      <c r="G404" s="27" t="s">
        <v>40</v>
      </c>
      <c r="H404" s="25">
        <f>5+315</f>
        <v>320</v>
      </c>
      <c r="I404" s="25">
        <f>5+315</f>
        <v>320</v>
      </c>
      <c r="J404" s="25">
        <f>5+315</f>
        <v>320</v>
      </c>
    </row>
    <row r="405" spans="2:11" s="22" customFormat="1">
      <c r="B405" s="70" t="s">
        <v>176</v>
      </c>
      <c r="C405" s="27" t="s">
        <v>13</v>
      </c>
      <c r="D405" s="27" t="s">
        <v>255</v>
      </c>
      <c r="E405" s="27" t="s">
        <v>15</v>
      </c>
      <c r="F405" s="29" t="s">
        <v>171</v>
      </c>
      <c r="G405" s="27" t="s">
        <v>128</v>
      </c>
      <c r="H405" s="25">
        <v>307</v>
      </c>
      <c r="I405" s="25">
        <v>307</v>
      </c>
      <c r="J405" s="25">
        <v>307</v>
      </c>
    </row>
    <row r="406" spans="2:11" s="22" customFormat="1" ht="13.5" customHeight="1">
      <c r="B406" s="70" t="s">
        <v>174</v>
      </c>
      <c r="C406" s="27" t="s">
        <v>13</v>
      </c>
      <c r="D406" s="27" t="s">
        <v>255</v>
      </c>
      <c r="E406" s="27" t="s">
        <v>15</v>
      </c>
      <c r="F406" s="29" t="s">
        <v>469</v>
      </c>
      <c r="G406" s="27"/>
      <c r="H406" s="25">
        <f>H407</f>
        <v>9503.8999999999978</v>
      </c>
      <c r="I406" s="25">
        <f>I407</f>
        <v>9046.4999999999982</v>
      </c>
      <c r="J406" s="25">
        <f>J407</f>
        <v>8017.2999999999993</v>
      </c>
    </row>
    <row r="407" spans="2:11" s="22" customFormat="1" ht="13.5" customHeight="1">
      <c r="B407" s="70" t="s">
        <v>176</v>
      </c>
      <c r="C407" s="27" t="s">
        <v>13</v>
      </c>
      <c r="D407" s="27" t="s">
        <v>255</v>
      </c>
      <c r="E407" s="27" t="s">
        <v>15</v>
      </c>
      <c r="F407" s="29" t="s">
        <v>469</v>
      </c>
      <c r="G407" s="27" t="s">
        <v>128</v>
      </c>
      <c r="H407" s="25">
        <f>24640.6-14546.7+120+80+100-100-120-670</f>
        <v>9503.8999999999978</v>
      </c>
      <c r="I407" s="25">
        <f>24640.6-15594.1</f>
        <v>9046.4999999999982</v>
      </c>
      <c r="J407" s="25">
        <f>24640.6-16623.3</f>
        <v>8017.2999999999993</v>
      </c>
      <c r="K407"/>
    </row>
    <row r="408" spans="2:11" s="22" customFormat="1" ht="25.5" customHeight="1">
      <c r="B408" s="70" t="s">
        <v>45</v>
      </c>
      <c r="C408" s="27" t="s">
        <v>13</v>
      </c>
      <c r="D408" s="27" t="s">
        <v>255</v>
      </c>
      <c r="E408" s="27" t="s">
        <v>15</v>
      </c>
      <c r="F408" s="29" t="s">
        <v>470</v>
      </c>
      <c r="G408" s="27"/>
      <c r="H408" s="25">
        <f>H409</f>
        <v>14546.7</v>
      </c>
      <c r="I408" s="25">
        <f>I409</f>
        <v>15594.1</v>
      </c>
      <c r="J408" s="25">
        <f>J409</f>
        <v>16623.3</v>
      </c>
    </row>
    <row r="409" spans="2:11" s="22" customFormat="1" ht="13.5" customHeight="1">
      <c r="B409" s="70" t="s">
        <v>176</v>
      </c>
      <c r="C409" s="27" t="s">
        <v>13</v>
      </c>
      <c r="D409" s="27" t="s">
        <v>255</v>
      </c>
      <c r="E409" s="27" t="s">
        <v>15</v>
      </c>
      <c r="F409" s="29" t="s">
        <v>470</v>
      </c>
      <c r="G409" s="27" t="s">
        <v>128</v>
      </c>
      <c r="H409" s="114">
        <v>14546.7</v>
      </c>
      <c r="I409" s="114">
        <v>15594.1</v>
      </c>
      <c r="J409" s="114">
        <v>16623.3</v>
      </c>
    </row>
    <row r="410" spans="2:11" s="22" customFormat="1" ht="42.75" customHeight="1">
      <c r="B410" s="112" t="s">
        <v>465</v>
      </c>
      <c r="C410" s="27" t="s">
        <v>13</v>
      </c>
      <c r="D410" s="27" t="s">
        <v>255</v>
      </c>
      <c r="E410" s="27" t="s">
        <v>15</v>
      </c>
      <c r="F410" s="29" t="s">
        <v>471</v>
      </c>
      <c r="G410" s="27"/>
      <c r="H410" s="25">
        <f>H411</f>
        <v>2318.7999999999997</v>
      </c>
      <c r="I410" s="25">
        <f>I411</f>
        <v>0</v>
      </c>
      <c r="J410" s="25">
        <f>J411</f>
        <v>0</v>
      </c>
    </row>
    <row r="411" spans="2:11" s="22" customFormat="1" ht="13.5" customHeight="1">
      <c r="B411" s="70" t="s">
        <v>176</v>
      </c>
      <c r="C411" s="27" t="s">
        <v>13</v>
      </c>
      <c r="D411" s="27" t="s">
        <v>255</v>
      </c>
      <c r="E411" s="27" t="s">
        <v>15</v>
      </c>
      <c r="F411" s="29" t="s">
        <v>471</v>
      </c>
      <c r="G411" s="27" t="s">
        <v>128</v>
      </c>
      <c r="H411" s="25">
        <f>2249.2+69.6</f>
        <v>2318.7999999999997</v>
      </c>
      <c r="I411" s="25">
        <v>0</v>
      </c>
      <c r="J411" s="25">
        <v>0</v>
      </c>
    </row>
    <row r="412" spans="2:11" s="22" customFormat="1" ht="13.5" hidden="1" customHeight="1">
      <c r="B412" s="38" t="s">
        <v>381</v>
      </c>
      <c r="C412" s="27" t="s">
        <v>13</v>
      </c>
      <c r="D412" s="27" t="s">
        <v>255</v>
      </c>
      <c r="E412" s="27" t="s">
        <v>15</v>
      </c>
      <c r="F412" s="29" t="s">
        <v>472</v>
      </c>
      <c r="G412" s="27"/>
      <c r="H412" s="25">
        <f>H413</f>
        <v>0</v>
      </c>
      <c r="I412" s="25">
        <f>I413</f>
        <v>0</v>
      </c>
      <c r="J412" s="25">
        <f>J413</f>
        <v>0</v>
      </c>
    </row>
    <row r="413" spans="2:11" s="22" customFormat="1" ht="27" hidden="1" customHeight="1">
      <c r="B413" s="38" t="s">
        <v>39</v>
      </c>
      <c r="C413" s="27" t="s">
        <v>13</v>
      </c>
      <c r="D413" s="27" t="s">
        <v>255</v>
      </c>
      <c r="E413" s="27" t="s">
        <v>15</v>
      </c>
      <c r="F413" s="29" t="s">
        <v>472</v>
      </c>
      <c r="G413" s="27" t="s">
        <v>40</v>
      </c>
      <c r="H413" s="25"/>
      <c r="I413" s="25"/>
      <c r="J413" s="25"/>
    </row>
    <row r="414" spans="2:11" s="22" customFormat="1" ht="27" hidden="1" customHeight="1">
      <c r="B414" s="70" t="s">
        <v>473</v>
      </c>
      <c r="C414" s="27" t="s">
        <v>13</v>
      </c>
      <c r="D414" s="27" t="s">
        <v>255</v>
      </c>
      <c r="E414" s="27" t="s">
        <v>15</v>
      </c>
      <c r="F414" s="29" t="s">
        <v>474</v>
      </c>
      <c r="G414" s="27"/>
      <c r="H414" s="25">
        <f>H415+H417</f>
        <v>0</v>
      </c>
      <c r="I414" s="25">
        <f>I415+I417</f>
        <v>0</v>
      </c>
      <c r="J414" s="25">
        <f>J415+J417</f>
        <v>0</v>
      </c>
    </row>
    <row r="415" spans="2:11" s="22" customFormat="1" ht="57" hidden="1" customHeight="1">
      <c r="B415" s="70" t="s">
        <v>475</v>
      </c>
      <c r="C415" s="27" t="s">
        <v>13</v>
      </c>
      <c r="D415" s="27" t="s">
        <v>255</v>
      </c>
      <c r="E415" s="27" t="s">
        <v>15</v>
      </c>
      <c r="F415" s="29" t="s">
        <v>476</v>
      </c>
      <c r="G415" s="27"/>
      <c r="H415" s="25">
        <f>H416</f>
        <v>0</v>
      </c>
      <c r="I415" s="25">
        <f>I416</f>
        <v>0</v>
      </c>
      <c r="J415" s="25">
        <f>J416</f>
        <v>0</v>
      </c>
    </row>
    <row r="416" spans="2:11" s="22" customFormat="1" ht="13.5" hidden="1" customHeight="1">
      <c r="B416" s="70" t="s">
        <v>176</v>
      </c>
      <c r="C416" s="27" t="s">
        <v>13</v>
      </c>
      <c r="D416" s="27" t="s">
        <v>255</v>
      </c>
      <c r="E416" s="27" t="s">
        <v>15</v>
      </c>
      <c r="F416" s="29" t="s">
        <v>476</v>
      </c>
      <c r="G416" s="27" t="s">
        <v>128</v>
      </c>
      <c r="H416" s="25"/>
      <c r="I416" s="25"/>
      <c r="J416" s="25"/>
    </row>
    <row r="417" spans="2:13" s="22" customFormat="1" ht="13.5" hidden="1" customHeight="1">
      <c r="B417" s="70" t="s">
        <v>477</v>
      </c>
      <c r="C417" s="27" t="s">
        <v>13</v>
      </c>
      <c r="D417" s="27" t="s">
        <v>255</v>
      </c>
      <c r="E417" s="27" t="s">
        <v>15</v>
      </c>
      <c r="F417" s="29" t="s">
        <v>478</v>
      </c>
      <c r="G417" s="27"/>
      <c r="H417" s="25">
        <f t="shared" ref="H417:J418" si="47">H418</f>
        <v>0</v>
      </c>
      <c r="I417" s="25">
        <f t="shared" si="47"/>
        <v>0</v>
      </c>
      <c r="J417" s="25">
        <f t="shared" si="47"/>
        <v>0</v>
      </c>
      <c r="L417"/>
    </row>
    <row r="418" spans="2:13" s="22" customFormat="1" ht="16.5" hidden="1" customHeight="1">
      <c r="B418" s="70" t="s">
        <v>479</v>
      </c>
      <c r="C418" s="27" t="s">
        <v>13</v>
      </c>
      <c r="D418" s="27" t="s">
        <v>255</v>
      </c>
      <c r="E418" s="27" t="s">
        <v>15</v>
      </c>
      <c r="F418" s="29" t="s">
        <v>480</v>
      </c>
      <c r="G418" s="27"/>
      <c r="H418" s="25">
        <f t="shared" si="47"/>
        <v>0</v>
      </c>
      <c r="I418" s="25">
        <f t="shared" si="47"/>
        <v>0</v>
      </c>
      <c r="J418" s="25">
        <f t="shared" si="47"/>
        <v>0</v>
      </c>
    </row>
    <row r="419" spans="2:13" s="22" customFormat="1" ht="13.5" hidden="1" customHeight="1">
      <c r="B419" s="70" t="s">
        <v>176</v>
      </c>
      <c r="C419" s="27" t="s">
        <v>13</v>
      </c>
      <c r="D419" s="27" t="s">
        <v>255</v>
      </c>
      <c r="E419" s="27" t="s">
        <v>15</v>
      </c>
      <c r="F419" s="29" t="s">
        <v>480</v>
      </c>
      <c r="G419" s="27" t="s">
        <v>128</v>
      </c>
      <c r="H419" s="25"/>
      <c r="I419" s="25"/>
      <c r="J419" s="25"/>
      <c r="M419" s="115"/>
    </row>
    <row r="420" spans="2:13" s="22" customFormat="1">
      <c r="B420" s="19" t="s">
        <v>481</v>
      </c>
      <c r="C420" s="20" t="s">
        <v>13</v>
      </c>
      <c r="D420" s="20" t="s">
        <v>255</v>
      </c>
      <c r="E420" s="20" t="s">
        <v>30</v>
      </c>
      <c r="F420" s="20"/>
      <c r="G420" s="27"/>
      <c r="H420" s="25">
        <f t="shared" ref="H420:J421" si="48">H421</f>
        <v>141901</v>
      </c>
      <c r="I420" s="25">
        <f t="shared" si="48"/>
        <v>0</v>
      </c>
      <c r="J420" s="25">
        <f t="shared" si="48"/>
        <v>0</v>
      </c>
    </row>
    <row r="421" spans="2:13" s="22" customFormat="1" ht="25.5">
      <c r="B421" s="54" t="s">
        <v>166</v>
      </c>
      <c r="C421" s="27" t="s">
        <v>13</v>
      </c>
      <c r="D421" s="27" t="s">
        <v>255</v>
      </c>
      <c r="E421" s="27" t="s">
        <v>30</v>
      </c>
      <c r="F421" s="116" t="s">
        <v>167</v>
      </c>
      <c r="G421" s="27"/>
      <c r="H421" s="25">
        <f t="shared" si="48"/>
        <v>141901</v>
      </c>
      <c r="I421" s="25">
        <f t="shared" si="48"/>
        <v>0</v>
      </c>
      <c r="J421" s="25">
        <f t="shared" si="48"/>
        <v>0</v>
      </c>
    </row>
    <row r="422" spans="2:13" s="22" customFormat="1" ht="25.5">
      <c r="B422" s="49" t="s">
        <v>482</v>
      </c>
      <c r="C422" s="27" t="s">
        <v>13</v>
      </c>
      <c r="D422" s="27" t="s">
        <v>255</v>
      </c>
      <c r="E422" s="27" t="s">
        <v>30</v>
      </c>
      <c r="F422" s="29" t="s">
        <v>483</v>
      </c>
      <c r="G422" s="27"/>
      <c r="H422" s="25">
        <f>H426+H423</f>
        <v>141901</v>
      </c>
      <c r="I422" s="25">
        <f>I426+I423</f>
        <v>0</v>
      </c>
      <c r="J422" s="25">
        <f>J426+J423</f>
        <v>0</v>
      </c>
    </row>
    <row r="423" spans="2:13" s="22" customFormat="1">
      <c r="B423" s="70" t="s">
        <v>170</v>
      </c>
      <c r="C423" s="27" t="s">
        <v>13</v>
      </c>
      <c r="D423" s="27" t="s">
        <v>255</v>
      </c>
      <c r="E423" s="27" t="s">
        <v>30</v>
      </c>
      <c r="F423" s="29" t="s">
        <v>484</v>
      </c>
      <c r="G423" s="27"/>
      <c r="H423" s="25">
        <f>H424+H425</f>
        <v>500</v>
      </c>
      <c r="I423" s="25">
        <f>I424+I425</f>
        <v>0</v>
      </c>
      <c r="J423" s="25">
        <f>J424+J425</f>
        <v>0</v>
      </c>
    </row>
    <row r="424" spans="2:13" s="22" customFormat="1" ht="25.5">
      <c r="B424" s="38" t="s">
        <v>39</v>
      </c>
      <c r="C424" s="27" t="s">
        <v>13</v>
      </c>
      <c r="D424" s="27" t="s">
        <v>255</v>
      </c>
      <c r="E424" s="27" t="s">
        <v>30</v>
      </c>
      <c r="F424" s="29" t="s">
        <v>484</v>
      </c>
      <c r="G424" s="27" t="s">
        <v>40</v>
      </c>
      <c r="H424" s="25">
        <v>500</v>
      </c>
      <c r="I424" s="25">
        <v>0</v>
      </c>
      <c r="J424" s="25">
        <v>0</v>
      </c>
      <c r="K424"/>
    </row>
    <row r="425" spans="2:13" s="22" customFormat="1" ht="15.75" hidden="1" customHeight="1">
      <c r="B425" s="49" t="s">
        <v>485</v>
      </c>
      <c r="C425" s="27" t="s">
        <v>13</v>
      </c>
      <c r="D425" s="27" t="s">
        <v>255</v>
      </c>
      <c r="E425" s="27" t="s">
        <v>30</v>
      </c>
      <c r="F425" s="29" t="s">
        <v>484</v>
      </c>
      <c r="G425" s="27" t="s">
        <v>337</v>
      </c>
      <c r="H425" s="25"/>
      <c r="I425" s="25"/>
      <c r="J425" s="25"/>
    </row>
    <row r="426" spans="2:13" s="22" customFormat="1">
      <c r="B426" s="49" t="s">
        <v>486</v>
      </c>
      <c r="C426" s="27" t="s">
        <v>13</v>
      </c>
      <c r="D426" s="27" t="s">
        <v>255</v>
      </c>
      <c r="E426" s="27" t="s">
        <v>30</v>
      </c>
      <c r="F426" s="29" t="s">
        <v>487</v>
      </c>
      <c r="G426" s="27"/>
      <c r="H426" s="25">
        <f>H427</f>
        <v>141401</v>
      </c>
      <c r="I426" s="25">
        <f>I427</f>
        <v>0</v>
      </c>
      <c r="J426" s="25">
        <f>J427</f>
        <v>0</v>
      </c>
    </row>
    <row r="427" spans="2:13" s="22" customFormat="1">
      <c r="B427" s="49" t="s">
        <v>315</v>
      </c>
      <c r="C427" s="27" t="s">
        <v>13</v>
      </c>
      <c r="D427" s="27" t="s">
        <v>255</v>
      </c>
      <c r="E427" s="27" t="s">
        <v>30</v>
      </c>
      <c r="F427" s="29" t="s">
        <v>487</v>
      </c>
      <c r="G427" s="27" t="s">
        <v>316</v>
      </c>
      <c r="H427" s="25">
        <f>137159+4242</f>
        <v>141401</v>
      </c>
      <c r="I427" s="25">
        <v>0</v>
      </c>
      <c r="J427" s="25">
        <v>0</v>
      </c>
    </row>
    <row r="428" spans="2:13" s="72" customFormat="1" ht="14.25" customHeight="1">
      <c r="B428" s="117" t="s">
        <v>488</v>
      </c>
      <c r="C428" s="20" t="s">
        <v>13</v>
      </c>
      <c r="D428" s="20" t="s">
        <v>198</v>
      </c>
      <c r="E428" s="20"/>
      <c r="F428" s="20"/>
      <c r="G428" s="20"/>
      <c r="H428" s="21">
        <f t="shared" ref="H428:J431" si="49">H429</f>
        <v>167.4</v>
      </c>
      <c r="I428" s="21">
        <f t="shared" si="49"/>
        <v>167.4</v>
      </c>
      <c r="J428" s="21">
        <f t="shared" si="49"/>
        <v>167.4</v>
      </c>
    </row>
    <row r="429" spans="2:13" s="72" customFormat="1" ht="14.25" customHeight="1">
      <c r="B429" s="117" t="s">
        <v>489</v>
      </c>
      <c r="C429" s="20" t="s">
        <v>13</v>
      </c>
      <c r="D429" s="20" t="s">
        <v>198</v>
      </c>
      <c r="E429" s="20" t="s">
        <v>417</v>
      </c>
      <c r="F429" s="20"/>
      <c r="G429" s="20"/>
      <c r="H429" s="21">
        <f t="shared" si="49"/>
        <v>167.4</v>
      </c>
      <c r="I429" s="21">
        <f t="shared" si="49"/>
        <v>167.4</v>
      </c>
      <c r="J429" s="21">
        <f t="shared" si="49"/>
        <v>167.4</v>
      </c>
    </row>
    <row r="430" spans="2:13" s="22" customFormat="1" ht="12" customHeight="1">
      <c r="B430" s="61" t="s">
        <v>81</v>
      </c>
      <c r="C430" s="27" t="s">
        <v>13</v>
      </c>
      <c r="D430" s="27" t="s">
        <v>198</v>
      </c>
      <c r="E430" s="27" t="s">
        <v>417</v>
      </c>
      <c r="F430" s="27" t="s">
        <v>82</v>
      </c>
      <c r="G430" s="27"/>
      <c r="H430" s="25">
        <f t="shared" si="49"/>
        <v>167.4</v>
      </c>
      <c r="I430" s="25">
        <f t="shared" si="49"/>
        <v>167.4</v>
      </c>
      <c r="J430" s="25">
        <f t="shared" si="49"/>
        <v>167.4</v>
      </c>
    </row>
    <row r="431" spans="2:13" s="22" customFormat="1" ht="66" customHeight="1">
      <c r="B431" s="43" t="s">
        <v>490</v>
      </c>
      <c r="C431" s="27" t="s">
        <v>13</v>
      </c>
      <c r="D431" s="27" t="s">
        <v>198</v>
      </c>
      <c r="E431" s="27" t="s">
        <v>417</v>
      </c>
      <c r="F431" s="29" t="s">
        <v>491</v>
      </c>
      <c r="G431" s="27"/>
      <c r="H431" s="25">
        <f t="shared" si="49"/>
        <v>167.4</v>
      </c>
      <c r="I431" s="25">
        <f t="shared" si="49"/>
        <v>167.4</v>
      </c>
      <c r="J431" s="25">
        <f t="shared" si="49"/>
        <v>167.4</v>
      </c>
    </row>
    <row r="432" spans="2:13" s="22" customFormat="1" ht="24" customHeight="1">
      <c r="B432" s="26" t="s">
        <v>39</v>
      </c>
      <c r="C432" s="27" t="s">
        <v>13</v>
      </c>
      <c r="D432" s="27" t="s">
        <v>198</v>
      </c>
      <c r="E432" s="27" t="s">
        <v>417</v>
      </c>
      <c r="F432" s="29" t="s">
        <v>491</v>
      </c>
      <c r="G432" s="27" t="s">
        <v>40</v>
      </c>
      <c r="H432" s="25">
        <f>167.4</f>
        <v>167.4</v>
      </c>
      <c r="I432" s="25">
        <v>167.4</v>
      </c>
      <c r="J432" s="25">
        <v>167.4</v>
      </c>
    </row>
    <row r="433" spans="2:13" s="22" customFormat="1">
      <c r="B433" s="90" t="s">
        <v>492</v>
      </c>
      <c r="C433" s="20" t="s">
        <v>13</v>
      </c>
      <c r="D433" s="20" t="s">
        <v>223</v>
      </c>
      <c r="E433" s="20"/>
      <c r="F433" s="20"/>
      <c r="G433" s="20"/>
      <c r="H433" s="21">
        <f>H441+H434+H462</f>
        <v>21773.899999999998</v>
      </c>
      <c r="I433" s="21">
        <f>I441+I434+I462</f>
        <v>6467.7</v>
      </c>
      <c r="J433" s="21">
        <f>J441+J434+J462</f>
        <v>7834.3</v>
      </c>
    </row>
    <row r="434" spans="2:13" s="22" customFormat="1">
      <c r="B434" s="19" t="s">
        <v>493</v>
      </c>
      <c r="C434" s="20" t="s">
        <v>13</v>
      </c>
      <c r="D434" s="20" t="s">
        <v>223</v>
      </c>
      <c r="E434" s="20" t="s">
        <v>15</v>
      </c>
      <c r="F434" s="20"/>
      <c r="G434" s="20"/>
      <c r="H434" s="21">
        <f t="shared" ref="H434:J437" si="50">H435</f>
        <v>2856.2</v>
      </c>
      <c r="I434" s="21">
        <f t="shared" si="50"/>
        <v>2856.2</v>
      </c>
      <c r="J434" s="21">
        <f t="shared" si="50"/>
        <v>2856.2</v>
      </c>
      <c r="M434" s="23"/>
    </row>
    <row r="435" spans="2:13" s="22" customFormat="1" ht="38.25">
      <c r="B435" s="118" t="s">
        <v>31</v>
      </c>
      <c r="C435" s="27" t="s">
        <v>13</v>
      </c>
      <c r="D435" s="27" t="s">
        <v>223</v>
      </c>
      <c r="E435" s="27" t="s">
        <v>15</v>
      </c>
      <c r="F435" s="116" t="s">
        <v>32</v>
      </c>
      <c r="G435" s="116"/>
      <c r="H435" s="25">
        <f t="shared" si="50"/>
        <v>2856.2</v>
      </c>
      <c r="I435" s="25">
        <f t="shared" si="50"/>
        <v>2856.2</v>
      </c>
      <c r="J435" s="25">
        <f t="shared" si="50"/>
        <v>2856.2</v>
      </c>
    </row>
    <row r="436" spans="2:13" s="22" customFormat="1" ht="25.5">
      <c r="B436" s="33" t="s">
        <v>33</v>
      </c>
      <c r="C436" s="27" t="s">
        <v>13</v>
      </c>
      <c r="D436" s="27" t="s">
        <v>223</v>
      </c>
      <c r="E436" s="27" t="s">
        <v>15</v>
      </c>
      <c r="F436" s="116" t="s">
        <v>34</v>
      </c>
      <c r="G436" s="116"/>
      <c r="H436" s="25">
        <f t="shared" si="50"/>
        <v>2856.2</v>
      </c>
      <c r="I436" s="25">
        <f t="shared" si="50"/>
        <v>2856.2</v>
      </c>
      <c r="J436" s="25">
        <f t="shared" si="50"/>
        <v>2856.2</v>
      </c>
    </row>
    <row r="437" spans="2:13" s="22" customFormat="1" ht="39" customHeight="1">
      <c r="B437" s="58" t="s">
        <v>103</v>
      </c>
      <c r="C437" s="27" t="s">
        <v>13</v>
      </c>
      <c r="D437" s="27" t="s">
        <v>223</v>
      </c>
      <c r="E437" s="27" t="s">
        <v>15</v>
      </c>
      <c r="F437" s="27" t="s">
        <v>104</v>
      </c>
      <c r="G437" s="27"/>
      <c r="H437" s="25">
        <f t="shared" si="50"/>
        <v>2856.2</v>
      </c>
      <c r="I437" s="25">
        <f t="shared" si="50"/>
        <v>2856.2</v>
      </c>
      <c r="J437" s="25">
        <f t="shared" si="50"/>
        <v>2856.2</v>
      </c>
    </row>
    <row r="438" spans="2:13" s="22" customFormat="1">
      <c r="B438" s="43" t="s">
        <v>494</v>
      </c>
      <c r="C438" s="27" t="s">
        <v>13</v>
      </c>
      <c r="D438" s="27" t="s">
        <v>223</v>
      </c>
      <c r="E438" s="27" t="s">
        <v>15</v>
      </c>
      <c r="F438" s="36" t="s">
        <v>495</v>
      </c>
      <c r="G438" s="27"/>
      <c r="H438" s="25">
        <f>H440+H439</f>
        <v>2856.2</v>
      </c>
      <c r="I438" s="25">
        <f>I440+I439</f>
        <v>2856.2</v>
      </c>
      <c r="J438" s="25">
        <f>J440+J439</f>
        <v>2856.2</v>
      </c>
    </row>
    <row r="439" spans="2:13" s="22" customFormat="1" ht="25.5">
      <c r="B439" s="43" t="s">
        <v>39</v>
      </c>
      <c r="C439" s="27" t="s">
        <v>13</v>
      </c>
      <c r="D439" s="27" t="s">
        <v>223</v>
      </c>
      <c r="E439" s="27" t="s">
        <v>15</v>
      </c>
      <c r="F439" s="36" t="s">
        <v>495</v>
      </c>
      <c r="G439" s="27" t="s">
        <v>40</v>
      </c>
      <c r="H439" s="25">
        <v>22</v>
      </c>
      <c r="I439" s="25">
        <v>22</v>
      </c>
      <c r="J439" s="25">
        <v>22</v>
      </c>
    </row>
    <row r="440" spans="2:13" s="22" customFormat="1" ht="13.5" customHeight="1">
      <c r="B440" s="43" t="s">
        <v>496</v>
      </c>
      <c r="C440" s="27" t="s">
        <v>13</v>
      </c>
      <c r="D440" s="27" t="s">
        <v>223</v>
      </c>
      <c r="E440" s="27" t="s">
        <v>15</v>
      </c>
      <c r="F440" s="36" t="s">
        <v>495</v>
      </c>
      <c r="G440" s="27" t="s">
        <v>497</v>
      </c>
      <c r="H440" s="25">
        <v>2834.2</v>
      </c>
      <c r="I440" s="25">
        <v>2834.2</v>
      </c>
      <c r="J440" s="25">
        <v>2834.2</v>
      </c>
      <c r="M440" s="23"/>
    </row>
    <row r="441" spans="2:13" s="22" customFormat="1">
      <c r="B441" s="90" t="s">
        <v>498</v>
      </c>
      <c r="C441" s="20" t="s">
        <v>13</v>
      </c>
      <c r="D441" s="20" t="s">
        <v>223</v>
      </c>
      <c r="E441" s="20" t="s">
        <v>193</v>
      </c>
      <c r="F441" s="20"/>
      <c r="G441" s="20"/>
      <c r="H441" s="21">
        <f>H458+H442+H452</f>
        <v>18817.699999999997</v>
      </c>
      <c r="I441" s="21">
        <f>I458+I442+I452</f>
        <v>3611.5</v>
      </c>
      <c r="J441" s="21">
        <f>J458+J442+J452</f>
        <v>4978.1000000000004</v>
      </c>
      <c r="L441" s="23"/>
    </row>
    <row r="442" spans="2:13" s="120" customFormat="1" ht="37.5" customHeight="1">
      <c r="B442" s="57" t="s">
        <v>31</v>
      </c>
      <c r="C442" s="27" t="s">
        <v>13</v>
      </c>
      <c r="D442" s="27" t="s">
        <v>223</v>
      </c>
      <c r="E442" s="27" t="s">
        <v>193</v>
      </c>
      <c r="F442" s="30" t="s">
        <v>32</v>
      </c>
      <c r="G442" s="27"/>
      <c r="H442" s="119">
        <f>H444</f>
        <v>4933.1000000000004</v>
      </c>
      <c r="I442" s="119">
        <f>I444</f>
        <v>2798.1</v>
      </c>
      <c r="J442" s="119">
        <f>J444</f>
        <v>2798.1</v>
      </c>
    </row>
    <row r="443" spans="2:13" s="120" customFormat="1" ht="27" customHeight="1">
      <c r="B443" s="33" t="s">
        <v>33</v>
      </c>
      <c r="C443" s="27" t="s">
        <v>13</v>
      </c>
      <c r="D443" s="27" t="s">
        <v>223</v>
      </c>
      <c r="E443" s="27" t="s">
        <v>193</v>
      </c>
      <c r="F443" s="30" t="s">
        <v>34</v>
      </c>
      <c r="G443" s="27"/>
      <c r="H443" s="119">
        <f>H444</f>
        <v>4933.1000000000004</v>
      </c>
      <c r="I443" s="119">
        <f>I444</f>
        <v>2798.1</v>
      </c>
      <c r="J443" s="119">
        <f>J444</f>
        <v>2798.1</v>
      </c>
    </row>
    <row r="444" spans="2:13" s="120" customFormat="1" ht="38.25" customHeight="1">
      <c r="B444" s="58" t="s">
        <v>103</v>
      </c>
      <c r="C444" s="27" t="s">
        <v>13</v>
      </c>
      <c r="D444" s="27" t="s">
        <v>223</v>
      </c>
      <c r="E444" s="27" t="s">
        <v>193</v>
      </c>
      <c r="F444" s="36" t="s">
        <v>104</v>
      </c>
      <c r="G444" s="27"/>
      <c r="H444" s="119">
        <f>H445+H450</f>
        <v>4933.1000000000004</v>
      </c>
      <c r="I444" s="119">
        <f>I445+I450</f>
        <v>2798.1</v>
      </c>
      <c r="J444" s="119">
        <f>J445+J450</f>
        <v>2798.1</v>
      </c>
    </row>
    <row r="445" spans="2:13" s="120" customFormat="1" ht="13.5" customHeight="1">
      <c r="B445" s="47" t="s">
        <v>499</v>
      </c>
      <c r="C445" s="27" t="s">
        <v>13</v>
      </c>
      <c r="D445" s="27" t="s">
        <v>223</v>
      </c>
      <c r="E445" s="27" t="s">
        <v>193</v>
      </c>
      <c r="F445" s="36" t="s">
        <v>500</v>
      </c>
      <c r="G445" s="27"/>
      <c r="H445" s="119">
        <f>H448+H449+H446+H447</f>
        <v>2798.1</v>
      </c>
      <c r="I445" s="119">
        <f>I448+I449+I446+I447</f>
        <v>2798.1</v>
      </c>
      <c r="J445" s="119">
        <f>J448+J449+J446+J447</f>
        <v>2798.1</v>
      </c>
    </row>
    <row r="446" spans="2:13" s="120" customFormat="1" ht="13.5" customHeight="1">
      <c r="B446" s="66" t="s">
        <v>158</v>
      </c>
      <c r="C446" s="27" t="s">
        <v>13</v>
      </c>
      <c r="D446" s="27" t="s">
        <v>223</v>
      </c>
      <c r="E446" s="27" t="s">
        <v>193</v>
      </c>
      <c r="F446" s="36" t="s">
        <v>500</v>
      </c>
      <c r="G446" s="27" t="s">
        <v>159</v>
      </c>
      <c r="H446" s="59">
        <v>430</v>
      </c>
      <c r="I446" s="59">
        <v>430</v>
      </c>
      <c r="J446" s="59">
        <v>430</v>
      </c>
    </row>
    <row r="447" spans="2:13" s="120" customFormat="1" ht="26.25" customHeight="1">
      <c r="B447" s="38" t="s">
        <v>39</v>
      </c>
      <c r="C447" s="27" t="s">
        <v>13</v>
      </c>
      <c r="D447" s="27" t="s">
        <v>223</v>
      </c>
      <c r="E447" s="27" t="s">
        <v>193</v>
      </c>
      <c r="F447" s="36" t="s">
        <v>500</v>
      </c>
      <c r="G447" s="27" t="s">
        <v>40</v>
      </c>
      <c r="H447" s="25">
        <v>38</v>
      </c>
      <c r="I447" s="25">
        <v>38</v>
      </c>
      <c r="J447" s="25">
        <v>38</v>
      </c>
    </row>
    <row r="448" spans="2:13" s="120" customFormat="1" ht="23.25" customHeight="1">
      <c r="B448" s="70" t="s">
        <v>501</v>
      </c>
      <c r="C448" s="27" t="s">
        <v>13</v>
      </c>
      <c r="D448" s="27" t="s">
        <v>223</v>
      </c>
      <c r="E448" s="27" t="s">
        <v>193</v>
      </c>
      <c r="F448" s="36" t="s">
        <v>500</v>
      </c>
      <c r="G448" s="27" t="s">
        <v>48</v>
      </c>
      <c r="H448" s="25">
        <v>1590</v>
      </c>
      <c r="I448" s="25">
        <v>1590</v>
      </c>
      <c r="J448" s="25">
        <v>1590</v>
      </c>
    </row>
    <row r="449" spans="2:11" s="120" customFormat="1" ht="16.5" customHeight="1">
      <c r="B449" s="70" t="s">
        <v>127</v>
      </c>
      <c r="C449" s="27" t="s">
        <v>13</v>
      </c>
      <c r="D449" s="27" t="s">
        <v>223</v>
      </c>
      <c r="E449" s="27" t="s">
        <v>193</v>
      </c>
      <c r="F449" s="36" t="s">
        <v>500</v>
      </c>
      <c r="G449" s="27" t="s">
        <v>128</v>
      </c>
      <c r="H449" s="25">
        <v>740.1</v>
      </c>
      <c r="I449" s="25">
        <v>740.1</v>
      </c>
      <c r="J449" s="25">
        <v>740.1</v>
      </c>
    </row>
    <row r="450" spans="2:11" s="120" customFormat="1" ht="26.25" customHeight="1">
      <c r="B450" s="47" t="s">
        <v>502</v>
      </c>
      <c r="C450" s="27" t="s">
        <v>13</v>
      </c>
      <c r="D450" s="27" t="s">
        <v>223</v>
      </c>
      <c r="E450" s="27" t="s">
        <v>193</v>
      </c>
      <c r="F450" s="36" t="s">
        <v>503</v>
      </c>
      <c r="G450" s="27"/>
      <c r="H450" s="25">
        <f>H451</f>
        <v>2135</v>
      </c>
      <c r="I450" s="25">
        <f>I451</f>
        <v>0</v>
      </c>
      <c r="J450" s="25">
        <f>J451</f>
        <v>0</v>
      </c>
    </row>
    <row r="451" spans="2:11" s="120" customFormat="1" ht="16.5" customHeight="1">
      <c r="B451" s="113" t="s">
        <v>504</v>
      </c>
      <c r="C451" s="27" t="s">
        <v>13</v>
      </c>
      <c r="D451" s="27" t="s">
        <v>223</v>
      </c>
      <c r="E451" s="27" t="s">
        <v>193</v>
      </c>
      <c r="F451" s="36" t="s">
        <v>503</v>
      </c>
      <c r="G451" s="121" t="s">
        <v>497</v>
      </c>
      <c r="H451" s="25">
        <v>2135</v>
      </c>
      <c r="I451" s="25">
        <v>0</v>
      </c>
      <c r="J451" s="25">
        <v>0</v>
      </c>
      <c r="K451" s="60"/>
    </row>
    <row r="452" spans="2:11" s="60" customFormat="1" ht="41.25" customHeight="1">
      <c r="B452" s="70" t="s">
        <v>299</v>
      </c>
      <c r="C452" s="27" t="s">
        <v>13</v>
      </c>
      <c r="D452" s="27" t="s">
        <v>223</v>
      </c>
      <c r="E452" s="27" t="s">
        <v>193</v>
      </c>
      <c r="F452" s="29" t="s">
        <v>300</v>
      </c>
      <c r="G452" s="27"/>
      <c r="H452" s="25">
        <f>H453</f>
        <v>826.1</v>
      </c>
      <c r="I452" s="25">
        <f>I453</f>
        <v>813.4</v>
      </c>
      <c r="J452" s="25">
        <f>J453</f>
        <v>2180</v>
      </c>
    </row>
    <row r="453" spans="2:11" s="60" customFormat="1" ht="27" customHeight="1">
      <c r="B453" s="38" t="s">
        <v>505</v>
      </c>
      <c r="C453" s="27" t="s">
        <v>13</v>
      </c>
      <c r="D453" s="27" t="s">
        <v>223</v>
      </c>
      <c r="E453" s="27" t="s">
        <v>193</v>
      </c>
      <c r="F453" s="29" t="s">
        <v>506</v>
      </c>
      <c r="G453" s="27"/>
      <c r="H453" s="25">
        <f>H456+H454</f>
        <v>826.1</v>
      </c>
      <c r="I453" s="25">
        <f>I456+I454</f>
        <v>813.4</v>
      </c>
      <c r="J453" s="25">
        <f>J456+J454</f>
        <v>2180</v>
      </c>
    </row>
    <row r="454" spans="2:11" s="60" customFormat="1" ht="54.75" customHeight="1">
      <c r="B454" s="38" t="s">
        <v>507</v>
      </c>
      <c r="C454" s="27" t="s">
        <v>13</v>
      </c>
      <c r="D454" s="27" t="s">
        <v>223</v>
      </c>
      <c r="E454" s="27" t="s">
        <v>193</v>
      </c>
      <c r="F454" s="29" t="s">
        <v>508</v>
      </c>
      <c r="G454" s="27"/>
      <c r="H454" s="25">
        <f>H455</f>
        <v>0</v>
      </c>
      <c r="I454" s="25">
        <f>I455</f>
        <v>0</v>
      </c>
      <c r="J454" s="25">
        <f>J455</f>
        <v>1400</v>
      </c>
    </row>
    <row r="455" spans="2:11" s="60" customFormat="1" ht="27" customHeight="1">
      <c r="B455" s="70" t="s">
        <v>501</v>
      </c>
      <c r="C455" s="27" t="s">
        <v>13</v>
      </c>
      <c r="D455" s="27" t="s">
        <v>223</v>
      </c>
      <c r="E455" s="27" t="s">
        <v>193</v>
      </c>
      <c r="F455" s="29" t="s">
        <v>508</v>
      </c>
      <c r="G455" s="27" t="s">
        <v>48</v>
      </c>
      <c r="H455" s="25">
        <v>0</v>
      </c>
      <c r="I455" s="25">
        <v>0</v>
      </c>
      <c r="J455" s="25">
        <v>1400</v>
      </c>
    </row>
    <row r="456" spans="2:11" s="60" customFormat="1" ht="81" customHeight="1">
      <c r="B456" s="38" t="s">
        <v>509</v>
      </c>
      <c r="C456" s="27" t="s">
        <v>13</v>
      </c>
      <c r="D456" s="27" t="s">
        <v>223</v>
      </c>
      <c r="E456" s="27" t="s">
        <v>193</v>
      </c>
      <c r="F456" s="29" t="s">
        <v>510</v>
      </c>
      <c r="G456" s="27"/>
      <c r="H456" s="25">
        <f>H457</f>
        <v>826.1</v>
      </c>
      <c r="I456" s="25">
        <f>I457</f>
        <v>813.4</v>
      </c>
      <c r="J456" s="25">
        <f>J457</f>
        <v>780</v>
      </c>
      <c r="K456"/>
    </row>
    <row r="457" spans="2:11" s="60" customFormat="1" ht="24" customHeight="1">
      <c r="B457" s="70" t="s">
        <v>501</v>
      </c>
      <c r="C457" s="27" t="s">
        <v>13</v>
      </c>
      <c r="D457" s="27" t="s">
        <v>223</v>
      </c>
      <c r="E457" s="27" t="s">
        <v>193</v>
      </c>
      <c r="F457" s="29" t="s">
        <v>510</v>
      </c>
      <c r="G457" s="27" t="s">
        <v>48</v>
      </c>
      <c r="H457" s="25">
        <f>743.5+82.6</f>
        <v>826.1</v>
      </c>
      <c r="I457" s="59">
        <f>732.1+81.3</f>
        <v>813.4</v>
      </c>
      <c r="J457" s="59">
        <f>702+78</f>
        <v>780</v>
      </c>
    </row>
    <row r="458" spans="2:11" s="22" customFormat="1" ht="24.75" customHeight="1">
      <c r="B458" s="26" t="s">
        <v>392</v>
      </c>
      <c r="C458" s="27" t="s">
        <v>13</v>
      </c>
      <c r="D458" s="27" t="s">
        <v>223</v>
      </c>
      <c r="E458" s="27" t="s">
        <v>193</v>
      </c>
      <c r="F458" s="27" t="s">
        <v>393</v>
      </c>
      <c r="G458" s="27"/>
      <c r="H458" s="25">
        <f t="shared" ref="H458:J460" si="51">H459</f>
        <v>13058.5</v>
      </c>
      <c r="I458" s="25">
        <f t="shared" si="51"/>
        <v>0</v>
      </c>
      <c r="J458" s="25">
        <f t="shared" si="51"/>
        <v>0</v>
      </c>
    </row>
    <row r="459" spans="2:11" s="22" customFormat="1" ht="27" customHeight="1">
      <c r="B459" s="38" t="s">
        <v>511</v>
      </c>
      <c r="C459" s="27" t="s">
        <v>13</v>
      </c>
      <c r="D459" s="27" t="s">
        <v>223</v>
      </c>
      <c r="E459" s="27" t="s">
        <v>193</v>
      </c>
      <c r="F459" s="29" t="s">
        <v>512</v>
      </c>
      <c r="G459" s="27"/>
      <c r="H459" s="25">
        <f t="shared" si="51"/>
        <v>13058.5</v>
      </c>
      <c r="I459" s="25">
        <f t="shared" si="51"/>
        <v>0</v>
      </c>
      <c r="J459" s="25">
        <f t="shared" si="51"/>
        <v>0</v>
      </c>
    </row>
    <row r="460" spans="2:11" s="22" customFormat="1" ht="26.25" customHeight="1">
      <c r="B460" s="89" t="s">
        <v>513</v>
      </c>
      <c r="C460" s="27" t="s">
        <v>13</v>
      </c>
      <c r="D460" s="27" t="s">
        <v>223</v>
      </c>
      <c r="E460" s="27" t="s">
        <v>193</v>
      </c>
      <c r="F460" s="29" t="s">
        <v>514</v>
      </c>
      <c r="G460" s="27"/>
      <c r="H460" s="25">
        <f t="shared" si="51"/>
        <v>13058.5</v>
      </c>
      <c r="I460" s="25">
        <f t="shared" si="51"/>
        <v>0</v>
      </c>
      <c r="J460" s="25">
        <f t="shared" si="51"/>
        <v>0</v>
      </c>
    </row>
    <row r="461" spans="2:11" s="22" customFormat="1" ht="24" customHeight="1">
      <c r="B461" s="70" t="s">
        <v>501</v>
      </c>
      <c r="C461" s="27" t="s">
        <v>13</v>
      </c>
      <c r="D461" s="27" t="s">
        <v>223</v>
      </c>
      <c r="E461" s="27" t="s">
        <v>193</v>
      </c>
      <c r="F461" s="29" t="s">
        <v>514</v>
      </c>
      <c r="G461" s="27" t="s">
        <v>48</v>
      </c>
      <c r="H461" s="25">
        <f>12405.6+652.9</f>
        <v>13058.5</v>
      </c>
      <c r="I461" s="25">
        <v>0</v>
      </c>
      <c r="J461" s="25">
        <v>0</v>
      </c>
    </row>
    <row r="462" spans="2:11" s="22" customFormat="1" ht="24" customHeight="1">
      <c r="B462" s="47" t="s">
        <v>515</v>
      </c>
      <c r="C462" s="27" t="s">
        <v>13</v>
      </c>
      <c r="D462" s="27" t="s">
        <v>223</v>
      </c>
      <c r="E462" s="27" t="s">
        <v>399</v>
      </c>
      <c r="F462" s="36" t="s">
        <v>503</v>
      </c>
      <c r="G462" s="27"/>
      <c r="H462" s="25">
        <f>H464+H463</f>
        <v>100</v>
      </c>
      <c r="I462" s="25">
        <f>I464+I463</f>
        <v>0</v>
      </c>
      <c r="J462" s="25">
        <f>J464+J463</f>
        <v>0</v>
      </c>
    </row>
    <row r="463" spans="2:11" s="22" customFormat="1" ht="24" hidden="1" customHeight="1">
      <c r="B463" s="38" t="s">
        <v>39</v>
      </c>
      <c r="C463" s="27" t="s">
        <v>13</v>
      </c>
      <c r="D463" s="27" t="s">
        <v>223</v>
      </c>
      <c r="E463" s="27" t="s">
        <v>399</v>
      </c>
      <c r="F463" s="36" t="s">
        <v>503</v>
      </c>
      <c r="G463" s="27" t="s">
        <v>40</v>
      </c>
      <c r="H463" s="25"/>
      <c r="I463" s="25"/>
      <c r="J463" s="25"/>
    </row>
    <row r="464" spans="2:11" s="22" customFormat="1" ht="24" customHeight="1">
      <c r="B464" s="70" t="s">
        <v>501</v>
      </c>
      <c r="C464" s="27" t="s">
        <v>13</v>
      </c>
      <c r="D464" s="27" t="s">
        <v>223</v>
      </c>
      <c r="E464" s="27" t="s">
        <v>399</v>
      </c>
      <c r="F464" s="36" t="s">
        <v>503</v>
      </c>
      <c r="G464" s="27" t="s">
        <v>48</v>
      </c>
      <c r="H464" s="25">
        <v>100</v>
      </c>
      <c r="I464" s="25">
        <v>0</v>
      </c>
      <c r="J464" s="25">
        <v>0</v>
      </c>
      <c r="K464"/>
    </row>
    <row r="465" spans="2:12" s="72" customFormat="1" ht="15" customHeight="1">
      <c r="B465" s="122" t="s">
        <v>516</v>
      </c>
      <c r="C465" s="20" t="s">
        <v>13</v>
      </c>
      <c r="D465" s="20" t="s">
        <v>86</v>
      </c>
      <c r="E465" s="20"/>
      <c r="F465" s="123"/>
      <c r="G465" s="20"/>
      <c r="H465" s="21">
        <f>H466+H482</f>
        <v>14175.6</v>
      </c>
      <c r="I465" s="21">
        <f>I466+I482</f>
        <v>14265.87</v>
      </c>
      <c r="J465" s="21">
        <f>J466+J482</f>
        <v>14265.87</v>
      </c>
      <c r="L465" s="124"/>
    </row>
    <row r="466" spans="2:12" s="72" customFormat="1" ht="12.75" customHeight="1">
      <c r="B466" s="19" t="s">
        <v>517</v>
      </c>
      <c r="C466" s="20" t="s">
        <v>13</v>
      </c>
      <c r="D466" s="20" t="s">
        <v>86</v>
      </c>
      <c r="E466" s="20" t="s">
        <v>15</v>
      </c>
      <c r="F466" s="20"/>
      <c r="G466" s="20"/>
      <c r="H466" s="21">
        <f t="shared" ref="H466:J467" si="52">H467</f>
        <v>14175.6</v>
      </c>
      <c r="I466" s="21">
        <f t="shared" si="52"/>
        <v>14265.87</v>
      </c>
      <c r="J466" s="21">
        <f t="shared" si="52"/>
        <v>14265.87</v>
      </c>
    </row>
    <row r="467" spans="2:12" s="22" customFormat="1" ht="25.5" customHeight="1">
      <c r="B467" s="70" t="s">
        <v>518</v>
      </c>
      <c r="C467" s="27" t="s">
        <v>13</v>
      </c>
      <c r="D467" s="27" t="s">
        <v>86</v>
      </c>
      <c r="E467" s="27" t="s">
        <v>15</v>
      </c>
      <c r="F467" s="29" t="s">
        <v>519</v>
      </c>
      <c r="G467" s="27"/>
      <c r="H467" s="119">
        <f t="shared" si="52"/>
        <v>14175.6</v>
      </c>
      <c r="I467" s="119">
        <f t="shared" si="52"/>
        <v>14265.87</v>
      </c>
      <c r="J467" s="119">
        <f t="shared" si="52"/>
        <v>14265.87</v>
      </c>
    </row>
    <row r="468" spans="2:12" s="22" customFormat="1" ht="39.75" customHeight="1">
      <c r="B468" s="38" t="s">
        <v>520</v>
      </c>
      <c r="C468" s="27" t="s">
        <v>13</v>
      </c>
      <c r="D468" s="27" t="s">
        <v>86</v>
      </c>
      <c r="E468" s="27" t="s">
        <v>15</v>
      </c>
      <c r="F468" s="29" t="s">
        <v>521</v>
      </c>
      <c r="G468" s="27"/>
      <c r="H468" s="119">
        <f>H469+H474+H480+H472+H478</f>
        <v>14175.6</v>
      </c>
      <c r="I468" s="119">
        <f>I469+I474+I480+I472+I478</f>
        <v>14265.87</v>
      </c>
      <c r="J468" s="119">
        <f>J469+J474+J480+J472+J478</f>
        <v>14265.87</v>
      </c>
    </row>
    <row r="469" spans="2:12" s="22" customFormat="1" ht="28.5" customHeight="1">
      <c r="B469" s="89" t="s">
        <v>156</v>
      </c>
      <c r="C469" s="27" t="s">
        <v>13</v>
      </c>
      <c r="D469" s="27" t="s">
        <v>86</v>
      </c>
      <c r="E469" s="27" t="s">
        <v>15</v>
      </c>
      <c r="F469" s="29" t="s">
        <v>522</v>
      </c>
      <c r="G469" s="27"/>
      <c r="H469" s="119">
        <f>H470+H471</f>
        <v>3800.2000000000007</v>
      </c>
      <c r="I469" s="119">
        <f>I470+I471</f>
        <v>4600.2000000000007</v>
      </c>
      <c r="J469" s="119">
        <f>J470+J471</f>
        <v>4600.2000000000007</v>
      </c>
    </row>
    <row r="470" spans="2:12" s="22" customFormat="1" ht="15.75" customHeight="1">
      <c r="B470" s="70" t="s">
        <v>523</v>
      </c>
      <c r="C470" s="27" t="s">
        <v>13</v>
      </c>
      <c r="D470" s="27" t="s">
        <v>86</v>
      </c>
      <c r="E470" s="27" t="s">
        <v>15</v>
      </c>
      <c r="F470" s="29" t="s">
        <v>522</v>
      </c>
      <c r="G470" s="27" t="s">
        <v>524</v>
      </c>
      <c r="H470" s="25">
        <f>13113.2+800+700-800-700-8513-800</f>
        <v>3800.2000000000007</v>
      </c>
      <c r="I470" s="25">
        <f>13113.2-8513</f>
        <v>4600.2000000000007</v>
      </c>
      <c r="J470" s="25">
        <f>13113.2-8513</f>
        <v>4600.2000000000007</v>
      </c>
      <c r="K470"/>
    </row>
    <row r="471" spans="2:12" s="22" customFormat="1" ht="78.75" hidden="1" customHeight="1">
      <c r="B471" s="125" t="s">
        <v>525</v>
      </c>
      <c r="C471" s="27" t="s">
        <v>13</v>
      </c>
      <c r="D471" s="27" t="s">
        <v>86</v>
      </c>
      <c r="E471" s="27" t="s">
        <v>15</v>
      </c>
      <c r="F471" s="29" t="s">
        <v>522</v>
      </c>
      <c r="G471" s="27" t="s">
        <v>526</v>
      </c>
      <c r="H471" s="25">
        <f>1000-1000</f>
        <v>0</v>
      </c>
      <c r="I471" s="25">
        <v>0</v>
      </c>
      <c r="J471" s="25">
        <v>0</v>
      </c>
    </row>
    <row r="472" spans="2:12" s="22" customFormat="1" ht="27" customHeight="1">
      <c r="B472" s="70" t="s">
        <v>45</v>
      </c>
      <c r="C472" s="27" t="s">
        <v>13</v>
      </c>
      <c r="D472" s="27" t="s">
        <v>86</v>
      </c>
      <c r="E472" s="27" t="s">
        <v>15</v>
      </c>
      <c r="F472" s="29" t="s">
        <v>527</v>
      </c>
      <c r="G472" s="27"/>
      <c r="H472" s="25">
        <f>H473</f>
        <v>8513</v>
      </c>
      <c r="I472" s="25">
        <f>I473</f>
        <v>8513</v>
      </c>
      <c r="J472" s="25">
        <f>J473</f>
        <v>8513</v>
      </c>
    </row>
    <row r="473" spans="2:12" s="22" customFormat="1" ht="15.75" customHeight="1">
      <c r="B473" s="70" t="s">
        <v>523</v>
      </c>
      <c r="C473" s="27" t="s">
        <v>13</v>
      </c>
      <c r="D473" s="27" t="s">
        <v>86</v>
      </c>
      <c r="E473" s="27" t="s">
        <v>15</v>
      </c>
      <c r="F473" s="29" t="s">
        <v>527</v>
      </c>
      <c r="G473" s="27" t="s">
        <v>524</v>
      </c>
      <c r="H473" s="25">
        <v>8513</v>
      </c>
      <c r="I473" s="25">
        <v>8513</v>
      </c>
      <c r="J473" s="25">
        <v>8513</v>
      </c>
    </row>
    <row r="474" spans="2:12" s="22" customFormat="1" ht="12.75" customHeight="1">
      <c r="B474" s="89" t="s">
        <v>528</v>
      </c>
      <c r="C474" s="27" t="s">
        <v>13</v>
      </c>
      <c r="D474" s="27" t="s">
        <v>86</v>
      </c>
      <c r="E474" s="27" t="s">
        <v>15</v>
      </c>
      <c r="F474" s="29" t="s">
        <v>529</v>
      </c>
      <c r="G474" s="27"/>
      <c r="H474" s="119">
        <f>H475+H476+H477</f>
        <v>473.5</v>
      </c>
      <c r="I474" s="119">
        <f>I475+I476+I477</f>
        <v>486</v>
      </c>
      <c r="J474" s="119">
        <f>J475+J476+J477</f>
        <v>486</v>
      </c>
    </row>
    <row r="475" spans="2:12" s="22" customFormat="1" ht="28.5" customHeight="1">
      <c r="B475" s="85" t="s">
        <v>26</v>
      </c>
      <c r="C475" s="27" t="s">
        <v>13</v>
      </c>
      <c r="D475" s="27" t="s">
        <v>86</v>
      </c>
      <c r="E475" s="27" t="s">
        <v>15</v>
      </c>
      <c r="F475" s="29" t="s">
        <v>529</v>
      </c>
      <c r="G475" s="27" t="s">
        <v>27</v>
      </c>
      <c r="H475" s="25">
        <v>50</v>
      </c>
      <c r="I475" s="25">
        <v>60</v>
      </c>
      <c r="J475" s="25">
        <v>60</v>
      </c>
    </row>
    <row r="476" spans="2:12" s="22" customFormat="1" ht="24.75" customHeight="1">
      <c r="B476" s="38" t="s">
        <v>39</v>
      </c>
      <c r="C476" s="27" t="s">
        <v>13</v>
      </c>
      <c r="D476" s="27" t="s">
        <v>86</v>
      </c>
      <c r="E476" s="27" t="s">
        <v>15</v>
      </c>
      <c r="F476" s="29" t="s">
        <v>529</v>
      </c>
      <c r="G476" s="27" t="s">
        <v>40</v>
      </c>
      <c r="H476" s="25">
        <v>397.5</v>
      </c>
      <c r="I476" s="25">
        <v>400</v>
      </c>
      <c r="J476" s="25">
        <v>400</v>
      </c>
    </row>
    <row r="477" spans="2:12" s="22" customFormat="1" ht="15.75" customHeight="1">
      <c r="B477" s="70" t="s">
        <v>523</v>
      </c>
      <c r="C477" s="27" t="s">
        <v>13</v>
      </c>
      <c r="D477" s="27" t="s">
        <v>86</v>
      </c>
      <c r="E477" s="27" t="s">
        <v>15</v>
      </c>
      <c r="F477" s="29" t="s">
        <v>529</v>
      </c>
      <c r="G477" s="27" t="s">
        <v>524</v>
      </c>
      <c r="H477" s="25">
        <v>26</v>
      </c>
      <c r="I477" s="25">
        <v>26</v>
      </c>
      <c r="J477" s="25">
        <v>26</v>
      </c>
    </row>
    <row r="478" spans="2:12" s="22" customFormat="1" ht="39" customHeight="1">
      <c r="B478" s="70" t="s">
        <v>530</v>
      </c>
      <c r="C478" s="27" t="s">
        <v>13</v>
      </c>
      <c r="D478" s="27" t="s">
        <v>86</v>
      </c>
      <c r="E478" s="27" t="s">
        <v>15</v>
      </c>
      <c r="F478" s="29" t="s">
        <v>531</v>
      </c>
      <c r="G478" s="27"/>
      <c r="H478" s="25">
        <f>H479</f>
        <v>388.9</v>
      </c>
      <c r="I478" s="25">
        <f>I479</f>
        <v>0</v>
      </c>
      <c r="J478" s="25">
        <f>J479</f>
        <v>0</v>
      </c>
      <c r="K478"/>
    </row>
    <row r="479" spans="2:12" s="22" customFormat="1" ht="25.5" customHeight="1">
      <c r="B479" s="38" t="s">
        <v>39</v>
      </c>
      <c r="C479" s="27" t="s">
        <v>13</v>
      </c>
      <c r="D479" s="27" t="s">
        <v>86</v>
      </c>
      <c r="E479" s="27" t="s">
        <v>15</v>
      </c>
      <c r="F479" s="29" t="s">
        <v>531</v>
      </c>
      <c r="G479" s="27" t="s">
        <v>40</v>
      </c>
      <c r="H479" s="25">
        <f>350+38.9</f>
        <v>388.9</v>
      </c>
      <c r="I479" s="25">
        <v>0</v>
      </c>
      <c r="J479" s="25">
        <v>0</v>
      </c>
    </row>
    <row r="480" spans="2:12" s="22" customFormat="1" ht="38.25">
      <c r="B480" s="126" t="s">
        <v>532</v>
      </c>
      <c r="C480" s="27" t="s">
        <v>13</v>
      </c>
      <c r="D480" s="27" t="s">
        <v>86</v>
      </c>
      <c r="E480" s="27" t="s">
        <v>15</v>
      </c>
      <c r="F480" s="29" t="s">
        <v>533</v>
      </c>
      <c r="G480" s="27"/>
      <c r="H480" s="119">
        <f>H481</f>
        <v>1000</v>
      </c>
      <c r="I480" s="119">
        <f>I481</f>
        <v>666.67</v>
      </c>
      <c r="J480" s="119">
        <f>J481</f>
        <v>666.67</v>
      </c>
    </row>
    <row r="481" spans="2:10" s="22" customFormat="1" ht="25.5" customHeight="1">
      <c r="B481" s="38" t="s">
        <v>39</v>
      </c>
      <c r="C481" s="27" t="s">
        <v>13</v>
      </c>
      <c r="D481" s="27" t="s">
        <v>86</v>
      </c>
      <c r="E481" s="27" t="s">
        <v>15</v>
      </c>
      <c r="F481" s="29" t="s">
        <v>533</v>
      </c>
      <c r="G481" s="27" t="s">
        <v>40</v>
      </c>
      <c r="H481" s="25">
        <f>900+100</f>
        <v>1000</v>
      </c>
      <c r="I481" s="25">
        <f>600+66.67</f>
        <v>666.67</v>
      </c>
      <c r="J481" s="25">
        <f>600+66.67</f>
        <v>666.67</v>
      </c>
    </row>
    <row r="482" spans="2:10" s="22" customFormat="1" ht="17.25" hidden="1" customHeight="1">
      <c r="B482" s="127" t="s">
        <v>534</v>
      </c>
      <c r="C482" s="20" t="s">
        <v>13</v>
      </c>
      <c r="D482" s="20" t="s">
        <v>86</v>
      </c>
      <c r="E482" s="20" t="s">
        <v>80</v>
      </c>
      <c r="F482" s="29"/>
      <c r="G482" s="27"/>
      <c r="H482" s="25">
        <f t="shared" ref="H482:J485" si="53">H483</f>
        <v>0</v>
      </c>
      <c r="I482" s="25">
        <f t="shared" si="53"/>
        <v>0</v>
      </c>
      <c r="J482" s="25">
        <f t="shared" si="53"/>
        <v>0</v>
      </c>
    </row>
    <row r="483" spans="2:10" s="22" customFormat="1" ht="25.5" hidden="1" customHeight="1">
      <c r="B483" s="70" t="s">
        <v>535</v>
      </c>
      <c r="C483" s="27" t="s">
        <v>13</v>
      </c>
      <c r="D483" s="27" t="s">
        <v>86</v>
      </c>
      <c r="E483" s="27" t="s">
        <v>80</v>
      </c>
      <c r="F483" s="29" t="s">
        <v>519</v>
      </c>
      <c r="G483" s="27"/>
      <c r="H483" s="25">
        <f t="shared" si="53"/>
        <v>0</v>
      </c>
      <c r="I483" s="25">
        <f t="shared" si="53"/>
        <v>0</v>
      </c>
      <c r="J483" s="25">
        <f t="shared" si="53"/>
        <v>0</v>
      </c>
    </row>
    <row r="484" spans="2:10" s="22" customFormat="1" ht="40.5" hidden="1" customHeight="1">
      <c r="B484" s="38" t="s">
        <v>520</v>
      </c>
      <c r="C484" s="27" t="s">
        <v>13</v>
      </c>
      <c r="D484" s="27" t="s">
        <v>86</v>
      </c>
      <c r="E484" s="27" t="s">
        <v>80</v>
      </c>
      <c r="F484" s="29" t="s">
        <v>521</v>
      </c>
      <c r="G484" s="27"/>
      <c r="H484" s="25">
        <f t="shared" si="53"/>
        <v>0</v>
      </c>
      <c r="I484" s="25">
        <f t="shared" si="53"/>
        <v>0</v>
      </c>
      <c r="J484" s="25">
        <f t="shared" si="53"/>
        <v>0</v>
      </c>
    </row>
    <row r="485" spans="2:10" s="22" customFormat="1" ht="15" hidden="1" customHeight="1">
      <c r="B485" s="49" t="s">
        <v>381</v>
      </c>
      <c r="C485" s="27" t="s">
        <v>13</v>
      </c>
      <c r="D485" s="27" t="s">
        <v>86</v>
      </c>
      <c r="E485" s="27" t="s">
        <v>80</v>
      </c>
      <c r="F485" s="29" t="s">
        <v>536</v>
      </c>
      <c r="G485" s="27"/>
      <c r="H485" s="25">
        <f t="shared" si="53"/>
        <v>0</v>
      </c>
      <c r="I485" s="25">
        <f t="shared" si="53"/>
        <v>0</v>
      </c>
      <c r="J485" s="25">
        <f t="shared" si="53"/>
        <v>0</v>
      </c>
    </row>
    <row r="486" spans="2:10" s="22" customFormat="1" ht="25.5" hidden="1" customHeight="1">
      <c r="B486" s="38" t="s">
        <v>39</v>
      </c>
      <c r="C486" s="27" t="s">
        <v>13</v>
      </c>
      <c r="D486" s="27" t="s">
        <v>86</v>
      </c>
      <c r="E486" s="27" t="s">
        <v>80</v>
      </c>
      <c r="F486" s="29" t="s">
        <v>536</v>
      </c>
      <c r="G486" s="27" t="s">
        <v>40</v>
      </c>
      <c r="H486" s="25"/>
      <c r="I486" s="25"/>
      <c r="J486" s="25"/>
    </row>
    <row r="487" spans="2:10" s="22" customFormat="1" ht="21.75" customHeight="1">
      <c r="B487" s="90" t="s">
        <v>537</v>
      </c>
      <c r="C487" s="20" t="s">
        <v>538</v>
      </c>
      <c r="D487" s="20"/>
      <c r="E487" s="20"/>
      <c r="F487" s="20"/>
      <c r="G487" s="20"/>
      <c r="H487" s="21">
        <f t="shared" ref="H487:J488" si="54">H488</f>
        <v>750</v>
      </c>
      <c r="I487" s="21">
        <f t="shared" si="54"/>
        <v>750</v>
      </c>
      <c r="J487" s="21">
        <f t="shared" si="54"/>
        <v>750</v>
      </c>
    </row>
    <row r="488" spans="2:10" s="22" customFormat="1">
      <c r="B488" s="90" t="s">
        <v>14</v>
      </c>
      <c r="C488" s="20" t="s">
        <v>538</v>
      </c>
      <c r="D488" s="20" t="s">
        <v>15</v>
      </c>
      <c r="E488" s="20"/>
      <c r="F488" s="27"/>
      <c r="G488" s="20"/>
      <c r="H488" s="21">
        <f t="shared" si="54"/>
        <v>750</v>
      </c>
      <c r="I488" s="21">
        <f t="shared" si="54"/>
        <v>750</v>
      </c>
      <c r="J488" s="21">
        <f t="shared" si="54"/>
        <v>750</v>
      </c>
    </row>
    <row r="489" spans="2:10" s="22" customFormat="1" ht="38.25" customHeight="1">
      <c r="B489" s="128" t="s">
        <v>539</v>
      </c>
      <c r="C489" s="20" t="s">
        <v>538</v>
      </c>
      <c r="D489" s="20" t="s">
        <v>15</v>
      </c>
      <c r="E489" s="20" t="s">
        <v>193</v>
      </c>
      <c r="F489" s="27"/>
      <c r="G489" s="27"/>
      <c r="H489" s="21">
        <f>H490+H496</f>
        <v>750</v>
      </c>
      <c r="I489" s="21">
        <f>I490+I496</f>
        <v>750</v>
      </c>
      <c r="J489" s="21">
        <f>J490+J496</f>
        <v>750</v>
      </c>
    </row>
    <row r="490" spans="2:10" s="22" customFormat="1" ht="24" customHeight="1">
      <c r="B490" s="54" t="s">
        <v>540</v>
      </c>
      <c r="C490" s="27" t="s">
        <v>538</v>
      </c>
      <c r="D490" s="27" t="s">
        <v>15</v>
      </c>
      <c r="E490" s="27" t="s">
        <v>193</v>
      </c>
      <c r="F490" s="30" t="s">
        <v>541</v>
      </c>
      <c r="G490" s="16"/>
      <c r="H490" s="25">
        <f>H491</f>
        <v>750</v>
      </c>
      <c r="I490" s="25">
        <f>I491</f>
        <v>750</v>
      </c>
      <c r="J490" s="25">
        <f>J491</f>
        <v>750</v>
      </c>
    </row>
    <row r="491" spans="2:10" s="22" customFormat="1">
      <c r="B491" s="26" t="s">
        <v>41</v>
      </c>
      <c r="C491" s="27" t="s">
        <v>538</v>
      </c>
      <c r="D491" s="27" t="s">
        <v>15</v>
      </c>
      <c r="E491" s="27" t="s">
        <v>193</v>
      </c>
      <c r="F491" s="30" t="s">
        <v>542</v>
      </c>
      <c r="G491" s="16"/>
      <c r="H491" s="25">
        <f>H492+H493+H495+H494</f>
        <v>750</v>
      </c>
      <c r="I491" s="25">
        <f>I492+I493+I495+I494</f>
        <v>750</v>
      </c>
      <c r="J491" s="25">
        <f>J492+J493+J495+J494</f>
        <v>750</v>
      </c>
    </row>
    <row r="492" spans="2:10" s="22" customFormat="1" ht="25.5" hidden="1">
      <c r="B492" s="129" t="s">
        <v>26</v>
      </c>
      <c r="C492" s="27" t="s">
        <v>538</v>
      </c>
      <c r="D492" s="27" t="s">
        <v>15</v>
      </c>
      <c r="E492" s="27" t="s">
        <v>193</v>
      </c>
      <c r="F492" s="30" t="s">
        <v>542</v>
      </c>
      <c r="G492" s="16">
        <v>120</v>
      </c>
      <c r="H492" s="25"/>
      <c r="I492" s="25"/>
      <c r="J492" s="25"/>
    </row>
    <row r="493" spans="2:10" s="22" customFormat="1" ht="25.5">
      <c r="B493" s="26" t="s">
        <v>39</v>
      </c>
      <c r="C493" s="27" t="s">
        <v>538</v>
      </c>
      <c r="D493" s="27" t="s">
        <v>15</v>
      </c>
      <c r="E493" s="27" t="s">
        <v>193</v>
      </c>
      <c r="F493" s="30" t="s">
        <v>542</v>
      </c>
      <c r="G493" s="16">
        <v>240</v>
      </c>
      <c r="H493" s="25">
        <v>750</v>
      </c>
      <c r="I493" s="25">
        <v>750</v>
      </c>
      <c r="J493" s="25">
        <v>750</v>
      </c>
    </row>
    <row r="494" spans="2:10" s="22" customFormat="1" ht="27" hidden="1" customHeight="1">
      <c r="B494" s="44" t="s">
        <v>47</v>
      </c>
      <c r="C494" s="27" t="s">
        <v>538</v>
      </c>
      <c r="D494" s="27" t="s">
        <v>15</v>
      </c>
      <c r="E494" s="27" t="s">
        <v>193</v>
      </c>
      <c r="F494" s="30" t="s">
        <v>542</v>
      </c>
      <c r="G494" s="16">
        <v>320</v>
      </c>
      <c r="H494" s="25"/>
      <c r="I494" s="25"/>
      <c r="J494" s="25"/>
    </row>
    <row r="495" spans="2:10" s="22" customFormat="1" hidden="1">
      <c r="B495" s="129" t="s">
        <v>43</v>
      </c>
      <c r="C495" s="27" t="s">
        <v>538</v>
      </c>
      <c r="D495" s="27" t="s">
        <v>15</v>
      </c>
      <c r="E495" s="27" t="s">
        <v>193</v>
      </c>
      <c r="F495" s="30" t="s">
        <v>542</v>
      </c>
      <c r="G495" s="16">
        <v>850</v>
      </c>
      <c r="H495" s="25"/>
      <c r="I495" s="25"/>
      <c r="J495" s="25"/>
    </row>
    <row r="496" spans="2:10" s="22" customFormat="1" ht="25.5" hidden="1">
      <c r="B496" s="31" t="s">
        <v>18</v>
      </c>
      <c r="C496" s="27" t="s">
        <v>538</v>
      </c>
      <c r="D496" s="27" t="s">
        <v>15</v>
      </c>
      <c r="E496" s="27" t="s">
        <v>193</v>
      </c>
      <c r="F496" s="30" t="s">
        <v>19</v>
      </c>
      <c r="G496" s="16"/>
      <c r="H496" s="25">
        <f t="shared" ref="H496:J499" si="55">H497</f>
        <v>0</v>
      </c>
      <c r="I496" s="25">
        <f t="shared" si="55"/>
        <v>0</v>
      </c>
      <c r="J496" s="25">
        <f t="shared" si="55"/>
        <v>0</v>
      </c>
    </row>
    <row r="497" spans="2:10" s="22" customFormat="1" ht="38.25" hidden="1">
      <c r="B497" s="31" t="s">
        <v>20</v>
      </c>
      <c r="C497" s="27" t="s">
        <v>538</v>
      </c>
      <c r="D497" s="27" t="s">
        <v>15</v>
      </c>
      <c r="E497" s="27" t="s">
        <v>193</v>
      </c>
      <c r="F497" s="30" t="s">
        <v>21</v>
      </c>
      <c r="G497" s="16"/>
      <c r="H497" s="25">
        <f t="shared" si="55"/>
        <v>0</v>
      </c>
      <c r="I497" s="25">
        <f t="shared" si="55"/>
        <v>0</v>
      </c>
      <c r="J497" s="25">
        <f t="shared" si="55"/>
        <v>0</v>
      </c>
    </row>
    <row r="498" spans="2:10" s="22" customFormat="1" ht="25.5" hidden="1">
      <c r="B498" s="38" t="s">
        <v>543</v>
      </c>
      <c r="C498" s="27" t="s">
        <v>538</v>
      </c>
      <c r="D498" s="27" t="s">
        <v>15</v>
      </c>
      <c r="E498" s="27" t="s">
        <v>193</v>
      </c>
      <c r="F498" s="30" t="s">
        <v>52</v>
      </c>
      <c r="G498" s="16"/>
      <c r="H498" s="25">
        <f t="shared" si="55"/>
        <v>0</v>
      </c>
      <c r="I498" s="25">
        <f t="shared" si="55"/>
        <v>0</v>
      </c>
      <c r="J498" s="25">
        <f t="shared" si="55"/>
        <v>0</v>
      </c>
    </row>
    <row r="499" spans="2:10" s="22" customFormat="1" ht="114.75" hidden="1">
      <c r="B499" s="45" t="s">
        <v>53</v>
      </c>
      <c r="C499" s="27" t="s">
        <v>538</v>
      </c>
      <c r="D499" s="27" t="s">
        <v>15</v>
      </c>
      <c r="E499" s="27" t="s">
        <v>193</v>
      </c>
      <c r="F499" s="30" t="s">
        <v>54</v>
      </c>
      <c r="G499" s="16"/>
      <c r="H499" s="25">
        <f t="shared" si="55"/>
        <v>0</v>
      </c>
      <c r="I499" s="25">
        <f t="shared" si="55"/>
        <v>0</v>
      </c>
      <c r="J499" s="25">
        <f t="shared" si="55"/>
        <v>0</v>
      </c>
    </row>
    <row r="500" spans="2:10" s="22" customFormat="1" ht="25.5" hidden="1">
      <c r="B500" s="45" t="s">
        <v>26</v>
      </c>
      <c r="C500" s="27" t="s">
        <v>538</v>
      </c>
      <c r="D500" s="27" t="s">
        <v>15</v>
      </c>
      <c r="E500" s="27" t="s">
        <v>193</v>
      </c>
      <c r="F500" s="30" t="s">
        <v>54</v>
      </c>
      <c r="G500" s="16">
        <v>120</v>
      </c>
      <c r="H500" s="25"/>
      <c r="I500" s="25"/>
      <c r="J500" s="25"/>
    </row>
    <row r="501" spans="2:10" s="72" customFormat="1" ht="15" customHeight="1">
      <c r="B501" s="19" t="s">
        <v>544</v>
      </c>
      <c r="C501" s="20" t="s">
        <v>545</v>
      </c>
      <c r="D501" s="20"/>
      <c r="E501" s="20"/>
      <c r="F501" s="53"/>
      <c r="G501" s="130"/>
      <c r="H501" s="21">
        <f t="shared" ref="H501:J503" si="56">H502</f>
        <v>1115.2</v>
      </c>
      <c r="I501" s="21">
        <f t="shared" si="56"/>
        <v>1115.2</v>
      </c>
      <c r="J501" s="21">
        <f t="shared" si="56"/>
        <v>1115.2</v>
      </c>
    </row>
    <row r="502" spans="2:10" s="72" customFormat="1" ht="14.25" customHeight="1">
      <c r="B502" s="19" t="s">
        <v>14</v>
      </c>
      <c r="C502" s="20" t="s">
        <v>545</v>
      </c>
      <c r="D502" s="20" t="s">
        <v>15</v>
      </c>
      <c r="E502" s="20"/>
      <c r="F502" s="53"/>
      <c r="G502" s="130"/>
      <c r="H502" s="21">
        <f t="shared" si="56"/>
        <v>1115.2</v>
      </c>
      <c r="I502" s="21">
        <f t="shared" si="56"/>
        <v>1115.2</v>
      </c>
      <c r="J502" s="21">
        <f t="shared" si="56"/>
        <v>1115.2</v>
      </c>
    </row>
    <row r="503" spans="2:10" s="72" customFormat="1" ht="26.25" customHeight="1">
      <c r="B503" s="19" t="s">
        <v>546</v>
      </c>
      <c r="C503" s="20" t="s">
        <v>545</v>
      </c>
      <c r="D503" s="20" t="s">
        <v>15</v>
      </c>
      <c r="E503" s="20" t="s">
        <v>399</v>
      </c>
      <c r="F503" s="53"/>
      <c r="G503" s="130"/>
      <c r="H503" s="21">
        <f>H504</f>
        <v>1115.2</v>
      </c>
      <c r="I503" s="21">
        <f t="shared" si="56"/>
        <v>1115.2</v>
      </c>
      <c r="J503" s="21">
        <f t="shared" si="56"/>
        <v>1115.2</v>
      </c>
    </row>
    <row r="504" spans="2:10" s="22" customFormat="1" ht="16.5" customHeight="1">
      <c r="B504" s="54" t="s">
        <v>547</v>
      </c>
      <c r="C504" s="27" t="s">
        <v>545</v>
      </c>
      <c r="D504" s="27" t="s">
        <v>15</v>
      </c>
      <c r="E504" s="27" t="s">
        <v>399</v>
      </c>
      <c r="F504" s="30" t="s">
        <v>548</v>
      </c>
      <c r="G504" s="30"/>
      <c r="H504" s="25">
        <f>H505</f>
        <v>1115.2</v>
      </c>
      <c r="I504" s="25">
        <f>I505</f>
        <v>1115.2</v>
      </c>
      <c r="J504" s="25">
        <f>J505</f>
        <v>1115.2</v>
      </c>
    </row>
    <row r="505" spans="2:10" s="22" customFormat="1" ht="17.25" customHeight="1">
      <c r="B505" s="131" t="s">
        <v>549</v>
      </c>
      <c r="C505" s="27" t="s">
        <v>545</v>
      </c>
      <c r="D505" s="27" t="s">
        <v>15</v>
      </c>
      <c r="E505" s="27" t="s">
        <v>399</v>
      </c>
      <c r="F505" s="30" t="s">
        <v>550</v>
      </c>
      <c r="G505" s="30"/>
      <c r="H505" s="25">
        <f>H506+H507+H508</f>
        <v>1115.2</v>
      </c>
      <c r="I505" s="25">
        <f>I506+I507+I508</f>
        <v>1115.2</v>
      </c>
      <c r="J505" s="25">
        <f>J506+J507+J508</f>
        <v>1115.2</v>
      </c>
    </row>
    <row r="506" spans="2:10" s="22" customFormat="1" ht="26.25" customHeight="1">
      <c r="B506" s="26" t="s">
        <v>26</v>
      </c>
      <c r="C506" s="27" t="s">
        <v>545</v>
      </c>
      <c r="D506" s="27" t="s">
        <v>15</v>
      </c>
      <c r="E506" s="27" t="s">
        <v>399</v>
      </c>
      <c r="F506" s="30" t="s">
        <v>550</v>
      </c>
      <c r="G506" s="30" t="s">
        <v>27</v>
      </c>
      <c r="H506" s="42">
        <f>862.9+8</f>
        <v>870.9</v>
      </c>
      <c r="I506" s="42">
        <f>862.9+8</f>
        <v>870.9</v>
      </c>
      <c r="J506" s="42">
        <f>862.9+8</f>
        <v>870.9</v>
      </c>
    </row>
    <row r="507" spans="2:10" s="22" customFormat="1" ht="26.25" customHeight="1">
      <c r="B507" s="26" t="s">
        <v>39</v>
      </c>
      <c r="C507" s="27" t="s">
        <v>545</v>
      </c>
      <c r="D507" s="27" t="s">
        <v>15</v>
      </c>
      <c r="E507" s="27" t="s">
        <v>399</v>
      </c>
      <c r="F507" s="30" t="s">
        <v>550</v>
      </c>
      <c r="G507" s="30" t="s">
        <v>40</v>
      </c>
      <c r="H507" s="42">
        <v>244.3</v>
      </c>
      <c r="I507" s="42">
        <v>244.3</v>
      </c>
      <c r="J507" s="42">
        <v>244.3</v>
      </c>
    </row>
    <row r="508" spans="2:10" s="22" customFormat="1" ht="17.25" hidden="1" customHeight="1">
      <c r="B508" s="26" t="s">
        <v>43</v>
      </c>
      <c r="C508" s="27" t="s">
        <v>545</v>
      </c>
      <c r="D508" s="27" t="s">
        <v>15</v>
      </c>
      <c r="E508" s="27" t="s">
        <v>399</v>
      </c>
      <c r="F508" s="30" t="s">
        <v>550</v>
      </c>
      <c r="G508" s="30" t="s">
        <v>44</v>
      </c>
      <c r="H508" s="42"/>
      <c r="I508" s="42"/>
      <c r="J508" s="42"/>
    </row>
    <row r="509" spans="2:10" s="72" customFormat="1" ht="25.5" customHeight="1">
      <c r="B509" s="19" t="s">
        <v>551</v>
      </c>
      <c r="C509" s="20" t="s">
        <v>552</v>
      </c>
      <c r="D509" s="20"/>
      <c r="E509" s="20"/>
      <c r="F509" s="20"/>
      <c r="G509" s="20"/>
      <c r="H509" s="21">
        <f>H510+H540</f>
        <v>24190.6</v>
      </c>
      <c r="I509" s="21">
        <f>I510+I540</f>
        <v>24203.599999999999</v>
      </c>
      <c r="J509" s="21">
        <f>J510+J540</f>
        <v>24203.599999999999</v>
      </c>
    </row>
    <row r="510" spans="2:10" s="72" customFormat="1">
      <c r="B510" s="19" t="s">
        <v>14</v>
      </c>
      <c r="C510" s="20" t="s">
        <v>552</v>
      </c>
      <c r="D510" s="20" t="s">
        <v>15</v>
      </c>
      <c r="E510" s="20"/>
      <c r="F510" s="20"/>
      <c r="G510" s="20"/>
      <c r="H510" s="21">
        <f>H511+H528</f>
        <v>24050.6</v>
      </c>
      <c r="I510" s="21">
        <f>I511+I528</f>
        <v>24163.599999999999</v>
      </c>
      <c r="J510" s="21">
        <f>J511+J528</f>
        <v>24163.599999999999</v>
      </c>
    </row>
    <row r="511" spans="2:10" s="72" customFormat="1" ht="24" customHeight="1">
      <c r="B511" s="19" t="s">
        <v>546</v>
      </c>
      <c r="C511" s="20" t="s">
        <v>552</v>
      </c>
      <c r="D511" s="20" t="s">
        <v>15</v>
      </c>
      <c r="E511" s="20" t="s">
        <v>399</v>
      </c>
      <c r="F511" s="20"/>
      <c r="G511" s="20"/>
      <c r="H511" s="21">
        <f>H512+H520+H515</f>
        <v>9329.9999999999982</v>
      </c>
      <c r="I511" s="21">
        <f>I512+I520+I515</f>
        <v>9369.9999999999982</v>
      </c>
      <c r="J511" s="21">
        <f>J512+J520+J515</f>
        <v>9369.9999999999982</v>
      </c>
    </row>
    <row r="512" spans="2:10" s="22" customFormat="1" ht="19.5" hidden="1" customHeight="1">
      <c r="B512" s="38" t="s">
        <v>81</v>
      </c>
      <c r="C512" s="27" t="s">
        <v>552</v>
      </c>
      <c r="D512" s="27" t="s">
        <v>15</v>
      </c>
      <c r="E512" s="27" t="s">
        <v>399</v>
      </c>
      <c r="F512" s="27" t="s">
        <v>82</v>
      </c>
      <c r="G512" s="27"/>
      <c r="H512" s="25">
        <f t="shared" ref="H512:J513" si="57">H513</f>
        <v>0</v>
      </c>
      <c r="I512" s="25">
        <f t="shared" si="57"/>
        <v>0</v>
      </c>
      <c r="J512" s="25">
        <f t="shared" si="57"/>
        <v>0</v>
      </c>
    </row>
    <row r="513" spans="2:11" s="22" customFormat="1" ht="66" hidden="1" customHeight="1">
      <c r="B513" s="26" t="s">
        <v>553</v>
      </c>
      <c r="C513" s="27" t="s">
        <v>552</v>
      </c>
      <c r="D513" s="27" t="s">
        <v>15</v>
      </c>
      <c r="E513" s="27" t="s">
        <v>399</v>
      </c>
      <c r="F513" s="27" t="s">
        <v>554</v>
      </c>
      <c r="G513" s="27"/>
      <c r="H513" s="25">
        <f t="shared" si="57"/>
        <v>0</v>
      </c>
      <c r="I513" s="25">
        <f t="shared" si="57"/>
        <v>0</v>
      </c>
      <c r="J513" s="25">
        <f t="shared" si="57"/>
        <v>0</v>
      </c>
    </row>
    <row r="514" spans="2:11" s="22" customFormat="1" ht="25.5" hidden="1" customHeight="1">
      <c r="B514" s="26" t="s">
        <v>26</v>
      </c>
      <c r="C514" s="27" t="s">
        <v>552</v>
      </c>
      <c r="D514" s="27" t="s">
        <v>15</v>
      </c>
      <c r="E514" s="27" t="s">
        <v>399</v>
      </c>
      <c r="F514" s="27" t="s">
        <v>554</v>
      </c>
      <c r="G514" s="27" t="s">
        <v>40</v>
      </c>
      <c r="H514" s="25"/>
      <c r="I514" s="25"/>
      <c r="J514" s="25"/>
    </row>
    <row r="515" spans="2:11" s="60" customFormat="1" ht="25.5" hidden="1" customHeight="1">
      <c r="B515" s="31" t="s">
        <v>18</v>
      </c>
      <c r="C515" s="27" t="s">
        <v>552</v>
      </c>
      <c r="D515" s="27" t="s">
        <v>15</v>
      </c>
      <c r="E515" s="27" t="s">
        <v>399</v>
      </c>
      <c r="F515" s="29" t="s">
        <v>19</v>
      </c>
      <c r="G515" s="30"/>
      <c r="H515" s="25">
        <f t="shared" ref="H515:J518" si="58">H516</f>
        <v>0</v>
      </c>
      <c r="I515" s="25">
        <f t="shared" si="58"/>
        <v>0</v>
      </c>
      <c r="J515" s="25">
        <f t="shared" si="58"/>
        <v>0</v>
      </c>
    </row>
    <row r="516" spans="2:11" s="60" customFormat="1" ht="43.5" hidden="1" customHeight="1">
      <c r="B516" s="31" t="s">
        <v>20</v>
      </c>
      <c r="C516" s="27" t="s">
        <v>552</v>
      </c>
      <c r="D516" s="27" t="s">
        <v>15</v>
      </c>
      <c r="E516" s="27" t="s">
        <v>399</v>
      </c>
      <c r="F516" s="29" t="s">
        <v>21</v>
      </c>
      <c r="G516" s="30"/>
      <c r="H516" s="25">
        <f t="shared" si="58"/>
        <v>0</v>
      </c>
      <c r="I516" s="25">
        <f t="shared" si="58"/>
        <v>0</v>
      </c>
      <c r="J516" s="25">
        <f t="shared" si="58"/>
        <v>0</v>
      </c>
    </row>
    <row r="517" spans="2:11" s="60" customFormat="1" ht="25.5" hidden="1" customHeight="1">
      <c r="B517" s="38" t="s">
        <v>51</v>
      </c>
      <c r="C517" s="27" t="s">
        <v>552</v>
      </c>
      <c r="D517" s="27" t="s">
        <v>15</v>
      </c>
      <c r="E517" s="27" t="s">
        <v>399</v>
      </c>
      <c r="F517" s="29" t="s">
        <v>52</v>
      </c>
      <c r="G517" s="30"/>
      <c r="H517" s="25">
        <f t="shared" si="58"/>
        <v>0</v>
      </c>
      <c r="I517" s="25">
        <f t="shared" si="58"/>
        <v>0</v>
      </c>
      <c r="J517" s="25">
        <f t="shared" si="58"/>
        <v>0</v>
      </c>
    </row>
    <row r="518" spans="2:11" s="60" customFormat="1" ht="113.25" hidden="1" customHeight="1">
      <c r="B518" s="45" t="s">
        <v>53</v>
      </c>
      <c r="C518" s="27" t="s">
        <v>552</v>
      </c>
      <c r="D518" s="27" t="s">
        <v>15</v>
      </c>
      <c r="E518" s="27" t="s">
        <v>399</v>
      </c>
      <c r="F518" s="29" t="s">
        <v>54</v>
      </c>
      <c r="G518" s="30"/>
      <c r="H518" s="25">
        <f t="shared" si="58"/>
        <v>0</v>
      </c>
      <c r="I518" s="25">
        <f t="shared" si="58"/>
        <v>0</v>
      </c>
      <c r="J518" s="25">
        <f t="shared" si="58"/>
        <v>0</v>
      </c>
    </row>
    <row r="519" spans="2:11" s="60" customFormat="1" ht="25.5" hidden="1" customHeight="1">
      <c r="B519" s="45" t="s">
        <v>26</v>
      </c>
      <c r="C519" s="27" t="s">
        <v>552</v>
      </c>
      <c r="D519" s="27" t="s">
        <v>15</v>
      </c>
      <c r="E519" s="27" t="s">
        <v>399</v>
      </c>
      <c r="F519" s="29" t="s">
        <v>54</v>
      </c>
      <c r="G519" s="30" t="s">
        <v>27</v>
      </c>
      <c r="H519" s="25"/>
      <c r="I519" s="25"/>
      <c r="J519" s="25"/>
    </row>
    <row r="520" spans="2:11" s="60" customFormat="1" ht="25.5" customHeight="1">
      <c r="B520" s="38" t="s">
        <v>555</v>
      </c>
      <c r="C520" s="27" t="s">
        <v>552</v>
      </c>
      <c r="D520" s="27" t="s">
        <v>15</v>
      </c>
      <c r="E520" s="27" t="s">
        <v>399</v>
      </c>
      <c r="F520" s="29" t="s">
        <v>556</v>
      </c>
      <c r="G520" s="27"/>
      <c r="H520" s="25">
        <f>H521</f>
        <v>9329.9999999999982</v>
      </c>
      <c r="I520" s="25">
        <f>I521</f>
        <v>9369.9999999999982</v>
      </c>
      <c r="J520" s="25">
        <f>J521</f>
        <v>9369.9999999999982</v>
      </c>
    </row>
    <row r="521" spans="2:11" s="60" customFormat="1" ht="65.25" customHeight="1">
      <c r="B521" s="89" t="s">
        <v>557</v>
      </c>
      <c r="C521" s="27" t="s">
        <v>552</v>
      </c>
      <c r="D521" s="27" t="s">
        <v>15</v>
      </c>
      <c r="E521" s="27" t="s">
        <v>399</v>
      </c>
      <c r="F521" s="29" t="s">
        <v>558</v>
      </c>
      <c r="G521" s="27"/>
      <c r="H521" s="25">
        <f>H522+H526</f>
        <v>9329.9999999999982</v>
      </c>
      <c r="I521" s="25">
        <f>I522+I526</f>
        <v>9369.9999999999982</v>
      </c>
      <c r="J521" s="25">
        <f>J522+J526</f>
        <v>9369.9999999999982</v>
      </c>
    </row>
    <row r="522" spans="2:11" s="60" customFormat="1" ht="18" customHeight="1">
      <c r="B522" s="106" t="s">
        <v>41</v>
      </c>
      <c r="C522" s="27" t="s">
        <v>552</v>
      </c>
      <c r="D522" s="27" t="s">
        <v>15</v>
      </c>
      <c r="E522" s="27" t="s">
        <v>399</v>
      </c>
      <c r="F522" s="29" t="s">
        <v>559</v>
      </c>
      <c r="G522" s="27"/>
      <c r="H522" s="25">
        <f>H523+H524+H525</f>
        <v>9304.9999999999982</v>
      </c>
      <c r="I522" s="25">
        <f>I523+I524+I525</f>
        <v>9344.9999999999982</v>
      </c>
      <c r="J522" s="25">
        <f>J523+J524+J525</f>
        <v>9344.9999999999982</v>
      </c>
    </row>
    <row r="523" spans="2:11" s="60" customFormat="1" ht="25.5" customHeight="1">
      <c r="B523" s="38" t="s">
        <v>26</v>
      </c>
      <c r="C523" s="27" t="s">
        <v>552</v>
      </c>
      <c r="D523" s="27" t="s">
        <v>15</v>
      </c>
      <c r="E523" s="27" t="s">
        <v>399</v>
      </c>
      <c r="F523" s="29" t="s">
        <v>559</v>
      </c>
      <c r="G523" s="27" t="s">
        <v>27</v>
      </c>
      <c r="H523" s="25">
        <f>8419.3+222.8+47</f>
        <v>8689.0999999999985</v>
      </c>
      <c r="I523" s="25">
        <f>8419.3+222.8+47</f>
        <v>8689.0999999999985</v>
      </c>
      <c r="J523" s="25">
        <f>8419.3+222.8+47</f>
        <v>8689.0999999999985</v>
      </c>
    </row>
    <row r="524" spans="2:11" s="60" customFormat="1" ht="25.5" customHeight="1">
      <c r="B524" s="38" t="s">
        <v>39</v>
      </c>
      <c r="C524" s="27" t="s">
        <v>552</v>
      </c>
      <c r="D524" s="27" t="s">
        <v>15</v>
      </c>
      <c r="E524" s="27" t="s">
        <v>399</v>
      </c>
      <c r="F524" s="29" t="s">
        <v>559</v>
      </c>
      <c r="G524" s="27" t="s">
        <v>40</v>
      </c>
      <c r="H524" s="25">
        <f>657.9-43</f>
        <v>614.9</v>
      </c>
      <c r="I524" s="25">
        <v>655.9</v>
      </c>
      <c r="J524" s="25">
        <v>655.9</v>
      </c>
      <c r="K524"/>
    </row>
    <row r="525" spans="2:11" s="60" customFormat="1" ht="16.5" customHeight="1">
      <c r="B525" s="38" t="s">
        <v>43</v>
      </c>
      <c r="C525" s="27" t="s">
        <v>552</v>
      </c>
      <c r="D525" s="27" t="s">
        <v>15</v>
      </c>
      <c r="E525" s="27" t="s">
        <v>399</v>
      </c>
      <c r="F525" s="29" t="s">
        <v>559</v>
      </c>
      <c r="G525" s="27" t="s">
        <v>44</v>
      </c>
      <c r="H525" s="25">
        <v>1</v>
      </c>
      <c r="I525" s="25">
        <v>0</v>
      </c>
      <c r="J525" s="25">
        <v>0</v>
      </c>
    </row>
    <row r="526" spans="2:11" s="60" customFormat="1" ht="25.5" customHeight="1">
      <c r="B526" s="38" t="s">
        <v>560</v>
      </c>
      <c r="C526" s="27" t="s">
        <v>552</v>
      </c>
      <c r="D526" s="27" t="s">
        <v>15</v>
      </c>
      <c r="E526" s="27" t="s">
        <v>399</v>
      </c>
      <c r="F526" s="29" t="s">
        <v>561</v>
      </c>
      <c r="G526" s="27"/>
      <c r="H526" s="25">
        <f>H527</f>
        <v>25</v>
      </c>
      <c r="I526" s="25">
        <f>I527</f>
        <v>25</v>
      </c>
      <c r="J526" s="25">
        <f>J527</f>
        <v>25</v>
      </c>
    </row>
    <row r="527" spans="2:11" s="60" customFormat="1" ht="25.5" customHeight="1">
      <c r="B527" s="38" t="s">
        <v>39</v>
      </c>
      <c r="C527" s="27" t="s">
        <v>552</v>
      </c>
      <c r="D527" s="27" t="s">
        <v>15</v>
      </c>
      <c r="E527" s="27" t="s">
        <v>399</v>
      </c>
      <c r="F527" s="29" t="s">
        <v>561</v>
      </c>
      <c r="G527" s="27" t="s">
        <v>40</v>
      </c>
      <c r="H527" s="25">
        <v>25</v>
      </c>
      <c r="I527" s="25">
        <v>25</v>
      </c>
      <c r="J527" s="25">
        <v>25</v>
      </c>
    </row>
    <row r="528" spans="2:11" s="72" customFormat="1" ht="15.75" customHeight="1">
      <c r="B528" s="104" t="s">
        <v>92</v>
      </c>
      <c r="C528" s="20" t="s">
        <v>552</v>
      </c>
      <c r="D528" s="20" t="s">
        <v>15</v>
      </c>
      <c r="E528" s="20" t="s">
        <v>93</v>
      </c>
      <c r="F528" s="88"/>
      <c r="G528" s="20"/>
      <c r="H528" s="21">
        <f>H529</f>
        <v>14720.6</v>
      </c>
      <c r="I528" s="21">
        <f>I529</f>
        <v>14793.6</v>
      </c>
      <c r="J528" s="21">
        <f>J529</f>
        <v>14793.6</v>
      </c>
    </row>
    <row r="529" spans="2:20" s="60" customFormat="1" ht="24.75" customHeight="1">
      <c r="B529" s="38" t="s">
        <v>555</v>
      </c>
      <c r="C529" s="27" t="s">
        <v>552</v>
      </c>
      <c r="D529" s="27" t="s">
        <v>15</v>
      </c>
      <c r="E529" s="27" t="s">
        <v>93</v>
      </c>
      <c r="F529" s="29" t="s">
        <v>556</v>
      </c>
      <c r="G529" s="30"/>
      <c r="H529" s="25">
        <f>H530+H533</f>
        <v>14720.6</v>
      </c>
      <c r="I529" s="25">
        <f>I530+I533</f>
        <v>14793.6</v>
      </c>
      <c r="J529" s="25">
        <f>J530+J533</f>
        <v>14793.6</v>
      </c>
      <c r="R529" s="132"/>
      <c r="S529" s="132"/>
      <c r="T529" s="132"/>
    </row>
    <row r="530" spans="2:20" s="60" customFormat="1" ht="64.5" customHeight="1">
      <c r="B530" s="89" t="s">
        <v>557</v>
      </c>
      <c r="C530" s="27" t="s">
        <v>552</v>
      </c>
      <c r="D530" s="27" t="s">
        <v>15</v>
      </c>
      <c r="E530" s="27" t="s">
        <v>93</v>
      </c>
      <c r="F530" s="29" t="s">
        <v>558</v>
      </c>
      <c r="G530" s="30"/>
      <c r="H530" s="25">
        <f t="shared" ref="H530:J531" si="59">H531</f>
        <v>30</v>
      </c>
      <c r="I530" s="25">
        <f t="shared" si="59"/>
        <v>30</v>
      </c>
      <c r="J530" s="25">
        <f t="shared" si="59"/>
        <v>30</v>
      </c>
      <c r="R530" s="132"/>
      <c r="S530" s="132"/>
      <c r="T530" s="132"/>
    </row>
    <row r="531" spans="2:20" s="60" customFormat="1" ht="16.5" customHeight="1">
      <c r="B531" s="38" t="s">
        <v>562</v>
      </c>
      <c r="C531" s="27" t="s">
        <v>552</v>
      </c>
      <c r="D531" s="27" t="s">
        <v>15</v>
      </c>
      <c r="E531" s="27" t="s">
        <v>93</v>
      </c>
      <c r="F531" s="29" t="s">
        <v>563</v>
      </c>
      <c r="G531" s="30"/>
      <c r="H531" s="25">
        <f t="shared" si="59"/>
        <v>30</v>
      </c>
      <c r="I531" s="25">
        <f t="shared" si="59"/>
        <v>30</v>
      </c>
      <c r="J531" s="25">
        <f t="shared" si="59"/>
        <v>30</v>
      </c>
      <c r="R531" s="132"/>
      <c r="S531" s="132"/>
      <c r="T531" s="132"/>
    </row>
    <row r="532" spans="2:20" s="60" customFormat="1" ht="16.5" customHeight="1">
      <c r="B532" s="38" t="s">
        <v>43</v>
      </c>
      <c r="C532" s="27" t="s">
        <v>552</v>
      </c>
      <c r="D532" s="27" t="s">
        <v>15</v>
      </c>
      <c r="E532" s="27" t="s">
        <v>93</v>
      </c>
      <c r="F532" s="29" t="s">
        <v>563</v>
      </c>
      <c r="G532" s="30" t="s">
        <v>44</v>
      </c>
      <c r="H532" s="25">
        <v>30</v>
      </c>
      <c r="I532" s="25">
        <v>30</v>
      </c>
      <c r="J532" s="25">
        <v>30</v>
      </c>
      <c r="R532" s="132"/>
      <c r="S532" s="132"/>
      <c r="T532" s="132"/>
    </row>
    <row r="533" spans="2:20" s="60" customFormat="1" ht="37.5" customHeight="1">
      <c r="B533" s="38" t="s">
        <v>564</v>
      </c>
      <c r="C533" s="27" t="s">
        <v>552</v>
      </c>
      <c r="D533" s="27" t="s">
        <v>15</v>
      </c>
      <c r="E533" s="27" t="s">
        <v>93</v>
      </c>
      <c r="F533" s="29" t="s">
        <v>565</v>
      </c>
      <c r="G533" s="30"/>
      <c r="H533" s="25">
        <f>H534+H538</f>
        <v>14690.6</v>
      </c>
      <c r="I533" s="25">
        <f>I534+I538</f>
        <v>14763.6</v>
      </c>
      <c r="J533" s="25">
        <f>J534+J538</f>
        <v>14763.6</v>
      </c>
      <c r="R533" s="132"/>
      <c r="S533" s="132"/>
      <c r="T533" s="132"/>
    </row>
    <row r="534" spans="2:20" s="60" customFormat="1" ht="26.25" customHeight="1">
      <c r="B534" s="38" t="s">
        <v>156</v>
      </c>
      <c r="C534" s="27" t="s">
        <v>552</v>
      </c>
      <c r="D534" s="27" t="s">
        <v>15</v>
      </c>
      <c r="E534" s="27" t="s">
        <v>93</v>
      </c>
      <c r="F534" s="29" t="s">
        <v>566</v>
      </c>
      <c r="G534" s="30"/>
      <c r="H534" s="25">
        <f>H535+H536+H537</f>
        <v>1051</v>
      </c>
      <c r="I534" s="25">
        <f>I535+I536+I537</f>
        <v>1124</v>
      </c>
      <c r="J534" s="25">
        <f>J535+J536+J537</f>
        <v>1124</v>
      </c>
    </row>
    <row r="535" spans="2:20" s="60" customFormat="1" ht="19.5" hidden="1" customHeight="1">
      <c r="B535" s="133" t="s">
        <v>158</v>
      </c>
      <c r="C535" s="27" t="s">
        <v>552</v>
      </c>
      <c r="D535" s="27" t="s">
        <v>15</v>
      </c>
      <c r="E535" s="27" t="s">
        <v>93</v>
      </c>
      <c r="F535" s="29" t="s">
        <v>566</v>
      </c>
      <c r="G535" s="30" t="s">
        <v>159</v>
      </c>
      <c r="H535" s="25">
        <v>0</v>
      </c>
      <c r="I535" s="25">
        <v>0</v>
      </c>
      <c r="J535" s="25">
        <v>0</v>
      </c>
    </row>
    <row r="536" spans="2:20" s="60" customFormat="1" ht="27.75" customHeight="1">
      <c r="B536" s="133" t="s">
        <v>39</v>
      </c>
      <c r="C536" s="27" t="s">
        <v>552</v>
      </c>
      <c r="D536" s="27" t="s">
        <v>15</v>
      </c>
      <c r="E536" s="27" t="s">
        <v>93</v>
      </c>
      <c r="F536" s="29" t="s">
        <v>566</v>
      </c>
      <c r="G536" s="30" t="s">
        <v>40</v>
      </c>
      <c r="H536" s="25">
        <f>1119-73</f>
        <v>1046</v>
      </c>
      <c r="I536" s="25">
        <v>1119</v>
      </c>
      <c r="J536" s="25">
        <v>1119</v>
      </c>
      <c r="K536"/>
    </row>
    <row r="537" spans="2:20" s="60" customFormat="1" ht="14.25" customHeight="1">
      <c r="B537" s="38" t="s">
        <v>43</v>
      </c>
      <c r="C537" s="27" t="s">
        <v>552</v>
      </c>
      <c r="D537" s="27" t="s">
        <v>15</v>
      </c>
      <c r="E537" s="27" t="s">
        <v>93</v>
      </c>
      <c r="F537" s="29" t="s">
        <v>566</v>
      </c>
      <c r="G537" s="30" t="s">
        <v>44</v>
      </c>
      <c r="H537" s="25">
        <v>5</v>
      </c>
      <c r="I537" s="25">
        <v>5</v>
      </c>
      <c r="J537" s="25">
        <v>5</v>
      </c>
    </row>
    <row r="538" spans="2:20" s="60" customFormat="1" ht="26.25" customHeight="1">
      <c r="B538" s="43" t="s">
        <v>45</v>
      </c>
      <c r="C538" s="27" t="s">
        <v>552</v>
      </c>
      <c r="D538" s="27" t="s">
        <v>15</v>
      </c>
      <c r="E538" s="27" t="s">
        <v>93</v>
      </c>
      <c r="F538" s="29" t="s">
        <v>567</v>
      </c>
      <c r="G538" s="30"/>
      <c r="H538" s="25">
        <f>H539</f>
        <v>13639.6</v>
      </c>
      <c r="I538" s="25">
        <f>I539</f>
        <v>13639.6</v>
      </c>
      <c r="J538" s="25">
        <f>J539</f>
        <v>13639.6</v>
      </c>
    </row>
    <row r="539" spans="2:20" s="60" customFormat="1" ht="14.25" customHeight="1">
      <c r="B539" s="134" t="s">
        <v>158</v>
      </c>
      <c r="C539" s="27" t="s">
        <v>552</v>
      </c>
      <c r="D539" s="27" t="s">
        <v>15</v>
      </c>
      <c r="E539" s="27" t="s">
        <v>93</v>
      </c>
      <c r="F539" s="29" t="s">
        <v>567</v>
      </c>
      <c r="G539" s="30" t="s">
        <v>159</v>
      </c>
      <c r="H539" s="25">
        <v>13639.6</v>
      </c>
      <c r="I539" s="25">
        <v>13639.6</v>
      </c>
      <c r="J539" s="25">
        <v>13639.6</v>
      </c>
    </row>
    <row r="540" spans="2:20" s="91" customFormat="1" ht="15" customHeight="1">
      <c r="B540" s="19" t="s">
        <v>246</v>
      </c>
      <c r="C540" s="20" t="s">
        <v>552</v>
      </c>
      <c r="D540" s="20" t="s">
        <v>30</v>
      </c>
      <c r="E540" s="20"/>
      <c r="F540" s="88"/>
      <c r="G540" s="20"/>
      <c r="H540" s="21">
        <f t="shared" ref="H540:J541" si="60">H541</f>
        <v>140</v>
      </c>
      <c r="I540" s="21">
        <f t="shared" si="60"/>
        <v>40</v>
      </c>
      <c r="J540" s="21">
        <f t="shared" si="60"/>
        <v>40</v>
      </c>
    </row>
    <row r="541" spans="2:20" s="91" customFormat="1" ht="12.75" customHeight="1">
      <c r="B541" s="93" t="s">
        <v>289</v>
      </c>
      <c r="C541" s="20" t="s">
        <v>552</v>
      </c>
      <c r="D541" s="20" t="s">
        <v>30</v>
      </c>
      <c r="E541" s="20" t="s">
        <v>290</v>
      </c>
      <c r="F541" s="88"/>
      <c r="G541" s="20"/>
      <c r="H541" s="21">
        <f t="shared" si="60"/>
        <v>140</v>
      </c>
      <c r="I541" s="21">
        <f t="shared" si="60"/>
        <v>40</v>
      </c>
      <c r="J541" s="21">
        <f t="shared" si="60"/>
        <v>40</v>
      </c>
    </row>
    <row r="542" spans="2:20" s="60" customFormat="1" ht="24" customHeight="1">
      <c r="B542" s="38" t="s">
        <v>291</v>
      </c>
      <c r="C542" s="27" t="s">
        <v>552</v>
      </c>
      <c r="D542" s="27" t="s">
        <v>30</v>
      </c>
      <c r="E542" s="27" t="s">
        <v>290</v>
      </c>
      <c r="F542" s="29" t="s">
        <v>292</v>
      </c>
      <c r="G542" s="27"/>
      <c r="H542" s="25">
        <f>H543+H546+H549</f>
        <v>140</v>
      </c>
      <c r="I542" s="25">
        <f>I543+I546+I549</f>
        <v>40</v>
      </c>
      <c r="J542" s="25">
        <f>J543+J546+J549</f>
        <v>40</v>
      </c>
    </row>
    <row r="543" spans="2:20" s="60" customFormat="1" ht="36.75" customHeight="1">
      <c r="B543" s="38" t="s">
        <v>568</v>
      </c>
      <c r="C543" s="27" t="s">
        <v>552</v>
      </c>
      <c r="D543" s="27" t="s">
        <v>30</v>
      </c>
      <c r="E543" s="27" t="s">
        <v>290</v>
      </c>
      <c r="F543" s="29" t="s">
        <v>569</v>
      </c>
      <c r="G543" s="27"/>
      <c r="H543" s="25">
        <f t="shared" ref="H543:J544" si="61">H544</f>
        <v>40</v>
      </c>
      <c r="I543" s="25">
        <f t="shared" si="61"/>
        <v>40</v>
      </c>
      <c r="J543" s="25">
        <f t="shared" si="61"/>
        <v>40</v>
      </c>
    </row>
    <row r="544" spans="2:20" s="60" customFormat="1" ht="15.75" customHeight="1">
      <c r="B544" s="38" t="s">
        <v>570</v>
      </c>
      <c r="C544" s="27" t="s">
        <v>552</v>
      </c>
      <c r="D544" s="27" t="s">
        <v>30</v>
      </c>
      <c r="E544" s="27" t="s">
        <v>290</v>
      </c>
      <c r="F544" s="29" t="s">
        <v>571</v>
      </c>
      <c r="G544" s="27"/>
      <c r="H544" s="25">
        <f t="shared" si="61"/>
        <v>40</v>
      </c>
      <c r="I544" s="25">
        <f t="shared" si="61"/>
        <v>40</v>
      </c>
      <c r="J544" s="25">
        <f t="shared" si="61"/>
        <v>40</v>
      </c>
    </row>
    <row r="545" spans="2:10" s="60" customFormat="1" ht="24.75" customHeight="1">
      <c r="B545" s="38" t="s">
        <v>39</v>
      </c>
      <c r="C545" s="27" t="s">
        <v>552</v>
      </c>
      <c r="D545" s="27" t="s">
        <v>30</v>
      </c>
      <c r="E545" s="27" t="s">
        <v>290</v>
      </c>
      <c r="F545" s="29" t="s">
        <v>571</v>
      </c>
      <c r="G545" s="27" t="s">
        <v>40</v>
      </c>
      <c r="H545" s="25">
        <v>40</v>
      </c>
      <c r="I545" s="25">
        <v>40</v>
      </c>
      <c r="J545" s="25">
        <v>40</v>
      </c>
    </row>
    <row r="546" spans="2:10" s="60" customFormat="1" ht="24.75" customHeight="1">
      <c r="B546" s="38" t="s">
        <v>572</v>
      </c>
      <c r="C546" s="27" t="s">
        <v>552</v>
      </c>
      <c r="D546" s="27" t="s">
        <v>30</v>
      </c>
      <c r="E546" s="27" t="s">
        <v>290</v>
      </c>
      <c r="F546" s="29" t="s">
        <v>573</v>
      </c>
      <c r="G546" s="27"/>
      <c r="H546" s="25">
        <f t="shared" ref="H546:J547" si="62">H547</f>
        <v>100</v>
      </c>
      <c r="I546" s="25">
        <f t="shared" si="62"/>
        <v>0</v>
      </c>
      <c r="J546" s="25">
        <f t="shared" si="62"/>
        <v>0</v>
      </c>
    </row>
    <row r="547" spans="2:10" s="60" customFormat="1" ht="25.5" customHeight="1">
      <c r="B547" s="38" t="s">
        <v>574</v>
      </c>
      <c r="C547" s="27" t="s">
        <v>552</v>
      </c>
      <c r="D547" s="27" t="s">
        <v>30</v>
      </c>
      <c r="E547" s="27" t="s">
        <v>290</v>
      </c>
      <c r="F547" s="29" t="s">
        <v>575</v>
      </c>
      <c r="G547" s="27"/>
      <c r="H547" s="25">
        <f t="shared" si="62"/>
        <v>100</v>
      </c>
      <c r="I547" s="25">
        <f t="shared" si="62"/>
        <v>0</v>
      </c>
      <c r="J547" s="25">
        <f t="shared" si="62"/>
        <v>0</v>
      </c>
    </row>
    <row r="548" spans="2:10" s="60" customFormat="1" ht="25.5" customHeight="1">
      <c r="B548" s="38" t="s">
        <v>39</v>
      </c>
      <c r="C548" s="27" t="s">
        <v>552</v>
      </c>
      <c r="D548" s="27" t="s">
        <v>30</v>
      </c>
      <c r="E548" s="27" t="s">
        <v>290</v>
      </c>
      <c r="F548" s="29" t="s">
        <v>575</v>
      </c>
      <c r="G548" s="27" t="s">
        <v>40</v>
      </c>
      <c r="H548" s="25">
        <v>100</v>
      </c>
      <c r="I548" s="25">
        <v>0</v>
      </c>
      <c r="J548" s="25">
        <v>0</v>
      </c>
    </row>
    <row r="549" spans="2:10" s="60" customFormat="1" ht="26.25" hidden="1" customHeight="1">
      <c r="B549" s="38" t="s">
        <v>576</v>
      </c>
      <c r="C549" s="27" t="s">
        <v>552</v>
      </c>
      <c r="D549" s="27" t="s">
        <v>30</v>
      </c>
      <c r="E549" s="27" t="s">
        <v>290</v>
      </c>
      <c r="F549" s="29" t="s">
        <v>577</v>
      </c>
      <c r="G549" s="27"/>
      <c r="H549" s="25">
        <f t="shared" ref="H549:J550" si="63">H550</f>
        <v>0</v>
      </c>
      <c r="I549" s="25">
        <f t="shared" si="63"/>
        <v>0</v>
      </c>
      <c r="J549" s="25">
        <f t="shared" si="63"/>
        <v>0</v>
      </c>
    </row>
    <row r="550" spans="2:10" s="60" customFormat="1" ht="18" hidden="1" customHeight="1">
      <c r="B550" s="38" t="s">
        <v>578</v>
      </c>
      <c r="C550" s="27" t="s">
        <v>552</v>
      </c>
      <c r="D550" s="27" t="s">
        <v>30</v>
      </c>
      <c r="E550" s="27" t="s">
        <v>290</v>
      </c>
      <c r="F550" s="29" t="s">
        <v>579</v>
      </c>
      <c r="G550" s="27"/>
      <c r="H550" s="25">
        <f t="shared" si="63"/>
        <v>0</v>
      </c>
      <c r="I550" s="25">
        <f t="shared" si="63"/>
        <v>0</v>
      </c>
      <c r="J550" s="25">
        <f t="shared" si="63"/>
        <v>0</v>
      </c>
    </row>
    <row r="551" spans="2:10" s="60" customFormat="1" ht="38.25" hidden="1" customHeight="1">
      <c r="B551" s="38" t="s">
        <v>264</v>
      </c>
      <c r="C551" s="27" t="s">
        <v>552</v>
      </c>
      <c r="D551" s="27" t="s">
        <v>30</v>
      </c>
      <c r="E551" s="27" t="s">
        <v>290</v>
      </c>
      <c r="F551" s="29" t="s">
        <v>579</v>
      </c>
      <c r="G551" s="27" t="s">
        <v>265</v>
      </c>
      <c r="H551" s="25">
        <v>0</v>
      </c>
      <c r="I551" s="25">
        <v>0</v>
      </c>
      <c r="J551" s="25">
        <v>0</v>
      </c>
    </row>
    <row r="552" spans="2:10" s="22" customFormat="1" ht="25.5">
      <c r="B552" s="19" t="s">
        <v>580</v>
      </c>
      <c r="C552" s="20" t="s">
        <v>581</v>
      </c>
      <c r="D552" s="20"/>
      <c r="E552" s="20"/>
      <c r="F552" s="20"/>
      <c r="G552" s="20"/>
      <c r="H552" s="21">
        <f>H553+H576+H593+H599</f>
        <v>10312.1</v>
      </c>
      <c r="I552" s="21">
        <f>I553+I576+I593+I599</f>
        <v>8752.5</v>
      </c>
      <c r="J552" s="21">
        <f>J553+J576+J593+J599</f>
        <v>8752.5</v>
      </c>
    </row>
    <row r="553" spans="2:10" s="22" customFormat="1">
      <c r="B553" s="19" t="s">
        <v>14</v>
      </c>
      <c r="C553" s="20" t="s">
        <v>581</v>
      </c>
      <c r="D553" s="20" t="s">
        <v>15</v>
      </c>
      <c r="E553" s="20"/>
      <c r="F553" s="20"/>
      <c r="G553" s="20"/>
      <c r="H553" s="21">
        <f>H554</f>
        <v>3627.2</v>
      </c>
      <c r="I553" s="21">
        <f>I554</f>
        <v>2023.6</v>
      </c>
      <c r="J553" s="21">
        <f>J554</f>
        <v>2023.6</v>
      </c>
    </row>
    <row r="554" spans="2:10" s="72" customFormat="1" ht="15.75" customHeight="1">
      <c r="B554" s="19" t="s">
        <v>92</v>
      </c>
      <c r="C554" s="20" t="s">
        <v>581</v>
      </c>
      <c r="D554" s="20" t="s">
        <v>15</v>
      </c>
      <c r="E554" s="20" t="s">
        <v>93</v>
      </c>
      <c r="F554" s="20"/>
      <c r="G554" s="20"/>
      <c r="H554" s="21">
        <f>H558+H555</f>
        <v>3627.2</v>
      </c>
      <c r="I554" s="21">
        <f>I558+I555</f>
        <v>2023.6</v>
      </c>
      <c r="J554" s="21">
        <f>J558+J555</f>
        <v>2023.6</v>
      </c>
    </row>
    <row r="555" spans="2:10" s="72" customFormat="1" ht="25.5" customHeight="1">
      <c r="B555" s="135" t="s">
        <v>96</v>
      </c>
      <c r="C555" s="27" t="s">
        <v>581</v>
      </c>
      <c r="D555" s="27" t="s">
        <v>15</v>
      </c>
      <c r="E555" s="27" t="s">
        <v>93</v>
      </c>
      <c r="F555" s="27" t="s">
        <v>97</v>
      </c>
      <c r="G555" s="20"/>
      <c r="H555" s="25">
        <f t="shared" ref="H555:J556" si="64">H556</f>
        <v>320</v>
      </c>
      <c r="I555" s="25">
        <f t="shared" si="64"/>
        <v>0</v>
      </c>
      <c r="J555" s="25">
        <f t="shared" si="64"/>
        <v>0</v>
      </c>
    </row>
    <row r="556" spans="2:10" s="72" customFormat="1" ht="27" customHeight="1">
      <c r="B556" s="32" t="s">
        <v>98</v>
      </c>
      <c r="C556" s="27" t="s">
        <v>581</v>
      </c>
      <c r="D556" s="27" t="s">
        <v>15</v>
      </c>
      <c r="E556" s="27" t="s">
        <v>93</v>
      </c>
      <c r="F556" s="27" t="s">
        <v>99</v>
      </c>
      <c r="G556" s="20"/>
      <c r="H556" s="25">
        <f t="shared" si="64"/>
        <v>320</v>
      </c>
      <c r="I556" s="25">
        <f t="shared" si="64"/>
        <v>0</v>
      </c>
      <c r="J556" s="25">
        <f t="shared" si="64"/>
        <v>0</v>
      </c>
    </row>
    <row r="557" spans="2:10" s="72" customFormat="1" ht="26.25" customHeight="1">
      <c r="B557" s="26" t="s">
        <v>39</v>
      </c>
      <c r="C557" s="27" t="s">
        <v>581</v>
      </c>
      <c r="D557" s="27" t="s">
        <v>15</v>
      </c>
      <c r="E557" s="27" t="s">
        <v>93</v>
      </c>
      <c r="F557" s="27" t="s">
        <v>99</v>
      </c>
      <c r="G557" s="27" t="s">
        <v>40</v>
      </c>
      <c r="H557" s="25">
        <v>320</v>
      </c>
      <c r="I557" s="25">
        <v>0</v>
      </c>
      <c r="J557" s="25">
        <v>0</v>
      </c>
    </row>
    <row r="558" spans="2:10" s="91" customFormat="1" ht="38.25" customHeight="1">
      <c r="B558" s="70" t="s">
        <v>183</v>
      </c>
      <c r="C558" s="27" t="s">
        <v>581</v>
      </c>
      <c r="D558" s="27" t="s">
        <v>15</v>
      </c>
      <c r="E558" s="27" t="s">
        <v>93</v>
      </c>
      <c r="F558" s="29" t="s">
        <v>184</v>
      </c>
      <c r="G558" s="30"/>
      <c r="H558" s="25">
        <f>H559+H566</f>
        <v>3307.2</v>
      </c>
      <c r="I558" s="25">
        <f>I559+I566</f>
        <v>2023.6</v>
      </c>
      <c r="J558" s="25">
        <f>J559+J566</f>
        <v>2023.6</v>
      </c>
    </row>
    <row r="559" spans="2:10" s="91" customFormat="1" ht="25.5" customHeight="1">
      <c r="B559" s="73" t="s">
        <v>185</v>
      </c>
      <c r="C559" s="27" t="s">
        <v>581</v>
      </c>
      <c r="D559" s="27" t="s">
        <v>15</v>
      </c>
      <c r="E559" s="27" t="s">
        <v>93</v>
      </c>
      <c r="F559" s="29" t="s">
        <v>186</v>
      </c>
      <c r="G559" s="30"/>
      <c r="H559" s="25">
        <f>H560+H563</f>
        <v>2465.6</v>
      </c>
      <c r="I559" s="25">
        <f>I560+I563</f>
        <v>1508.6</v>
      </c>
      <c r="J559" s="25">
        <f>J560+J563</f>
        <v>1508.6</v>
      </c>
    </row>
    <row r="560" spans="2:10" s="91" customFormat="1" ht="27" customHeight="1">
      <c r="B560" s="73" t="s">
        <v>224</v>
      </c>
      <c r="C560" s="27" t="s">
        <v>581</v>
      </c>
      <c r="D560" s="27" t="s">
        <v>15</v>
      </c>
      <c r="E560" s="27" t="s">
        <v>93</v>
      </c>
      <c r="F560" s="29" t="s">
        <v>225</v>
      </c>
      <c r="G560" s="30"/>
      <c r="H560" s="25">
        <f>H561+H562</f>
        <v>2465.6</v>
      </c>
      <c r="I560" s="25">
        <f>I561+I562</f>
        <v>1508.6</v>
      </c>
      <c r="J560" s="25">
        <f>J561+J562</f>
        <v>1508.6</v>
      </c>
    </row>
    <row r="561" spans="2:11" s="91" customFormat="1" ht="24" customHeight="1">
      <c r="B561" s="38" t="s">
        <v>39</v>
      </c>
      <c r="C561" s="27" t="s">
        <v>581</v>
      </c>
      <c r="D561" s="27" t="s">
        <v>15</v>
      </c>
      <c r="E561" s="27" t="s">
        <v>93</v>
      </c>
      <c r="F561" s="29" t="s">
        <v>225</v>
      </c>
      <c r="G561" s="30" t="s">
        <v>40</v>
      </c>
      <c r="H561" s="25">
        <f>30+18.5+237+400+850+150+25+720+80+10+0.1+300-400</f>
        <v>2420.6</v>
      </c>
      <c r="I561" s="25">
        <f>1163.6+300</f>
        <v>1463.6</v>
      </c>
      <c r="J561" s="25">
        <f>1163.6+300</f>
        <v>1463.6</v>
      </c>
      <c r="K561"/>
    </row>
    <row r="562" spans="2:11" s="91" customFormat="1" ht="15.75" customHeight="1">
      <c r="B562" s="38" t="s">
        <v>43</v>
      </c>
      <c r="C562" s="27" t="s">
        <v>581</v>
      </c>
      <c r="D562" s="27" t="s">
        <v>15</v>
      </c>
      <c r="E562" s="27" t="s">
        <v>93</v>
      </c>
      <c r="F562" s="29" t="s">
        <v>225</v>
      </c>
      <c r="G562" s="30" t="s">
        <v>44</v>
      </c>
      <c r="H562" s="25">
        <v>45</v>
      </c>
      <c r="I562" s="25">
        <v>45</v>
      </c>
      <c r="J562" s="25">
        <v>45</v>
      </c>
    </row>
    <row r="563" spans="2:11" s="91" customFormat="1" ht="27.75" hidden="1" customHeight="1">
      <c r="B563" s="70" t="s">
        <v>187</v>
      </c>
      <c r="C563" s="27" t="s">
        <v>581</v>
      </c>
      <c r="D563" s="27" t="s">
        <v>15</v>
      </c>
      <c r="E563" s="27" t="s">
        <v>93</v>
      </c>
      <c r="F563" s="29" t="s">
        <v>188</v>
      </c>
      <c r="G563" s="30"/>
      <c r="H563" s="25">
        <f t="shared" ref="H563:J564" si="65">H564</f>
        <v>0</v>
      </c>
      <c r="I563" s="25">
        <f t="shared" si="65"/>
        <v>0</v>
      </c>
      <c r="J563" s="25">
        <f t="shared" si="65"/>
        <v>0</v>
      </c>
    </row>
    <row r="564" spans="2:11" s="91" customFormat="1" ht="37.5" hidden="1" customHeight="1">
      <c r="B564" s="70" t="s">
        <v>189</v>
      </c>
      <c r="C564" s="27" t="s">
        <v>581</v>
      </c>
      <c r="D564" s="27" t="s">
        <v>15</v>
      </c>
      <c r="E564" s="27" t="s">
        <v>93</v>
      </c>
      <c r="F564" s="29" t="s">
        <v>190</v>
      </c>
      <c r="G564" s="30"/>
      <c r="H564" s="25">
        <f t="shared" si="65"/>
        <v>0</v>
      </c>
      <c r="I564" s="25">
        <f t="shared" si="65"/>
        <v>0</v>
      </c>
      <c r="J564" s="25">
        <f t="shared" si="65"/>
        <v>0</v>
      </c>
    </row>
    <row r="565" spans="2:11" s="91" customFormat="1" ht="15.75" hidden="1" customHeight="1">
      <c r="B565" s="38" t="s">
        <v>39</v>
      </c>
      <c r="C565" s="27" t="s">
        <v>581</v>
      </c>
      <c r="D565" s="27" t="s">
        <v>15</v>
      </c>
      <c r="E565" s="27" t="s">
        <v>93</v>
      </c>
      <c r="F565" s="29" t="s">
        <v>190</v>
      </c>
      <c r="G565" s="30" t="s">
        <v>40</v>
      </c>
      <c r="H565" s="25">
        <f>9913.9-9913.9</f>
        <v>0</v>
      </c>
      <c r="I565" s="25">
        <v>0</v>
      </c>
      <c r="J565" s="25">
        <v>0</v>
      </c>
    </row>
    <row r="566" spans="2:11" s="91" customFormat="1" ht="26.25" customHeight="1">
      <c r="B566" s="73" t="s">
        <v>582</v>
      </c>
      <c r="C566" s="27" t="s">
        <v>581</v>
      </c>
      <c r="D566" s="27" t="s">
        <v>15</v>
      </c>
      <c r="E566" s="27" t="s">
        <v>93</v>
      </c>
      <c r="F566" s="29" t="s">
        <v>583</v>
      </c>
      <c r="G566" s="30"/>
      <c r="H566" s="25">
        <f>H567+H574+H570+H572</f>
        <v>841.6</v>
      </c>
      <c r="I566" s="25">
        <f>I567+I574+I570+I572</f>
        <v>515</v>
      </c>
      <c r="J566" s="25">
        <f>J567+J574+J570+J572</f>
        <v>515</v>
      </c>
    </row>
    <row r="567" spans="2:11" s="91" customFormat="1" ht="26.25" customHeight="1">
      <c r="B567" s="73" t="s">
        <v>224</v>
      </c>
      <c r="C567" s="27" t="s">
        <v>581</v>
      </c>
      <c r="D567" s="27" t="s">
        <v>15</v>
      </c>
      <c r="E567" s="27" t="s">
        <v>93</v>
      </c>
      <c r="F567" s="29" t="s">
        <v>584</v>
      </c>
      <c r="G567" s="30"/>
      <c r="H567" s="25">
        <f>H568+H569</f>
        <v>515</v>
      </c>
      <c r="I567" s="25">
        <f>I568+I569</f>
        <v>515</v>
      </c>
      <c r="J567" s="25">
        <f>J568+J569</f>
        <v>515</v>
      </c>
    </row>
    <row r="568" spans="2:11" s="91" customFormat="1" ht="26.25" customHeight="1">
      <c r="B568" s="38" t="s">
        <v>39</v>
      </c>
      <c r="C568" s="27" t="s">
        <v>581</v>
      </c>
      <c r="D568" s="27" t="s">
        <v>15</v>
      </c>
      <c r="E568" s="27" t="s">
        <v>93</v>
      </c>
      <c r="F568" s="29" t="s">
        <v>584</v>
      </c>
      <c r="G568" s="30" t="s">
        <v>40</v>
      </c>
      <c r="H568" s="25">
        <f>150+225+90+50</f>
        <v>515</v>
      </c>
      <c r="I568" s="25">
        <f>150+225+90+50</f>
        <v>515</v>
      </c>
      <c r="J568" s="25">
        <f>150+225+90+50</f>
        <v>515</v>
      </c>
    </row>
    <row r="569" spans="2:11" s="91" customFormat="1" ht="16.5" hidden="1" customHeight="1">
      <c r="B569" s="38" t="s">
        <v>485</v>
      </c>
      <c r="C569" s="27" t="s">
        <v>581</v>
      </c>
      <c r="D569" s="27" t="s">
        <v>15</v>
      </c>
      <c r="E569" s="27" t="s">
        <v>93</v>
      </c>
      <c r="F569" s="29" t="s">
        <v>584</v>
      </c>
      <c r="G569" s="30" t="s">
        <v>337</v>
      </c>
      <c r="H569" s="25">
        <v>0</v>
      </c>
      <c r="I569" s="25">
        <v>0</v>
      </c>
      <c r="J569" s="25">
        <v>0</v>
      </c>
    </row>
    <row r="570" spans="2:11" s="91" customFormat="1" ht="26.25" customHeight="1">
      <c r="B570" s="56" t="s">
        <v>585</v>
      </c>
      <c r="C570" s="27" t="s">
        <v>581</v>
      </c>
      <c r="D570" s="27" t="s">
        <v>15</v>
      </c>
      <c r="E570" s="27" t="s">
        <v>93</v>
      </c>
      <c r="F570" s="29" t="s">
        <v>586</v>
      </c>
      <c r="G570" s="30"/>
      <c r="H570" s="25">
        <f>H571</f>
        <v>60</v>
      </c>
      <c r="I570" s="25">
        <f>I571</f>
        <v>0</v>
      </c>
      <c r="J570" s="25">
        <f>J571</f>
        <v>0</v>
      </c>
    </row>
    <row r="571" spans="2:11" s="91" customFormat="1" ht="30" customHeight="1">
      <c r="B571" s="56" t="s">
        <v>39</v>
      </c>
      <c r="C571" s="27" t="s">
        <v>581</v>
      </c>
      <c r="D571" s="27" t="s">
        <v>15</v>
      </c>
      <c r="E571" s="27" t="s">
        <v>93</v>
      </c>
      <c r="F571" s="29" t="s">
        <v>586</v>
      </c>
      <c r="G571" s="30" t="s">
        <v>40</v>
      </c>
      <c r="H571" s="25">
        <f>54+6</f>
        <v>60</v>
      </c>
      <c r="I571" s="25">
        <v>0</v>
      </c>
      <c r="J571" s="25">
        <v>0</v>
      </c>
    </row>
    <row r="572" spans="2:11" s="91" customFormat="1" ht="15.75" customHeight="1">
      <c r="B572" s="56" t="s">
        <v>587</v>
      </c>
      <c r="C572" s="27" t="s">
        <v>581</v>
      </c>
      <c r="D572" s="27" t="s">
        <v>15</v>
      </c>
      <c r="E572" s="27" t="s">
        <v>93</v>
      </c>
      <c r="F572" s="29" t="s">
        <v>588</v>
      </c>
      <c r="G572" s="30"/>
      <c r="H572" s="25">
        <f>H573</f>
        <v>140</v>
      </c>
      <c r="I572" s="25">
        <f>I573</f>
        <v>0</v>
      </c>
      <c r="J572" s="25">
        <f>J573</f>
        <v>0</v>
      </c>
    </row>
    <row r="573" spans="2:11" s="91" customFormat="1" ht="27.75" customHeight="1">
      <c r="B573" s="56" t="s">
        <v>39</v>
      </c>
      <c r="C573" s="27" t="s">
        <v>581</v>
      </c>
      <c r="D573" s="27" t="s">
        <v>15</v>
      </c>
      <c r="E573" s="27" t="s">
        <v>93</v>
      </c>
      <c r="F573" s="29" t="s">
        <v>588</v>
      </c>
      <c r="G573" s="30" t="s">
        <v>40</v>
      </c>
      <c r="H573" s="25">
        <f>126+14</f>
        <v>140</v>
      </c>
      <c r="I573" s="25">
        <v>0</v>
      </c>
      <c r="J573" s="25">
        <v>0</v>
      </c>
    </row>
    <row r="574" spans="2:11" s="91" customFormat="1" ht="39.75" customHeight="1">
      <c r="B574" s="38" t="s">
        <v>589</v>
      </c>
      <c r="C574" s="27" t="s">
        <v>581</v>
      </c>
      <c r="D574" s="27" t="s">
        <v>15</v>
      </c>
      <c r="E574" s="27" t="s">
        <v>93</v>
      </c>
      <c r="F574" s="29" t="s">
        <v>590</v>
      </c>
      <c r="G574" s="30"/>
      <c r="H574" s="25">
        <f>H575</f>
        <v>126.6</v>
      </c>
      <c r="I574" s="25">
        <f>I575</f>
        <v>0</v>
      </c>
      <c r="J574" s="25">
        <f>J575</f>
        <v>0</v>
      </c>
    </row>
    <row r="575" spans="2:11" s="91" customFormat="1" ht="25.5" customHeight="1">
      <c r="B575" s="38" t="s">
        <v>39</v>
      </c>
      <c r="C575" s="27" t="s">
        <v>581</v>
      </c>
      <c r="D575" s="27" t="s">
        <v>15</v>
      </c>
      <c r="E575" s="27" t="s">
        <v>93</v>
      </c>
      <c r="F575" s="29" t="s">
        <v>590</v>
      </c>
      <c r="G575" s="30" t="s">
        <v>40</v>
      </c>
      <c r="H575" s="25">
        <f>81.5+45.1</f>
        <v>126.6</v>
      </c>
      <c r="I575" s="25">
        <v>0</v>
      </c>
      <c r="J575" s="59">
        <v>0</v>
      </c>
    </row>
    <row r="576" spans="2:11" s="72" customFormat="1" ht="13.5" customHeight="1">
      <c r="B576" s="19" t="s">
        <v>246</v>
      </c>
      <c r="C576" s="20" t="s">
        <v>581</v>
      </c>
      <c r="D576" s="20" t="s">
        <v>30</v>
      </c>
      <c r="E576" s="20"/>
      <c r="F576" s="20"/>
      <c r="G576" s="20"/>
      <c r="H576" s="21">
        <f>H577</f>
        <v>3448.1000000000004</v>
      </c>
      <c r="I576" s="21">
        <f>I577</f>
        <v>3492.1000000000004</v>
      </c>
      <c r="J576" s="21">
        <f>J577</f>
        <v>3492.1000000000004</v>
      </c>
    </row>
    <row r="577" spans="2:11" s="72" customFormat="1" ht="14.25" customHeight="1">
      <c r="B577" s="93" t="s">
        <v>289</v>
      </c>
      <c r="C577" s="20" t="s">
        <v>581</v>
      </c>
      <c r="D577" s="20" t="s">
        <v>30</v>
      </c>
      <c r="E577" s="20" t="s">
        <v>290</v>
      </c>
      <c r="F577" s="20"/>
      <c r="G577" s="20"/>
      <c r="H577" s="21">
        <f>H583+H578</f>
        <v>3448.1000000000004</v>
      </c>
      <c r="I577" s="21">
        <f>I583+I578</f>
        <v>3492.1000000000004</v>
      </c>
      <c r="J577" s="21">
        <f>J583+J578</f>
        <v>3492.1000000000004</v>
      </c>
    </row>
    <row r="578" spans="2:11" s="72" customFormat="1" ht="24.75" hidden="1" customHeight="1">
      <c r="B578" s="31" t="s">
        <v>18</v>
      </c>
      <c r="C578" s="27" t="s">
        <v>581</v>
      </c>
      <c r="D578" s="27" t="s">
        <v>30</v>
      </c>
      <c r="E578" s="27" t="s">
        <v>290</v>
      </c>
      <c r="F578" s="27" t="s">
        <v>19</v>
      </c>
      <c r="G578" s="27"/>
      <c r="H578" s="25">
        <f t="shared" ref="H578:J581" si="66">H579</f>
        <v>0</v>
      </c>
      <c r="I578" s="25">
        <f t="shared" si="66"/>
        <v>0</v>
      </c>
      <c r="J578" s="25">
        <f t="shared" si="66"/>
        <v>0</v>
      </c>
    </row>
    <row r="579" spans="2:11" s="72" customFormat="1" ht="39" hidden="1" customHeight="1">
      <c r="B579" s="31" t="s">
        <v>20</v>
      </c>
      <c r="C579" s="27" t="s">
        <v>581</v>
      </c>
      <c r="D579" s="27" t="s">
        <v>30</v>
      </c>
      <c r="E579" s="27" t="s">
        <v>290</v>
      </c>
      <c r="F579" s="27" t="s">
        <v>21</v>
      </c>
      <c r="G579" s="27"/>
      <c r="H579" s="25">
        <f t="shared" si="66"/>
        <v>0</v>
      </c>
      <c r="I579" s="25">
        <f t="shared" si="66"/>
        <v>0</v>
      </c>
      <c r="J579" s="25">
        <f t="shared" si="66"/>
        <v>0</v>
      </c>
    </row>
    <row r="580" spans="2:11" s="72" customFormat="1" ht="25.5" hidden="1" customHeight="1">
      <c r="B580" s="38" t="s">
        <v>51</v>
      </c>
      <c r="C580" s="27" t="s">
        <v>581</v>
      </c>
      <c r="D580" s="27" t="s">
        <v>30</v>
      </c>
      <c r="E580" s="27" t="s">
        <v>290</v>
      </c>
      <c r="F580" s="27" t="s">
        <v>52</v>
      </c>
      <c r="G580" s="27"/>
      <c r="H580" s="25">
        <f t="shared" si="66"/>
        <v>0</v>
      </c>
      <c r="I580" s="25">
        <f t="shared" si="66"/>
        <v>0</v>
      </c>
      <c r="J580" s="25">
        <f t="shared" si="66"/>
        <v>0</v>
      </c>
    </row>
    <row r="581" spans="2:11" s="72" customFormat="1" ht="115.5" hidden="1" customHeight="1">
      <c r="B581" s="45" t="s">
        <v>53</v>
      </c>
      <c r="C581" s="27" t="s">
        <v>581</v>
      </c>
      <c r="D581" s="27" t="s">
        <v>30</v>
      </c>
      <c r="E581" s="27" t="s">
        <v>290</v>
      </c>
      <c r="F581" s="29" t="s">
        <v>54</v>
      </c>
      <c r="G581" s="27"/>
      <c r="H581" s="25">
        <f t="shared" si="66"/>
        <v>0</v>
      </c>
      <c r="I581" s="25">
        <f t="shared" si="66"/>
        <v>0</v>
      </c>
      <c r="J581" s="25">
        <f t="shared" si="66"/>
        <v>0</v>
      </c>
    </row>
    <row r="582" spans="2:11" s="72" customFormat="1" ht="25.5" hidden="1" customHeight="1">
      <c r="B582" s="45" t="s">
        <v>26</v>
      </c>
      <c r="C582" s="27" t="s">
        <v>581</v>
      </c>
      <c r="D582" s="27" t="s">
        <v>30</v>
      </c>
      <c r="E582" s="27" t="s">
        <v>290</v>
      </c>
      <c r="F582" s="29" t="s">
        <v>54</v>
      </c>
      <c r="G582" s="27" t="s">
        <v>27</v>
      </c>
      <c r="H582" s="25"/>
      <c r="I582" s="25"/>
      <c r="J582" s="25"/>
    </row>
    <row r="583" spans="2:11" s="60" customFormat="1" ht="36.75" customHeight="1">
      <c r="B583" s="70" t="s">
        <v>183</v>
      </c>
      <c r="C583" s="27" t="s">
        <v>581</v>
      </c>
      <c r="D583" s="27" t="s">
        <v>30</v>
      </c>
      <c r="E583" s="27" t="s">
        <v>290</v>
      </c>
      <c r="F583" s="29" t="s">
        <v>184</v>
      </c>
      <c r="G583" s="27"/>
      <c r="H583" s="25">
        <f>H584+H589</f>
        <v>3448.1000000000004</v>
      </c>
      <c r="I583" s="25">
        <f>I584+I589</f>
        <v>3492.1000000000004</v>
      </c>
      <c r="J583" s="25">
        <f>J584+J589</f>
        <v>3492.1000000000004</v>
      </c>
    </row>
    <row r="584" spans="2:11" s="60" customFormat="1" ht="38.25" customHeight="1">
      <c r="B584" s="73" t="s">
        <v>591</v>
      </c>
      <c r="C584" s="27" t="s">
        <v>581</v>
      </c>
      <c r="D584" s="27" t="s">
        <v>30</v>
      </c>
      <c r="E584" s="27" t="s">
        <v>290</v>
      </c>
      <c r="F584" s="29" t="s">
        <v>592</v>
      </c>
      <c r="G584" s="27"/>
      <c r="H584" s="25">
        <f>H585</f>
        <v>3423.6000000000004</v>
      </c>
      <c r="I584" s="25">
        <f>I585</f>
        <v>3467.6000000000004</v>
      </c>
      <c r="J584" s="25">
        <f>J585</f>
        <v>3467.6000000000004</v>
      </c>
    </row>
    <row r="585" spans="2:11" s="60" customFormat="1" ht="12" customHeight="1">
      <c r="B585" s="106" t="s">
        <v>41</v>
      </c>
      <c r="C585" s="27" t="s">
        <v>581</v>
      </c>
      <c r="D585" s="27" t="s">
        <v>30</v>
      </c>
      <c r="E585" s="27" t="s">
        <v>290</v>
      </c>
      <c r="F585" s="29" t="s">
        <v>593</v>
      </c>
      <c r="G585" s="27"/>
      <c r="H585" s="25">
        <f>H586+H587+H588</f>
        <v>3423.6000000000004</v>
      </c>
      <c r="I585" s="25">
        <f>I586+I587+I588</f>
        <v>3467.6000000000004</v>
      </c>
      <c r="J585" s="25">
        <f>J586+J587+J588</f>
        <v>3467.6000000000004</v>
      </c>
    </row>
    <row r="586" spans="2:11" s="60" customFormat="1" ht="24" customHeight="1">
      <c r="B586" s="38" t="s">
        <v>26</v>
      </c>
      <c r="C586" s="27" t="s">
        <v>581</v>
      </c>
      <c r="D586" s="27" t="s">
        <v>30</v>
      </c>
      <c r="E586" s="27" t="s">
        <v>290</v>
      </c>
      <c r="F586" s="29" t="s">
        <v>593</v>
      </c>
      <c r="G586" s="27" t="s">
        <v>27</v>
      </c>
      <c r="H586" s="25">
        <f>2092.3+891.2+15.8</f>
        <v>2999.3</v>
      </c>
      <c r="I586" s="25">
        <f>2092.3+891.2+15.8</f>
        <v>2999.3</v>
      </c>
      <c r="J586" s="25">
        <f>2092.3+891.2+15.8</f>
        <v>2999.3</v>
      </c>
    </row>
    <row r="587" spans="2:11" s="60" customFormat="1" ht="26.25" customHeight="1">
      <c r="B587" s="38" t="s">
        <v>39</v>
      </c>
      <c r="C587" s="27" t="s">
        <v>581</v>
      </c>
      <c r="D587" s="27" t="s">
        <v>30</v>
      </c>
      <c r="E587" s="27" t="s">
        <v>290</v>
      </c>
      <c r="F587" s="29" t="s">
        <v>593</v>
      </c>
      <c r="G587" s="27" t="s">
        <v>40</v>
      </c>
      <c r="H587" s="25">
        <f>468.3-45</f>
        <v>423.3</v>
      </c>
      <c r="I587" s="25">
        <v>468.3</v>
      </c>
      <c r="J587" s="25">
        <v>468.3</v>
      </c>
      <c r="K587" s="94"/>
    </row>
    <row r="588" spans="2:11" s="60" customFormat="1" ht="13.5" customHeight="1">
      <c r="B588" s="38" t="s">
        <v>43</v>
      </c>
      <c r="C588" s="27" t="s">
        <v>581</v>
      </c>
      <c r="D588" s="27" t="s">
        <v>30</v>
      </c>
      <c r="E588" s="27" t="s">
        <v>290</v>
      </c>
      <c r="F588" s="29" t="s">
        <v>593</v>
      </c>
      <c r="G588" s="27" t="s">
        <v>44</v>
      </c>
      <c r="H588" s="25">
        <v>1</v>
      </c>
      <c r="I588" s="25">
        <v>0</v>
      </c>
      <c r="J588" s="25">
        <v>0</v>
      </c>
    </row>
    <row r="589" spans="2:11" s="60" customFormat="1" ht="25.5" customHeight="1">
      <c r="B589" s="73" t="s">
        <v>582</v>
      </c>
      <c r="C589" s="27" t="s">
        <v>581</v>
      </c>
      <c r="D589" s="27" t="s">
        <v>30</v>
      </c>
      <c r="E589" s="27" t="s">
        <v>290</v>
      </c>
      <c r="F589" s="29" t="s">
        <v>583</v>
      </c>
      <c r="G589" s="27"/>
      <c r="H589" s="25">
        <f t="shared" ref="H589:J591" si="67">H590</f>
        <v>24.5</v>
      </c>
      <c r="I589" s="25">
        <f t="shared" si="67"/>
        <v>24.5</v>
      </c>
      <c r="J589" s="25">
        <f t="shared" si="67"/>
        <v>24.5</v>
      </c>
    </row>
    <row r="590" spans="2:11" s="60" customFormat="1" ht="25.5" customHeight="1">
      <c r="B590" s="38" t="s">
        <v>594</v>
      </c>
      <c r="C590" s="27" t="s">
        <v>581</v>
      </c>
      <c r="D590" s="27" t="s">
        <v>30</v>
      </c>
      <c r="E590" s="27" t="s">
        <v>290</v>
      </c>
      <c r="F590" s="29" t="s">
        <v>595</v>
      </c>
      <c r="G590" s="27"/>
      <c r="H590" s="25">
        <f t="shared" si="67"/>
        <v>24.5</v>
      </c>
      <c r="I590" s="25">
        <f t="shared" si="67"/>
        <v>24.5</v>
      </c>
      <c r="J590" s="25">
        <f t="shared" si="67"/>
        <v>24.5</v>
      </c>
    </row>
    <row r="591" spans="2:11" s="60" customFormat="1" ht="75.75" customHeight="1">
      <c r="B591" s="2" t="s">
        <v>596</v>
      </c>
      <c r="C591" s="27" t="s">
        <v>581</v>
      </c>
      <c r="D591" s="27" t="s">
        <v>30</v>
      </c>
      <c r="E591" s="27" t="s">
        <v>290</v>
      </c>
      <c r="F591" s="29" t="s">
        <v>597</v>
      </c>
      <c r="G591" s="27"/>
      <c r="H591" s="25">
        <f t="shared" si="67"/>
        <v>24.5</v>
      </c>
      <c r="I591" s="25">
        <f t="shared" si="67"/>
        <v>24.5</v>
      </c>
      <c r="J591" s="25">
        <f t="shared" si="67"/>
        <v>24.5</v>
      </c>
    </row>
    <row r="592" spans="2:11" s="60" customFormat="1" ht="26.25" customHeight="1">
      <c r="B592" s="38" t="s">
        <v>39</v>
      </c>
      <c r="C592" s="27" t="s">
        <v>581</v>
      </c>
      <c r="D592" s="27" t="s">
        <v>30</v>
      </c>
      <c r="E592" s="27" t="s">
        <v>290</v>
      </c>
      <c r="F592" s="29" t="s">
        <v>597</v>
      </c>
      <c r="G592" s="27" t="s">
        <v>40</v>
      </c>
      <c r="H592" s="25">
        <v>24.5</v>
      </c>
      <c r="I592" s="25">
        <v>24.5</v>
      </c>
      <c r="J592" s="25">
        <v>24.5</v>
      </c>
      <c r="K592" s="94"/>
    </row>
    <row r="593" spans="2:11" s="72" customFormat="1" ht="15" customHeight="1">
      <c r="B593" s="19" t="s">
        <v>297</v>
      </c>
      <c r="C593" s="20" t="s">
        <v>581</v>
      </c>
      <c r="D593" s="20" t="s">
        <v>80</v>
      </c>
      <c r="E593" s="20"/>
      <c r="F593" s="20"/>
      <c r="G593" s="20"/>
      <c r="H593" s="21">
        <f t="shared" ref="H593:J597" si="68">H594</f>
        <v>1607.4</v>
      </c>
      <c r="I593" s="21">
        <f t="shared" si="68"/>
        <v>1607.4</v>
      </c>
      <c r="J593" s="21">
        <f t="shared" si="68"/>
        <v>1607.4</v>
      </c>
    </row>
    <row r="594" spans="2:11" s="72" customFormat="1" ht="13.5" customHeight="1">
      <c r="B594" s="19" t="s">
        <v>298</v>
      </c>
      <c r="C594" s="20" t="s">
        <v>581</v>
      </c>
      <c r="D594" s="20" t="s">
        <v>80</v>
      </c>
      <c r="E594" s="20" t="s">
        <v>15</v>
      </c>
      <c r="F594" s="20"/>
      <c r="G594" s="20"/>
      <c r="H594" s="21">
        <f t="shared" si="68"/>
        <v>1607.4</v>
      </c>
      <c r="I594" s="21">
        <f t="shared" si="68"/>
        <v>1607.4</v>
      </c>
      <c r="J594" s="21">
        <f t="shared" si="68"/>
        <v>1607.4</v>
      </c>
    </row>
    <row r="595" spans="2:11" s="91" customFormat="1" ht="39" customHeight="1">
      <c r="B595" s="70" t="s">
        <v>183</v>
      </c>
      <c r="C595" s="27" t="s">
        <v>581</v>
      </c>
      <c r="D595" s="27" t="s">
        <v>80</v>
      </c>
      <c r="E595" s="27" t="s">
        <v>15</v>
      </c>
      <c r="F595" s="29" t="s">
        <v>184</v>
      </c>
      <c r="G595" s="30"/>
      <c r="H595" s="25">
        <f t="shared" si="68"/>
        <v>1607.4</v>
      </c>
      <c r="I595" s="25">
        <f t="shared" si="68"/>
        <v>1607.4</v>
      </c>
      <c r="J595" s="25">
        <f t="shared" si="68"/>
        <v>1607.4</v>
      </c>
    </row>
    <row r="596" spans="2:11" s="91" customFormat="1" ht="25.5" customHeight="1">
      <c r="B596" s="73" t="s">
        <v>185</v>
      </c>
      <c r="C596" s="27" t="s">
        <v>581</v>
      </c>
      <c r="D596" s="27" t="s">
        <v>80</v>
      </c>
      <c r="E596" s="27" t="s">
        <v>15</v>
      </c>
      <c r="F596" s="29" t="s">
        <v>186</v>
      </c>
      <c r="G596" s="30"/>
      <c r="H596" s="25">
        <f t="shared" si="68"/>
        <v>1607.4</v>
      </c>
      <c r="I596" s="25">
        <f t="shared" si="68"/>
        <v>1607.4</v>
      </c>
      <c r="J596" s="25">
        <f t="shared" si="68"/>
        <v>1607.4</v>
      </c>
    </row>
    <row r="597" spans="2:11" s="91" customFormat="1" ht="24" customHeight="1">
      <c r="B597" s="73" t="s">
        <v>224</v>
      </c>
      <c r="C597" s="27" t="s">
        <v>581</v>
      </c>
      <c r="D597" s="27" t="s">
        <v>80</v>
      </c>
      <c r="E597" s="27" t="s">
        <v>15</v>
      </c>
      <c r="F597" s="29" t="s">
        <v>225</v>
      </c>
      <c r="G597" s="30"/>
      <c r="H597" s="25">
        <f t="shared" si="68"/>
        <v>1607.4</v>
      </c>
      <c r="I597" s="25">
        <f t="shared" si="68"/>
        <v>1607.4</v>
      </c>
      <c r="J597" s="25">
        <f t="shared" si="68"/>
        <v>1607.4</v>
      </c>
    </row>
    <row r="598" spans="2:11" s="91" customFormat="1" ht="27" customHeight="1">
      <c r="B598" s="38" t="s">
        <v>39</v>
      </c>
      <c r="C598" s="27" t="s">
        <v>581</v>
      </c>
      <c r="D598" s="27" t="s">
        <v>80</v>
      </c>
      <c r="E598" s="27" t="s">
        <v>15</v>
      </c>
      <c r="F598" s="29" t="s">
        <v>225</v>
      </c>
      <c r="G598" s="30" t="s">
        <v>40</v>
      </c>
      <c r="H598" s="25">
        <f>100+585.4+507+9+346+60</f>
        <v>1607.4</v>
      </c>
      <c r="I598" s="25">
        <f>100+585.4+507+9+346+60</f>
        <v>1607.4</v>
      </c>
      <c r="J598" s="25">
        <f>100+585.4+507+9+346+60</f>
        <v>1607.4</v>
      </c>
    </row>
    <row r="599" spans="2:11" s="91" customFormat="1" ht="16.5" customHeight="1">
      <c r="B599" s="19" t="s">
        <v>492</v>
      </c>
      <c r="C599" s="20" t="s">
        <v>581</v>
      </c>
      <c r="D599" s="20" t="s">
        <v>223</v>
      </c>
      <c r="E599" s="20"/>
      <c r="F599" s="88"/>
      <c r="G599" s="53"/>
      <c r="H599" s="21">
        <f t="shared" ref="H599:J604" si="69">H600</f>
        <v>1629.4</v>
      </c>
      <c r="I599" s="21">
        <f t="shared" si="69"/>
        <v>1629.4</v>
      </c>
      <c r="J599" s="21">
        <f t="shared" si="69"/>
        <v>1629.4</v>
      </c>
    </row>
    <row r="600" spans="2:11" s="91" customFormat="1" ht="17.25" customHeight="1">
      <c r="B600" s="19" t="s">
        <v>498</v>
      </c>
      <c r="C600" s="20" t="s">
        <v>581</v>
      </c>
      <c r="D600" s="20" t="s">
        <v>223</v>
      </c>
      <c r="E600" s="20" t="s">
        <v>193</v>
      </c>
      <c r="F600" s="88"/>
      <c r="G600" s="53"/>
      <c r="H600" s="21">
        <f t="shared" si="69"/>
        <v>1629.4</v>
      </c>
      <c r="I600" s="21">
        <f t="shared" si="69"/>
        <v>1629.4</v>
      </c>
      <c r="J600" s="21">
        <f t="shared" si="69"/>
        <v>1629.4</v>
      </c>
    </row>
    <row r="601" spans="2:11" s="91" customFormat="1" ht="39" customHeight="1">
      <c r="B601" s="70" t="s">
        <v>183</v>
      </c>
      <c r="C601" s="27" t="s">
        <v>581</v>
      </c>
      <c r="D601" s="27" t="s">
        <v>223</v>
      </c>
      <c r="E601" s="27" t="s">
        <v>193</v>
      </c>
      <c r="F601" s="29" t="s">
        <v>184</v>
      </c>
      <c r="G601" s="27"/>
      <c r="H601" s="25">
        <f t="shared" si="69"/>
        <v>1629.4</v>
      </c>
      <c r="I601" s="25">
        <f t="shared" si="69"/>
        <v>1629.4</v>
      </c>
      <c r="J601" s="25">
        <f t="shared" si="69"/>
        <v>1629.4</v>
      </c>
    </row>
    <row r="602" spans="2:11" s="91" customFormat="1" ht="24.75" customHeight="1">
      <c r="B602" s="73" t="s">
        <v>582</v>
      </c>
      <c r="C602" s="27" t="s">
        <v>581</v>
      </c>
      <c r="D602" s="27" t="s">
        <v>223</v>
      </c>
      <c r="E602" s="27" t="s">
        <v>193</v>
      </c>
      <c r="F602" s="29" t="s">
        <v>583</v>
      </c>
      <c r="G602" s="27"/>
      <c r="H602" s="25">
        <f t="shared" si="69"/>
        <v>1629.4</v>
      </c>
      <c r="I602" s="25">
        <f t="shared" si="69"/>
        <v>1629.4</v>
      </c>
      <c r="J602" s="25">
        <f t="shared" si="69"/>
        <v>1629.4</v>
      </c>
    </row>
    <row r="603" spans="2:11" s="91" customFormat="1" ht="24.75" customHeight="1">
      <c r="B603" s="38" t="s">
        <v>594</v>
      </c>
      <c r="C603" s="27" t="s">
        <v>581</v>
      </c>
      <c r="D603" s="27" t="s">
        <v>223</v>
      </c>
      <c r="E603" s="27" t="s">
        <v>193</v>
      </c>
      <c r="F603" s="29" t="s">
        <v>595</v>
      </c>
      <c r="G603" s="27"/>
      <c r="H603" s="25">
        <f t="shared" si="69"/>
        <v>1629.4</v>
      </c>
      <c r="I603" s="25">
        <f t="shared" si="69"/>
        <v>1629.4</v>
      </c>
      <c r="J603" s="25">
        <f t="shared" si="69"/>
        <v>1629.4</v>
      </c>
    </row>
    <row r="604" spans="2:11" s="91" customFormat="1" ht="78" customHeight="1">
      <c r="B604" s="2" t="s">
        <v>596</v>
      </c>
      <c r="C604" s="27" t="s">
        <v>581</v>
      </c>
      <c r="D604" s="27" t="s">
        <v>223</v>
      </c>
      <c r="E604" s="27" t="s">
        <v>193</v>
      </c>
      <c r="F604" s="29" t="s">
        <v>597</v>
      </c>
      <c r="G604" s="27"/>
      <c r="H604" s="25">
        <f t="shared" si="69"/>
        <v>1629.4</v>
      </c>
      <c r="I604" s="25">
        <f t="shared" si="69"/>
        <v>1629.4</v>
      </c>
      <c r="J604" s="25">
        <f t="shared" si="69"/>
        <v>1629.4</v>
      </c>
      <c r="K604" s="60"/>
    </row>
    <row r="605" spans="2:11" s="91" customFormat="1" ht="15.75" customHeight="1">
      <c r="B605" s="70" t="s">
        <v>504</v>
      </c>
      <c r="C605" s="27" t="s">
        <v>581</v>
      </c>
      <c r="D605" s="27" t="s">
        <v>223</v>
      </c>
      <c r="E605" s="27" t="s">
        <v>193</v>
      </c>
      <c r="F605" s="29" t="s">
        <v>597</v>
      </c>
      <c r="G605" s="27" t="s">
        <v>497</v>
      </c>
      <c r="H605" s="25">
        <v>1629.4</v>
      </c>
      <c r="I605" s="25">
        <v>1629.4</v>
      </c>
      <c r="J605" s="25">
        <v>1629.4</v>
      </c>
    </row>
    <row r="606" spans="2:11" s="72" customFormat="1" ht="25.5">
      <c r="B606" s="136" t="s">
        <v>598</v>
      </c>
      <c r="C606" s="20" t="s">
        <v>599</v>
      </c>
      <c r="D606" s="20"/>
      <c r="E606" s="20"/>
      <c r="F606" s="20"/>
      <c r="G606" s="20"/>
      <c r="H606" s="21">
        <f>H620+H741+H614+H607+H761</f>
        <v>328389.8</v>
      </c>
      <c r="I606" s="21">
        <f>I620+I741+I614+I607+I761</f>
        <v>365802.3</v>
      </c>
      <c r="J606" s="21">
        <f>J620+J741+J614+J607+J761</f>
        <v>361674.39999999997</v>
      </c>
    </row>
    <row r="607" spans="2:11" s="72" customFormat="1">
      <c r="B607" s="75" t="s">
        <v>196</v>
      </c>
      <c r="C607" s="20" t="s">
        <v>599</v>
      </c>
      <c r="D607" s="20" t="s">
        <v>193</v>
      </c>
      <c r="E607" s="20"/>
      <c r="F607" s="20"/>
      <c r="G607" s="20"/>
      <c r="H607" s="21">
        <f t="shared" ref="H607:J610" si="70">H608</f>
        <v>40</v>
      </c>
      <c r="I607" s="21">
        <f t="shared" si="70"/>
        <v>40</v>
      </c>
      <c r="J607" s="21">
        <f t="shared" si="70"/>
        <v>40</v>
      </c>
    </row>
    <row r="608" spans="2:11" s="72" customFormat="1" ht="25.5">
      <c r="B608" s="136" t="s">
        <v>226</v>
      </c>
      <c r="C608" s="20" t="s">
        <v>599</v>
      </c>
      <c r="D608" s="20" t="s">
        <v>193</v>
      </c>
      <c r="E608" s="20" t="s">
        <v>227</v>
      </c>
      <c r="F608" s="20"/>
      <c r="G608" s="20"/>
      <c r="H608" s="21">
        <f t="shared" si="70"/>
        <v>40</v>
      </c>
      <c r="I608" s="21">
        <f t="shared" si="70"/>
        <v>40</v>
      </c>
      <c r="J608" s="21">
        <f t="shared" si="70"/>
        <v>40</v>
      </c>
    </row>
    <row r="609" spans="2:10" s="22" customFormat="1" ht="38.25">
      <c r="B609" s="70" t="s">
        <v>269</v>
      </c>
      <c r="C609" s="27" t="s">
        <v>599</v>
      </c>
      <c r="D609" s="27" t="s">
        <v>193</v>
      </c>
      <c r="E609" s="27" t="s">
        <v>227</v>
      </c>
      <c r="F609" s="36" t="s">
        <v>270</v>
      </c>
      <c r="G609" s="30"/>
      <c r="H609" s="25">
        <f t="shared" si="70"/>
        <v>40</v>
      </c>
      <c r="I609" s="25">
        <f t="shared" si="70"/>
        <v>40</v>
      </c>
      <c r="J609" s="25">
        <f t="shared" si="70"/>
        <v>40</v>
      </c>
    </row>
    <row r="610" spans="2:10" s="22" customFormat="1" ht="25.5">
      <c r="B610" s="70" t="s">
        <v>600</v>
      </c>
      <c r="C610" s="27" t="s">
        <v>599</v>
      </c>
      <c r="D610" s="27" t="s">
        <v>193</v>
      </c>
      <c r="E610" s="27" t="s">
        <v>227</v>
      </c>
      <c r="F610" s="29" t="s">
        <v>601</v>
      </c>
      <c r="G610" s="30"/>
      <c r="H610" s="25">
        <f t="shared" si="70"/>
        <v>40</v>
      </c>
      <c r="I610" s="25">
        <f t="shared" si="70"/>
        <v>40</v>
      </c>
      <c r="J610" s="25">
        <f t="shared" si="70"/>
        <v>40</v>
      </c>
    </row>
    <row r="611" spans="2:10" s="22" customFormat="1">
      <c r="B611" s="70" t="s">
        <v>273</v>
      </c>
      <c r="C611" s="27" t="s">
        <v>599</v>
      </c>
      <c r="D611" s="27" t="s">
        <v>193</v>
      </c>
      <c r="E611" s="27" t="s">
        <v>227</v>
      </c>
      <c r="F611" s="29" t="s">
        <v>602</v>
      </c>
      <c r="G611" s="30"/>
      <c r="H611" s="25">
        <f>H612+H613</f>
        <v>40</v>
      </c>
      <c r="I611" s="25">
        <f>I612+I613</f>
        <v>40</v>
      </c>
      <c r="J611" s="25">
        <f>J612+J613</f>
        <v>40</v>
      </c>
    </row>
    <row r="612" spans="2:10" s="22" customFormat="1" ht="24" customHeight="1">
      <c r="B612" s="38" t="s">
        <v>39</v>
      </c>
      <c r="C612" s="27" t="s">
        <v>599</v>
      </c>
      <c r="D612" s="27" t="s">
        <v>193</v>
      </c>
      <c r="E612" s="27" t="s">
        <v>227</v>
      </c>
      <c r="F612" s="29" t="s">
        <v>602</v>
      </c>
      <c r="G612" s="30" t="s">
        <v>40</v>
      </c>
      <c r="H612" s="25">
        <v>40</v>
      </c>
      <c r="I612" s="25">
        <v>10</v>
      </c>
      <c r="J612" s="25">
        <v>10</v>
      </c>
    </row>
    <row r="613" spans="2:10" s="22" customFormat="1" ht="17.25" customHeight="1">
      <c r="B613" s="70" t="s">
        <v>127</v>
      </c>
      <c r="C613" s="27" t="s">
        <v>599</v>
      </c>
      <c r="D613" s="27" t="s">
        <v>193</v>
      </c>
      <c r="E613" s="27" t="s">
        <v>227</v>
      </c>
      <c r="F613" s="29" t="s">
        <v>602</v>
      </c>
      <c r="G613" s="30" t="s">
        <v>128</v>
      </c>
      <c r="H613" s="25">
        <v>0</v>
      </c>
      <c r="I613" s="25">
        <v>30</v>
      </c>
      <c r="J613" s="25">
        <v>30</v>
      </c>
    </row>
    <row r="614" spans="2:10" s="72" customFormat="1">
      <c r="B614" s="136" t="s">
        <v>398</v>
      </c>
      <c r="C614" s="20" t="s">
        <v>599</v>
      </c>
      <c r="D614" s="20" t="s">
        <v>399</v>
      </c>
      <c r="E614" s="20"/>
      <c r="F614" s="20"/>
      <c r="G614" s="20"/>
      <c r="H614" s="21">
        <f t="shared" ref="H614:J618" si="71">H615</f>
        <v>30</v>
      </c>
      <c r="I614" s="21">
        <f t="shared" si="71"/>
        <v>30</v>
      </c>
      <c r="J614" s="21">
        <f t="shared" si="71"/>
        <v>30</v>
      </c>
    </row>
    <row r="615" spans="2:10" s="72" customFormat="1">
      <c r="B615" s="136" t="s">
        <v>400</v>
      </c>
      <c r="C615" s="20" t="s">
        <v>599</v>
      </c>
      <c r="D615" s="20" t="s">
        <v>399</v>
      </c>
      <c r="E615" s="20" t="s">
        <v>80</v>
      </c>
      <c r="F615" s="20"/>
      <c r="G615" s="20"/>
      <c r="H615" s="21">
        <f t="shared" si="71"/>
        <v>30</v>
      </c>
      <c r="I615" s="21">
        <f t="shared" si="71"/>
        <v>30</v>
      </c>
      <c r="J615" s="21">
        <f t="shared" si="71"/>
        <v>30</v>
      </c>
    </row>
    <row r="616" spans="2:10" s="22" customFormat="1" ht="24" customHeight="1">
      <c r="B616" s="38" t="s">
        <v>63</v>
      </c>
      <c r="C616" s="27" t="s">
        <v>599</v>
      </c>
      <c r="D616" s="27" t="s">
        <v>399</v>
      </c>
      <c r="E616" s="27" t="s">
        <v>80</v>
      </c>
      <c r="F616" s="27" t="s">
        <v>64</v>
      </c>
      <c r="G616" s="27"/>
      <c r="H616" s="25">
        <f t="shared" si="71"/>
        <v>30</v>
      </c>
      <c r="I616" s="25">
        <f t="shared" si="71"/>
        <v>30</v>
      </c>
      <c r="J616" s="25">
        <f t="shared" si="71"/>
        <v>30</v>
      </c>
    </row>
    <row r="617" spans="2:10" s="22" customFormat="1" ht="25.5">
      <c r="B617" s="49" t="s">
        <v>410</v>
      </c>
      <c r="C617" s="27" t="s">
        <v>599</v>
      </c>
      <c r="D617" s="27" t="s">
        <v>399</v>
      </c>
      <c r="E617" s="27" t="s">
        <v>80</v>
      </c>
      <c r="F617" s="29" t="s">
        <v>411</v>
      </c>
      <c r="G617" s="27"/>
      <c r="H617" s="25">
        <f t="shared" si="71"/>
        <v>30</v>
      </c>
      <c r="I617" s="25">
        <f t="shared" si="71"/>
        <v>30</v>
      </c>
      <c r="J617" s="25">
        <f t="shared" si="71"/>
        <v>30</v>
      </c>
    </row>
    <row r="618" spans="2:10" s="22" customFormat="1">
      <c r="B618" s="106" t="s">
        <v>403</v>
      </c>
      <c r="C618" s="27" t="s">
        <v>599</v>
      </c>
      <c r="D618" s="27" t="s">
        <v>399</v>
      </c>
      <c r="E618" s="27" t="s">
        <v>80</v>
      </c>
      <c r="F618" s="29" t="s">
        <v>412</v>
      </c>
      <c r="G618" s="27"/>
      <c r="H618" s="25">
        <f t="shared" si="71"/>
        <v>30</v>
      </c>
      <c r="I618" s="25">
        <f t="shared" si="71"/>
        <v>30</v>
      </c>
      <c r="J618" s="25">
        <f t="shared" si="71"/>
        <v>30</v>
      </c>
    </row>
    <row r="619" spans="2:10" s="22" customFormat="1" ht="25.5">
      <c r="B619" s="38" t="s">
        <v>39</v>
      </c>
      <c r="C619" s="27" t="s">
        <v>599</v>
      </c>
      <c r="D619" s="27" t="s">
        <v>399</v>
      </c>
      <c r="E619" s="27" t="s">
        <v>80</v>
      </c>
      <c r="F619" s="29" t="s">
        <v>412</v>
      </c>
      <c r="G619" s="27" t="s">
        <v>40</v>
      </c>
      <c r="H619" s="25">
        <v>30</v>
      </c>
      <c r="I619" s="25">
        <v>30</v>
      </c>
      <c r="J619" s="25">
        <v>30</v>
      </c>
    </row>
    <row r="620" spans="2:10" s="22" customFormat="1">
      <c r="B620" s="75" t="s">
        <v>416</v>
      </c>
      <c r="C620" s="20" t="s">
        <v>599</v>
      </c>
      <c r="D620" s="20" t="s">
        <v>417</v>
      </c>
      <c r="E620" s="20"/>
      <c r="F620" s="20"/>
      <c r="G620" s="20"/>
      <c r="H620" s="21">
        <f>H621+H636+H702+H684</f>
        <v>326213.7</v>
      </c>
      <c r="I620" s="21">
        <f>I621+I636+I702+I684</f>
        <v>363626.2</v>
      </c>
      <c r="J620" s="21">
        <f>J621+J636+J702+J684</f>
        <v>359498.3</v>
      </c>
    </row>
    <row r="621" spans="2:10" s="22" customFormat="1" ht="12" customHeight="1">
      <c r="B621" s="19" t="s">
        <v>603</v>
      </c>
      <c r="C621" s="20" t="s">
        <v>599</v>
      </c>
      <c r="D621" s="20" t="s">
        <v>417</v>
      </c>
      <c r="E621" s="20" t="s">
        <v>15</v>
      </c>
      <c r="F621" s="20"/>
      <c r="G621" s="20"/>
      <c r="H621" s="21">
        <f t="shared" ref="H621:J622" si="72">H622</f>
        <v>90215</v>
      </c>
      <c r="I621" s="21">
        <f t="shared" si="72"/>
        <v>99998.5</v>
      </c>
      <c r="J621" s="21">
        <f t="shared" si="72"/>
        <v>102753.20000000001</v>
      </c>
    </row>
    <row r="622" spans="2:10" s="60" customFormat="1" ht="26.25" customHeight="1">
      <c r="B622" s="70" t="s">
        <v>419</v>
      </c>
      <c r="C622" s="27" t="s">
        <v>599</v>
      </c>
      <c r="D622" s="27" t="s">
        <v>417</v>
      </c>
      <c r="E622" s="27" t="s">
        <v>15</v>
      </c>
      <c r="F622" s="29" t="s">
        <v>420</v>
      </c>
      <c r="G622" s="27"/>
      <c r="H622" s="25">
        <f t="shared" si="72"/>
        <v>90215</v>
      </c>
      <c r="I622" s="25">
        <f t="shared" si="72"/>
        <v>99998.5</v>
      </c>
      <c r="J622" s="25">
        <f t="shared" si="72"/>
        <v>102753.20000000001</v>
      </c>
    </row>
    <row r="623" spans="2:10" s="60" customFormat="1" ht="27.75" customHeight="1">
      <c r="B623" s="77" t="s">
        <v>421</v>
      </c>
      <c r="C623" s="27" t="s">
        <v>599</v>
      </c>
      <c r="D623" s="27" t="s">
        <v>417</v>
      </c>
      <c r="E623" s="27" t="s">
        <v>15</v>
      </c>
      <c r="F623" s="29" t="s">
        <v>422</v>
      </c>
      <c r="G623" s="27"/>
      <c r="H623" s="25">
        <f>H624+H633</f>
        <v>90215</v>
      </c>
      <c r="I623" s="25">
        <f>I624+I633</f>
        <v>99998.5</v>
      </c>
      <c r="J623" s="25">
        <f>J624+J633</f>
        <v>102753.20000000001</v>
      </c>
    </row>
    <row r="624" spans="2:10" s="60" customFormat="1" ht="26.25" customHeight="1">
      <c r="B624" s="108" t="s">
        <v>604</v>
      </c>
      <c r="C624" s="27" t="s">
        <v>599</v>
      </c>
      <c r="D624" s="27" t="s">
        <v>417</v>
      </c>
      <c r="E624" s="27" t="s">
        <v>15</v>
      </c>
      <c r="F624" s="29" t="s">
        <v>605</v>
      </c>
      <c r="G624" s="27"/>
      <c r="H624" s="25">
        <f>H625+H627+H631+H629</f>
        <v>90215</v>
      </c>
      <c r="I624" s="25">
        <f>I625+I627+I631+I629</f>
        <v>99998.5</v>
      </c>
      <c r="J624" s="25">
        <f>J625+J627+J631+J629</f>
        <v>102753.20000000001</v>
      </c>
    </row>
    <row r="625" spans="2:11" s="60" customFormat="1" ht="27.75" customHeight="1">
      <c r="B625" s="108" t="s">
        <v>606</v>
      </c>
      <c r="C625" s="27" t="s">
        <v>599</v>
      </c>
      <c r="D625" s="27" t="s">
        <v>417</v>
      </c>
      <c r="E625" s="27" t="s">
        <v>15</v>
      </c>
      <c r="F625" s="29" t="s">
        <v>607</v>
      </c>
      <c r="G625" s="27"/>
      <c r="H625" s="25">
        <f>H626</f>
        <v>67221.2</v>
      </c>
      <c r="I625" s="25">
        <f>I626</f>
        <v>71258.7</v>
      </c>
      <c r="J625" s="25">
        <f>J626</f>
        <v>74513.400000000009</v>
      </c>
    </row>
    <row r="626" spans="2:11" s="60" customFormat="1" ht="14.25" customHeight="1">
      <c r="B626" s="70" t="s">
        <v>127</v>
      </c>
      <c r="C626" s="27" t="s">
        <v>599</v>
      </c>
      <c r="D626" s="27" t="s">
        <v>417</v>
      </c>
      <c r="E626" s="27" t="s">
        <v>15</v>
      </c>
      <c r="F626" s="29" t="s">
        <v>607</v>
      </c>
      <c r="G626" s="27" t="s">
        <v>128</v>
      </c>
      <c r="H626" s="59">
        <f>50193.2+16268.5+759.5</f>
        <v>67221.2</v>
      </c>
      <c r="I626" s="59">
        <f>54286.4+16214.5+757.8</f>
        <v>71258.7</v>
      </c>
      <c r="J626" s="59">
        <f>57541.1+16214.5+757.8</f>
        <v>74513.400000000009</v>
      </c>
    </row>
    <row r="627" spans="2:11" s="60" customFormat="1" ht="14.25" customHeight="1">
      <c r="B627" s="108" t="s">
        <v>608</v>
      </c>
      <c r="C627" s="27" t="s">
        <v>599</v>
      </c>
      <c r="D627" s="27" t="s">
        <v>417</v>
      </c>
      <c r="E627" s="27" t="s">
        <v>15</v>
      </c>
      <c r="F627" s="29" t="s">
        <v>609</v>
      </c>
      <c r="G627" s="27"/>
      <c r="H627" s="25">
        <f>H628</f>
        <v>22630.5</v>
      </c>
      <c r="I627" s="25">
        <f>I628</f>
        <v>28631.5</v>
      </c>
      <c r="J627" s="25">
        <f>J628</f>
        <v>28131.5</v>
      </c>
    </row>
    <row r="628" spans="2:11" s="60" customFormat="1" ht="15.75" customHeight="1">
      <c r="B628" s="70" t="s">
        <v>127</v>
      </c>
      <c r="C628" s="27" t="s">
        <v>599</v>
      </c>
      <c r="D628" s="27" t="s">
        <v>417</v>
      </c>
      <c r="E628" s="27" t="s">
        <v>15</v>
      </c>
      <c r="F628" s="29" t="s">
        <v>609</v>
      </c>
      <c r="G628" s="27" t="s">
        <v>128</v>
      </c>
      <c r="H628" s="59">
        <f>28631.5+599-6600</f>
        <v>22630.5</v>
      </c>
      <c r="I628" s="59">
        <f>28631.5</f>
        <v>28631.5</v>
      </c>
      <c r="J628" s="59">
        <f>28631.5-500</f>
        <v>28131.5</v>
      </c>
    </row>
    <row r="629" spans="2:11" s="60" customFormat="1" ht="52.5" customHeight="1">
      <c r="B629" s="137" t="s">
        <v>610</v>
      </c>
      <c r="C629" s="27" t="s">
        <v>599</v>
      </c>
      <c r="D629" s="27" t="s">
        <v>417</v>
      </c>
      <c r="E629" s="27" t="s">
        <v>15</v>
      </c>
      <c r="F629" s="29" t="s">
        <v>611</v>
      </c>
      <c r="G629" s="27"/>
      <c r="H629" s="59">
        <f>H630</f>
        <v>255</v>
      </c>
      <c r="I629" s="59">
        <f>I630</f>
        <v>0</v>
      </c>
      <c r="J629" s="59">
        <f>J630</f>
        <v>0</v>
      </c>
    </row>
    <row r="630" spans="2:11" s="60" customFormat="1" ht="15.75" customHeight="1">
      <c r="B630" s="113" t="s">
        <v>127</v>
      </c>
      <c r="C630" s="27" t="s">
        <v>599</v>
      </c>
      <c r="D630" s="27" t="s">
        <v>417</v>
      </c>
      <c r="E630" s="27" t="s">
        <v>15</v>
      </c>
      <c r="F630" s="29" t="s">
        <v>611</v>
      </c>
      <c r="G630" s="27" t="s">
        <v>128</v>
      </c>
      <c r="H630" s="59">
        <f>247.4+7.6</f>
        <v>255</v>
      </c>
      <c r="I630" s="59">
        <v>0</v>
      </c>
      <c r="J630" s="59">
        <v>0</v>
      </c>
    </row>
    <row r="631" spans="2:11" s="60" customFormat="1" ht="51.75" customHeight="1">
      <c r="B631" s="100" t="s">
        <v>612</v>
      </c>
      <c r="C631" s="27" t="s">
        <v>599</v>
      </c>
      <c r="D631" s="27" t="s">
        <v>417</v>
      </c>
      <c r="E631" s="27" t="s">
        <v>15</v>
      </c>
      <c r="F631" s="29" t="s">
        <v>613</v>
      </c>
      <c r="G631" s="27"/>
      <c r="H631" s="25">
        <f>H632</f>
        <v>108.30000000000001</v>
      </c>
      <c r="I631" s="25">
        <f>I632</f>
        <v>108.30000000000001</v>
      </c>
      <c r="J631" s="25">
        <f>J632</f>
        <v>108.30000000000001</v>
      </c>
    </row>
    <row r="632" spans="2:11" s="60" customFormat="1" ht="15.75" customHeight="1">
      <c r="B632" s="113" t="s">
        <v>127</v>
      </c>
      <c r="C632" s="27" t="s">
        <v>599</v>
      </c>
      <c r="D632" s="27" t="s">
        <v>417</v>
      </c>
      <c r="E632" s="27" t="s">
        <v>15</v>
      </c>
      <c r="F632" s="29" t="s">
        <v>613</v>
      </c>
      <c r="G632" s="27" t="s">
        <v>128</v>
      </c>
      <c r="H632" s="25">
        <f>90.2+18.1</f>
        <v>108.30000000000001</v>
      </c>
      <c r="I632" s="25">
        <f>90.2+18.1</f>
        <v>108.30000000000001</v>
      </c>
      <c r="J632" s="25">
        <f>90.2+18.1</f>
        <v>108.30000000000001</v>
      </c>
    </row>
    <row r="633" spans="2:11" s="60" customFormat="1" ht="39.75" hidden="1" customHeight="1">
      <c r="B633" s="70" t="s">
        <v>614</v>
      </c>
      <c r="C633" s="27" t="s">
        <v>599</v>
      </c>
      <c r="D633" s="27" t="s">
        <v>417</v>
      </c>
      <c r="E633" s="27" t="s">
        <v>15</v>
      </c>
      <c r="F633" s="29" t="s">
        <v>615</v>
      </c>
      <c r="G633" s="27"/>
      <c r="H633" s="25">
        <f t="shared" ref="H633:J634" si="73">H634</f>
        <v>0</v>
      </c>
      <c r="I633" s="25">
        <f t="shared" si="73"/>
        <v>0</v>
      </c>
      <c r="J633" s="25">
        <f t="shared" si="73"/>
        <v>0</v>
      </c>
    </row>
    <row r="634" spans="2:11" s="60" customFormat="1" ht="15.75" hidden="1" customHeight="1">
      <c r="B634" s="108" t="s">
        <v>608</v>
      </c>
      <c r="C634" s="27" t="s">
        <v>599</v>
      </c>
      <c r="D634" s="27" t="s">
        <v>417</v>
      </c>
      <c r="E634" s="27" t="s">
        <v>15</v>
      </c>
      <c r="F634" s="29" t="s">
        <v>616</v>
      </c>
      <c r="G634" s="27"/>
      <c r="H634" s="25">
        <f t="shared" si="73"/>
        <v>0</v>
      </c>
      <c r="I634" s="25">
        <f t="shared" si="73"/>
        <v>0</v>
      </c>
      <c r="J634" s="25">
        <f t="shared" si="73"/>
        <v>0</v>
      </c>
    </row>
    <row r="635" spans="2:11" s="60" customFormat="1" ht="16.5" hidden="1" customHeight="1">
      <c r="B635" s="70" t="s">
        <v>127</v>
      </c>
      <c r="C635" s="27" t="s">
        <v>599</v>
      </c>
      <c r="D635" s="27" t="s">
        <v>417</v>
      </c>
      <c r="E635" s="27" t="s">
        <v>15</v>
      </c>
      <c r="F635" s="29" t="s">
        <v>616</v>
      </c>
      <c r="G635" s="27" t="s">
        <v>128</v>
      </c>
      <c r="H635" s="25">
        <v>0</v>
      </c>
      <c r="I635" s="25">
        <v>0</v>
      </c>
      <c r="J635" s="25">
        <v>0</v>
      </c>
    </row>
    <row r="636" spans="2:11" s="72" customFormat="1" ht="12" customHeight="1">
      <c r="B636" s="19" t="s">
        <v>418</v>
      </c>
      <c r="C636" s="20" t="s">
        <v>599</v>
      </c>
      <c r="D636" s="20" t="s">
        <v>417</v>
      </c>
      <c r="E636" s="20" t="s">
        <v>17</v>
      </c>
      <c r="F636" s="20"/>
      <c r="G636" s="20"/>
      <c r="H636" s="21">
        <f t="shared" ref="H636:J637" si="74">H637</f>
        <v>213005.49999999997</v>
      </c>
      <c r="I636" s="21">
        <f t="shared" si="74"/>
        <v>238411.3</v>
      </c>
      <c r="J636" s="21">
        <f t="shared" si="74"/>
        <v>230820.3</v>
      </c>
    </row>
    <row r="637" spans="2:11" s="60" customFormat="1" ht="26.25" customHeight="1">
      <c r="B637" s="70" t="s">
        <v>419</v>
      </c>
      <c r="C637" s="27" t="s">
        <v>599</v>
      </c>
      <c r="D637" s="27" t="s">
        <v>417</v>
      </c>
      <c r="E637" s="27" t="s">
        <v>17</v>
      </c>
      <c r="F637" s="29" t="s">
        <v>420</v>
      </c>
      <c r="G637" s="27"/>
      <c r="H637" s="25">
        <f t="shared" si="74"/>
        <v>213005.49999999997</v>
      </c>
      <c r="I637" s="25">
        <f t="shared" si="74"/>
        <v>238411.3</v>
      </c>
      <c r="J637" s="25">
        <f t="shared" si="74"/>
        <v>230820.3</v>
      </c>
    </row>
    <row r="638" spans="2:11" s="60" customFormat="1" ht="26.25" customHeight="1">
      <c r="B638" s="77" t="s">
        <v>421</v>
      </c>
      <c r="C638" s="27" t="s">
        <v>599</v>
      </c>
      <c r="D638" s="27" t="s">
        <v>417</v>
      </c>
      <c r="E638" s="27" t="s">
        <v>17</v>
      </c>
      <c r="F638" s="29" t="s">
        <v>422</v>
      </c>
      <c r="G638" s="27"/>
      <c r="H638" s="25">
        <f>H639+H663+H666+H669+H675+H678+H672+H681</f>
        <v>213005.49999999997</v>
      </c>
      <c r="I638" s="25">
        <f>I639+I663+I666+I669+I675+I678+I672+I681</f>
        <v>238411.3</v>
      </c>
      <c r="J638" s="25">
        <f>J639+J663+J666+J669+J675+J678+J672+J681</f>
        <v>230820.3</v>
      </c>
    </row>
    <row r="639" spans="2:11" s="60" customFormat="1" ht="36.75" customHeight="1">
      <c r="B639" s="77" t="s">
        <v>617</v>
      </c>
      <c r="C639" s="27" t="s">
        <v>599</v>
      </c>
      <c r="D639" s="27" t="s">
        <v>417</v>
      </c>
      <c r="E639" s="27" t="s">
        <v>17</v>
      </c>
      <c r="F639" s="29" t="s">
        <v>618</v>
      </c>
      <c r="G639" s="27"/>
      <c r="H639" s="25">
        <f>H642+H644+H647+H640+H661+H649+H660+H655+H651+H653+H657</f>
        <v>208072.3</v>
      </c>
      <c r="I639" s="25">
        <f>I642+I644+I647+I640+I661+I649+I660+I655+I651+I653+I657</f>
        <v>233478.1</v>
      </c>
      <c r="J639" s="25">
        <f>J642+J644+J647+J640+J661+J649+J660+J655+J651+J653+J657</f>
        <v>226031.1</v>
      </c>
    </row>
    <row r="640" spans="2:11" s="60" customFormat="1" ht="101.25" customHeight="1">
      <c r="B640" s="108" t="s">
        <v>619</v>
      </c>
      <c r="C640" s="27" t="s">
        <v>599</v>
      </c>
      <c r="D640" s="27" t="s">
        <v>417</v>
      </c>
      <c r="E640" s="27" t="s">
        <v>17</v>
      </c>
      <c r="F640" s="29" t="s">
        <v>620</v>
      </c>
      <c r="G640" s="27"/>
      <c r="H640" s="25">
        <f>H641</f>
        <v>7726.1</v>
      </c>
      <c r="I640" s="25">
        <f>I641</f>
        <v>7834.2</v>
      </c>
      <c r="J640" s="25">
        <f>J641</f>
        <v>7873.3</v>
      </c>
      <c r="K640" s="138"/>
    </row>
    <row r="641" spans="2:11" s="60" customFormat="1" ht="14.25" customHeight="1">
      <c r="B641" s="70" t="s">
        <v>127</v>
      </c>
      <c r="C641" s="27" t="s">
        <v>599</v>
      </c>
      <c r="D641" s="27" t="s">
        <v>417</v>
      </c>
      <c r="E641" s="27" t="s">
        <v>17</v>
      </c>
      <c r="F641" s="29" t="s">
        <v>620</v>
      </c>
      <c r="G641" s="27" t="s">
        <v>128</v>
      </c>
      <c r="H641" s="25">
        <f>7726.1</f>
        <v>7726.1</v>
      </c>
      <c r="I641" s="25">
        <f>7834.2</f>
        <v>7834.2</v>
      </c>
      <c r="J641" s="25">
        <f>7873.3</f>
        <v>7873.3</v>
      </c>
    </row>
    <row r="642" spans="2:11" s="60" customFormat="1" ht="23.25" customHeight="1">
      <c r="B642" s="108" t="s">
        <v>606</v>
      </c>
      <c r="C642" s="27" t="s">
        <v>599</v>
      </c>
      <c r="D642" s="27" t="s">
        <v>417</v>
      </c>
      <c r="E642" s="27" t="s">
        <v>17</v>
      </c>
      <c r="F642" s="29" t="s">
        <v>621</v>
      </c>
      <c r="G642" s="27"/>
      <c r="H642" s="25">
        <f>H643</f>
        <v>125532.5</v>
      </c>
      <c r="I642" s="25">
        <f>I643</f>
        <v>133877</v>
      </c>
      <c r="J642" s="25">
        <f>J643</f>
        <v>144192.30000000002</v>
      </c>
    </row>
    <row r="643" spans="2:11" s="60" customFormat="1" ht="15" customHeight="1">
      <c r="B643" s="70" t="s">
        <v>127</v>
      </c>
      <c r="C643" s="27" t="s">
        <v>599</v>
      </c>
      <c r="D643" s="27" t="s">
        <v>417</v>
      </c>
      <c r="E643" s="27" t="s">
        <v>17</v>
      </c>
      <c r="F643" s="29" t="s">
        <v>621</v>
      </c>
      <c r="G643" s="27" t="s">
        <v>128</v>
      </c>
      <c r="H643" s="25">
        <f>105004+16807.6+1635.4+2085.5</f>
        <v>125532.5</v>
      </c>
      <c r="I643" s="25">
        <f>114252.9+17192+1038+1394.1</f>
        <v>133877</v>
      </c>
      <c r="J643" s="25">
        <f>124568.2+17192+1038+1394.1</f>
        <v>144192.30000000002</v>
      </c>
    </row>
    <row r="644" spans="2:11" s="60" customFormat="1" ht="15" customHeight="1">
      <c r="B644" s="108" t="s">
        <v>622</v>
      </c>
      <c r="C644" s="27" t="s">
        <v>599</v>
      </c>
      <c r="D644" s="27" t="s">
        <v>417</v>
      </c>
      <c r="E644" s="27" t="s">
        <v>17</v>
      </c>
      <c r="F644" s="29" t="s">
        <v>623</v>
      </c>
      <c r="G644" s="27"/>
      <c r="H644" s="25">
        <f>H645+H646</f>
        <v>51878.100000000006</v>
      </c>
      <c r="I644" s="25">
        <f>I645+I646</f>
        <v>67334.100000000006</v>
      </c>
      <c r="J644" s="25">
        <f>J645+J646</f>
        <v>66834.100000000006</v>
      </c>
    </row>
    <row r="645" spans="2:11" s="60" customFormat="1" ht="15.75" customHeight="1">
      <c r="B645" s="70" t="s">
        <v>127</v>
      </c>
      <c r="C645" s="27" t="s">
        <v>599</v>
      </c>
      <c r="D645" s="27" t="s">
        <v>417</v>
      </c>
      <c r="E645" s="27" t="s">
        <v>17</v>
      </c>
      <c r="F645" s="29" t="s">
        <v>623</v>
      </c>
      <c r="G645" s="27" t="s">
        <v>128</v>
      </c>
      <c r="H645" s="25">
        <f>69114.1-17250+14</f>
        <v>51878.100000000006</v>
      </c>
      <c r="I645" s="25">
        <f>69114.1-1700-80</f>
        <v>67334.100000000006</v>
      </c>
      <c r="J645" s="25">
        <f>69114.1-2200-80</f>
        <v>66834.100000000006</v>
      </c>
      <c r="K645" s="94"/>
    </row>
    <row r="646" spans="2:11" s="60" customFormat="1" ht="15.75" hidden="1" customHeight="1">
      <c r="B646" s="70" t="s">
        <v>127</v>
      </c>
      <c r="C646" s="27" t="s">
        <v>599</v>
      </c>
      <c r="D646" s="27" t="s">
        <v>417</v>
      </c>
      <c r="E646" s="27" t="s">
        <v>17</v>
      </c>
      <c r="F646" s="29" t="s">
        <v>623</v>
      </c>
      <c r="G646" s="27" t="s">
        <v>526</v>
      </c>
      <c r="H646" s="25">
        <v>0</v>
      </c>
      <c r="I646" s="25">
        <v>0</v>
      </c>
      <c r="J646" s="25">
        <v>0</v>
      </c>
    </row>
    <row r="647" spans="2:11" s="60" customFormat="1" ht="24.75" hidden="1" customHeight="1">
      <c r="B647" s="70" t="s">
        <v>45</v>
      </c>
      <c r="C647" s="27" t="s">
        <v>599</v>
      </c>
      <c r="D647" s="27" t="s">
        <v>417</v>
      </c>
      <c r="E647" s="27" t="s">
        <v>17</v>
      </c>
      <c r="F647" s="29" t="s">
        <v>624</v>
      </c>
      <c r="G647" s="27"/>
      <c r="H647" s="25">
        <f>H648</f>
        <v>0</v>
      </c>
      <c r="I647" s="25">
        <f>I648</f>
        <v>0</v>
      </c>
      <c r="J647" s="25">
        <f>J648</f>
        <v>0</v>
      </c>
    </row>
    <row r="648" spans="2:11" s="60" customFormat="1" ht="15.75" hidden="1" customHeight="1">
      <c r="B648" s="70" t="s">
        <v>176</v>
      </c>
      <c r="C648" s="27" t="s">
        <v>599</v>
      </c>
      <c r="D648" s="27" t="s">
        <v>417</v>
      </c>
      <c r="E648" s="27" t="s">
        <v>17</v>
      </c>
      <c r="F648" s="29" t="s">
        <v>624</v>
      </c>
      <c r="G648" s="27" t="s">
        <v>128</v>
      </c>
      <c r="H648" s="25">
        <v>0</v>
      </c>
      <c r="I648" s="25">
        <v>0</v>
      </c>
      <c r="J648" s="25">
        <v>0</v>
      </c>
    </row>
    <row r="649" spans="2:11" s="60" customFormat="1" ht="26.25" customHeight="1">
      <c r="B649" s="70" t="s">
        <v>625</v>
      </c>
      <c r="C649" s="27" t="s">
        <v>599</v>
      </c>
      <c r="D649" s="27" t="s">
        <v>417</v>
      </c>
      <c r="E649" s="27" t="s">
        <v>17</v>
      </c>
      <c r="F649" s="29" t="s">
        <v>626</v>
      </c>
      <c r="G649" s="27"/>
      <c r="H649" s="25">
        <f>H650</f>
        <v>6125.5</v>
      </c>
      <c r="I649" s="25">
        <f>I650</f>
        <v>5987.2</v>
      </c>
      <c r="J649" s="25">
        <f>J650</f>
        <v>5817.0999999999995</v>
      </c>
    </row>
    <row r="650" spans="2:11" s="60" customFormat="1" ht="13.5" customHeight="1">
      <c r="B650" s="99" t="s">
        <v>127</v>
      </c>
      <c r="C650" s="27" t="s">
        <v>599</v>
      </c>
      <c r="D650" s="27" t="s">
        <v>417</v>
      </c>
      <c r="E650" s="27" t="s">
        <v>17</v>
      </c>
      <c r="F650" s="29" t="s">
        <v>626</v>
      </c>
      <c r="G650" s="27" t="s">
        <v>128</v>
      </c>
      <c r="H650" s="25">
        <f>6003+122.5</f>
        <v>6125.5</v>
      </c>
      <c r="I650" s="25">
        <f>5867.5+119.7</f>
        <v>5987.2</v>
      </c>
      <c r="J650" s="25">
        <f>5700.7+116.4</f>
        <v>5817.0999999999995</v>
      </c>
    </row>
    <row r="651" spans="2:11" s="60" customFormat="1" ht="13.5" customHeight="1">
      <c r="B651" s="139" t="s">
        <v>627</v>
      </c>
      <c r="C651" s="27" t="s">
        <v>599</v>
      </c>
      <c r="D651" s="27" t="s">
        <v>417</v>
      </c>
      <c r="E651" s="27" t="s">
        <v>17</v>
      </c>
      <c r="F651" s="29" t="s">
        <v>628</v>
      </c>
      <c r="G651" s="27"/>
      <c r="H651" s="25">
        <f>H652</f>
        <v>15130.8</v>
      </c>
      <c r="I651" s="25">
        <f>I652</f>
        <v>12297</v>
      </c>
      <c r="J651" s="25">
        <f>J652</f>
        <v>0</v>
      </c>
    </row>
    <row r="652" spans="2:11" s="60" customFormat="1" ht="13.5" customHeight="1">
      <c r="B652" s="99" t="s">
        <v>127</v>
      </c>
      <c r="C652" s="27" t="s">
        <v>599</v>
      </c>
      <c r="D652" s="27" t="s">
        <v>417</v>
      </c>
      <c r="E652" s="27" t="s">
        <v>17</v>
      </c>
      <c r="F652" s="29" t="s">
        <v>628</v>
      </c>
      <c r="G652" s="27" t="s">
        <v>128</v>
      </c>
      <c r="H652" s="25">
        <f>15127.8+3</f>
        <v>15130.8</v>
      </c>
      <c r="I652" s="25">
        <f>12294.5+2.5</f>
        <v>12297</v>
      </c>
      <c r="J652" s="25">
        <v>0</v>
      </c>
    </row>
    <row r="653" spans="2:11" s="60" customFormat="1" ht="78" customHeight="1">
      <c r="B653" s="140" t="s">
        <v>629</v>
      </c>
      <c r="C653" s="27" t="s">
        <v>599</v>
      </c>
      <c r="D653" s="27" t="s">
        <v>417</v>
      </c>
      <c r="E653" s="27" t="s">
        <v>17</v>
      </c>
      <c r="F653" s="29" t="s">
        <v>630</v>
      </c>
      <c r="G653" s="27"/>
      <c r="H653" s="25">
        <f>H654</f>
        <v>0</v>
      </c>
      <c r="I653" s="25">
        <f>I654</f>
        <v>2000.4</v>
      </c>
      <c r="J653" s="25">
        <f>J654</f>
        <v>0</v>
      </c>
    </row>
    <row r="654" spans="2:11" s="60" customFormat="1" ht="13.5" customHeight="1">
      <c r="B654" s="99" t="s">
        <v>127</v>
      </c>
      <c r="C654" s="27" t="s">
        <v>599</v>
      </c>
      <c r="D654" s="27" t="s">
        <v>417</v>
      </c>
      <c r="E654" s="27" t="s">
        <v>17</v>
      </c>
      <c r="F654" s="29" t="s">
        <v>630</v>
      </c>
      <c r="G654" s="27" t="s">
        <v>128</v>
      </c>
      <c r="H654" s="25">
        <f>0</f>
        <v>0</v>
      </c>
      <c r="I654" s="25">
        <f>2000+0.4</f>
        <v>2000.4</v>
      </c>
      <c r="J654" s="25">
        <v>0</v>
      </c>
    </row>
    <row r="655" spans="2:11" s="60" customFormat="1" ht="53.25" customHeight="1">
      <c r="B655" s="139" t="s">
        <v>631</v>
      </c>
      <c r="C655" s="27" t="s">
        <v>599</v>
      </c>
      <c r="D655" s="27" t="s">
        <v>417</v>
      </c>
      <c r="E655" s="27" t="s">
        <v>17</v>
      </c>
      <c r="F655" s="29" t="s">
        <v>632</v>
      </c>
      <c r="G655" s="27"/>
      <c r="H655" s="25">
        <f>H656</f>
        <v>0</v>
      </c>
      <c r="I655" s="25">
        <f>I656</f>
        <v>2833.9</v>
      </c>
      <c r="J655" s="25">
        <f>J656</f>
        <v>0</v>
      </c>
    </row>
    <row r="656" spans="2:11" s="60" customFormat="1" ht="13.5" customHeight="1">
      <c r="B656" s="70" t="s">
        <v>127</v>
      </c>
      <c r="C656" s="27" t="s">
        <v>599</v>
      </c>
      <c r="D656" s="27" t="s">
        <v>417</v>
      </c>
      <c r="E656" s="27" t="s">
        <v>17</v>
      </c>
      <c r="F656" s="29" t="s">
        <v>632</v>
      </c>
      <c r="G656" s="27" t="s">
        <v>128</v>
      </c>
      <c r="H656" s="25">
        <v>0</v>
      </c>
      <c r="I656" s="25">
        <f>2833.3+0.6</f>
        <v>2833.9</v>
      </c>
      <c r="J656" s="25">
        <v>0</v>
      </c>
    </row>
    <row r="657" spans="2:11" s="60" customFormat="1" ht="51" customHeight="1">
      <c r="B657" s="137" t="s">
        <v>610</v>
      </c>
      <c r="C657" s="27" t="s">
        <v>599</v>
      </c>
      <c r="D657" s="27" t="s">
        <v>417</v>
      </c>
      <c r="E657" s="27" t="s">
        <v>17</v>
      </c>
      <c r="F657" s="29" t="s">
        <v>633</v>
      </c>
      <c r="G657" s="27"/>
      <c r="H657" s="59">
        <f>H658</f>
        <v>365</v>
      </c>
      <c r="I657" s="59">
        <f>I658</f>
        <v>0</v>
      </c>
      <c r="J657" s="59">
        <f>J658</f>
        <v>0</v>
      </c>
    </row>
    <row r="658" spans="2:11" s="60" customFormat="1" ht="13.5" customHeight="1">
      <c r="B658" s="113" t="s">
        <v>127</v>
      </c>
      <c r="C658" s="27" t="s">
        <v>599</v>
      </c>
      <c r="D658" s="27" t="s">
        <v>417</v>
      </c>
      <c r="E658" s="27" t="s">
        <v>17</v>
      </c>
      <c r="F658" s="29" t="s">
        <v>633</v>
      </c>
      <c r="G658" s="27" t="s">
        <v>128</v>
      </c>
      <c r="H658" s="59">
        <f>354+11</f>
        <v>365</v>
      </c>
      <c r="I658" s="59">
        <v>0</v>
      </c>
      <c r="J658" s="59">
        <v>0</v>
      </c>
    </row>
    <row r="659" spans="2:11" s="60" customFormat="1" ht="40.5" hidden="1" customHeight="1">
      <c r="B659" s="100" t="s">
        <v>634</v>
      </c>
      <c r="C659" s="27" t="s">
        <v>599</v>
      </c>
      <c r="D659" s="27" t="s">
        <v>417</v>
      </c>
      <c r="E659" s="27" t="s">
        <v>17</v>
      </c>
      <c r="F659" s="29" t="s">
        <v>635</v>
      </c>
      <c r="G659" s="27"/>
      <c r="H659" s="25">
        <f>H660</f>
        <v>0</v>
      </c>
      <c r="I659" s="25">
        <f>I660</f>
        <v>0</v>
      </c>
      <c r="J659" s="25">
        <f>J660</f>
        <v>0</v>
      </c>
    </row>
    <row r="660" spans="2:11" s="60" customFormat="1" ht="18" hidden="1" customHeight="1">
      <c r="B660" s="113" t="s">
        <v>127</v>
      </c>
      <c r="C660" s="27" t="s">
        <v>599</v>
      </c>
      <c r="D660" s="27" t="s">
        <v>417</v>
      </c>
      <c r="E660" s="27" t="s">
        <v>17</v>
      </c>
      <c r="F660" s="29" t="s">
        <v>635</v>
      </c>
      <c r="G660" s="98" t="s">
        <v>128</v>
      </c>
      <c r="H660" s="25"/>
      <c r="I660" s="25"/>
      <c r="J660" s="25"/>
    </row>
    <row r="661" spans="2:11" s="60" customFormat="1" ht="53.25" customHeight="1">
      <c r="B661" s="100" t="s">
        <v>612</v>
      </c>
      <c r="C661" s="27" t="s">
        <v>599</v>
      </c>
      <c r="D661" s="27" t="s">
        <v>417</v>
      </c>
      <c r="E661" s="27" t="s">
        <v>17</v>
      </c>
      <c r="F661" s="29" t="s">
        <v>636</v>
      </c>
      <c r="G661" s="27"/>
      <c r="H661" s="25">
        <f>H662</f>
        <v>1314.3</v>
      </c>
      <c r="I661" s="25">
        <f>I662</f>
        <v>1314.3</v>
      </c>
      <c r="J661" s="25">
        <f>J662</f>
        <v>1314.3</v>
      </c>
    </row>
    <row r="662" spans="2:11" s="60" customFormat="1" ht="14.25" customHeight="1">
      <c r="B662" s="113" t="s">
        <v>127</v>
      </c>
      <c r="C662" s="27" t="s">
        <v>599</v>
      </c>
      <c r="D662" s="27" t="s">
        <v>417</v>
      </c>
      <c r="E662" s="27" t="s">
        <v>17</v>
      </c>
      <c r="F662" s="29" t="s">
        <v>636</v>
      </c>
      <c r="G662" s="27" t="s">
        <v>128</v>
      </c>
      <c r="H662" s="25">
        <f>1095.3+219</f>
        <v>1314.3</v>
      </c>
      <c r="I662" s="25">
        <f>1095.3+219</f>
        <v>1314.3</v>
      </c>
      <c r="J662" s="25">
        <f>1095.3+219</f>
        <v>1314.3</v>
      </c>
      <c r="K662"/>
    </row>
    <row r="663" spans="2:11" s="60" customFormat="1" ht="36.75" customHeight="1">
      <c r="B663" s="89" t="s">
        <v>637</v>
      </c>
      <c r="C663" s="27" t="s">
        <v>599</v>
      </c>
      <c r="D663" s="27" t="s">
        <v>417</v>
      </c>
      <c r="E663" s="27" t="s">
        <v>17</v>
      </c>
      <c r="F663" s="29" t="s">
        <v>638</v>
      </c>
      <c r="G663" s="27"/>
      <c r="H663" s="25">
        <f t="shared" ref="H663:J664" si="75">H664</f>
        <v>4100.4000000000005</v>
      </c>
      <c r="I663" s="25">
        <f t="shared" si="75"/>
        <v>4100.4000000000005</v>
      </c>
      <c r="J663" s="25">
        <f t="shared" si="75"/>
        <v>4100.4000000000005</v>
      </c>
    </row>
    <row r="664" spans="2:11" s="60" customFormat="1" ht="53.25" customHeight="1">
      <c r="B664" s="108" t="s">
        <v>639</v>
      </c>
      <c r="C664" s="27" t="s">
        <v>599</v>
      </c>
      <c r="D664" s="27" t="s">
        <v>417</v>
      </c>
      <c r="E664" s="27" t="s">
        <v>17</v>
      </c>
      <c r="F664" s="29" t="s">
        <v>640</v>
      </c>
      <c r="G664" s="27"/>
      <c r="H664" s="25">
        <f t="shared" si="75"/>
        <v>4100.4000000000005</v>
      </c>
      <c r="I664" s="25">
        <f t="shared" si="75"/>
        <v>4100.4000000000005</v>
      </c>
      <c r="J664" s="25">
        <f t="shared" si="75"/>
        <v>4100.4000000000005</v>
      </c>
    </row>
    <row r="665" spans="2:11" s="60" customFormat="1" ht="15.75" customHeight="1">
      <c r="B665" s="70" t="s">
        <v>127</v>
      </c>
      <c r="C665" s="27" t="s">
        <v>599</v>
      </c>
      <c r="D665" s="27" t="s">
        <v>417</v>
      </c>
      <c r="E665" s="27" t="s">
        <v>17</v>
      </c>
      <c r="F665" s="29" t="s">
        <v>640</v>
      </c>
      <c r="G665" s="27" t="s">
        <v>128</v>
      </c>
      <c r="H665" s="25">
        <f>407.1+3693.3</f>
        <v>4100.4000000000005</v>
      </c>
      <c r="I665" s="25">
        <f>407.1+3693.3</f>
        <v>4100.4000000000005</v>
      </c>
      <c r="J665" s="25">
        <f>407.1+3693.3</f>
        <v>4100.4000000000005</v>
      </c>
    </row>
    <row r="666" spans="2:11" s="60" customFormat="1" ht="39.75" hidden="1" customHeight="1">
      <c r="B666" s="70" t="s">
        <v>614</v>
      </c>
      <c r="C666" s="27" t="s">
        <v>599</v>
      </c>
      <c r="D666" s="27" t="s">
        <v>417</v>
      </c>
      <c r="E666" s="27" t="s">
        <v>17</v>
      </c>
      <c r="F666" s="29" t="s">
        <v>615</v>
      </c>
      <c r="G666" s="27"/>
      <c r="H666" s="25">
        <f t="shared" ref="H666:J667" si="76">H667</f>
        <v>0</v>
      </c>
      <c r="I666" s="25">
        <f t="shared" si="76"/>
        <v>0</v>
      </c>
      <c r="J666" s="25">
        <f t="shared" si="76"/>
        <v>0</v>
      </c>
    </row>
    <row r="667" spans="2:11" s="60" customFormat="1" ht="14.25" hidden="1" customHeight="1">
      <c r="B667" s="108" t="s">
        <v>622</v>
      </c>
      <c r="C667" s="27" t="s">
        <v>599</v>
      </c>
      <c r="D667" s="27" t="s">
        <v>417</v>
      </c>
      <c r="E667" s="27" t="s">
        <v>17</v>
      </c>
      <c r="F667" s="29" t="s">
        <v>641</v>
      </c>
      <c r="G667" s="27"/>
      <c r="H667" s="25">
        <f t="shared" si="76"/>
        <v>0</v>
      </c>
      <c r="I667" s="25">
        <f t="shared" si="76"/>
        <v>0</v>
      </c>
      <c r="J667" s="25">
        <f t="shared" si="76"/>
        <v>0</v>
      </c>
    </row>
    <row r="668" spans="2:11" s="60" customFormat="1" ht="15" hidden="1" customHeight="1">
      <c r="B668" s="70" t="s">
        <v>127</v>
      </c>
      <c r="C668" s="27" t="s">
        <v>599</v>
      </c>
      <c r="D668" s="27" t="s">
        <v>417</v>
      </c>
      <c r="E668" s="27" t="s">
        <v>17</v>
      </c>
      <c r="F668" s="29" t="s">
        <v>641</v>
      </c>
      <c r="G668" s="27" t="s">
        <v>128</v>
      </c>
      <c r="H668" s="25">
        <v>0</v>
      </c>
      <c r="I668" s="25">
        <v>0</v>
      </c>
      <c r="J668" s="25">
        <v>0</v>
      </c>
    </row>
    <row r="669" spans="2:11" s="60" customFormat="1" ht="26.25" customHeight="1">
      <c r="B669" s="70" t="s">
        <v>642</v>
      </c>
      <c r="C669" s="27" t="s">
        <v>599</v>
      </c>
      <c r="D669" s="27" t="s">
        <v>417</v>
      </c>
      <c r="E669" s="27" t="s">
        <v>17</v>
      </c>
      <c r="F669" s="29" t="s">
        <v>643</v>
      </c>
      <c r="G669" s="27"/>
      <c r="H669" s="25">
        <f t="shared" ref="H669:J670" si="77">H670</f>
        <v>50</v>
      </c>
      <c r="I669" s="25">
        <f t="shared" si="77"/>
        <v>50</v>
      </c>
      <c r="J669" s="25">
        <f t="shared" si="77"/>
        <v>50</v>
      </c>
    </row>
    <row r="670" spans="2:11" s="60" customFormat="1" ht="17.25" customHeight="1">
      <c r="B670" s="108" t="s">
        <v>622</v>
      </c>
      <c r="C670" s="27" t="s">
        <v>599</v>
      </c>
      <c r="D670" s="27" t="s">
        <v>417</v>
      </c>
      <c r="E670" s="27" t="s">
        <v>17</v>
      </c>
      <c r="F670" s="29" t="s">
        <v>644</v>
      </c>
      <c r="G670" s="27"/>
      <c r="H670" s="25">
        <f t="shared" si="77"/>
        <v>50</v>
      </c>
      <c r="I670" s="25">
        <f t="shared" si="77"/>
        <v>50</v>
      </c>
      <c r="J670" s="25">
        <f t="shared" si="77"/>
        <v>50</v>
      </c>
    </row>
    <row r="671" spans="2:11" s="60" customFormat="1" ht="11.25" customHeight="1">
      <c r="B671" s="70" t="s">
        <v>127</v>
      </c>
      <c r="C671" s="27" t="s">
        <v>599</v>
      </c>
      <c r="D671" s="27" t="s">
        <v>417</v>
      </c>
      <c r="E671" s="27" t="s">
        <v>17</v>
      </c>
      <c r="F671" s="29" t="s">
        <v>644</v>
      </c>
      <c r="G671" s="27" t="s">
        <v>128</v>
      </c>
      <c r="H671" s="25">
        <v>50</v>
      </c>
      <c r="I671" s="25">
        <v>50</v>
      </c>
      <c r="J671" s="25">
        <v>50</v>
      </c>
    </row>
    <row r="672" spans="2:11" s="60" customFormat="1" ht="28.5" hidden="1" customHeight="1">
      <c r="B672" s="111" t="s">
        <v>423</v>
      </c>
      <c r="C672" s="27" t="s">
        <v>599</v>
      </c>
      <c r="D672" s="27" t="s">
        <v>417</v>
      </c>
      <c r="E672" s="27" t="s">
        <v>17</v>
      </c>
      <c r="F672" s="29" t="s">
        <v>424</v>
      </c>
      <c r="G672" s="27"/>
      <c r="H672" s="25">
        <f t="shared" ref="H672:J673" si="78">H673</f>
        <v>0</v>
      </c>
      <c r="I672" s="25">
        <f t="shared" si="78"/>
        <v>0</v>
      </c>
      <c r="J672" s="25">
        <f t="shared" si="78"/>
        <v>0</v>
      </c>
    </row>
    <row r="673" spans="2:11" s="60" customFormat="1" ht="37.5" hidden="1" customHeight="1">
      <c r="B673" s="111" t="s">
        <v>425</v>
      </c>
      <c r="C673" s="27" t="s">
        <v>599</v>
      </c>
      <c r="D673" s="27" t="s">
        <v>417</v>
      </c>
      <c r="E673" s="27" t="s">
        <v>17</v>
      </c>
      <c r="F673" s="29" t="s">
        <v>426</v>
      </c>
      <c r="G673" s="27"/>
      <c r="H673" s="25">
        <f t="shared" si="78"/>
        <v>0</v>
      </c>
      <c r="I673" s="25">
        <f t="shared" si="78"/>
        <v>0</v>
      </c>
      <c r="J673" s="25">
        <f t="shared" si="78"/>
        <v>0</v>
      </c>
    </row>
    <row r="674" spans="2:11" s="60" customFormat="1" ht="16.5" hidden="1" customHeight="1">
      <c r="B674" s="70" t="s">
        <v>127</v>
      </c>
      <c r="C674" s="27" t="s">
        <v>599</v>
      </c>
      <c r="D674" s="27" t="s">
        <v>417</v>
      </c>
      <c r="E674" s="27" t="s">
        <v>17</v>
      </c>
      <c r="F674" s="29" t="s">
        <v>426</v>
      </c>
      <c r="G674" s="27" t="s">
        <v>128</v>
      </c>
      <c r="H674" s="25"/>
      <c r="I674" s="25"/>
      <c r="J674" s="25"/>
      <c r="K674"/>
    </row>
    <row r="675" spans="2:11" s="60" customFormat="1" ht="26.25" hidden="1" customHeight="1">
      <c r="B675" s="113" t="s">
        <v>645</v>
      </c>
      <c r="C675" s="27" t="s">
        <v>599</v>
      </c>
      <c r="D675" s="27" t="s">
        <v>417</v>
      </c>
      <c r="E675" s="27" t="s">
        <v>17</v>
      </c>
      <c r="F675" s="29" t="s">
        <v>646</v>
      </c>
      <c r="G675" s="27"/>
      <c r="H675" s="25">
        <f t="shared" ref="H675:J676" si="79">H676</f>
        <v>0</v>
      </c>
      <c r="I675" s="25">
        <f t="shared" si="79"/>
        <v>0</v>
      </c>
      <c r="J675" s="25">
        <f t="shared" si="79"/>
        <v>0</v>
      </c>
    </row>
    <row r="676" spans="2:11" s="60" customFormat="1" ht="51.75" hidden="1" customHeight="1">
      <c r="B676" s="70" t="s">
        <v>647</v>
      </c>
      <c r="C676" s="27" t="s">
        <v>599</v>
      </c>
      <c r="D676" s="27" t="s">
        <v>417</v>
      </c>
      <c r="E676" s="27" t="s">
        <v>17</v>
      </c>
      <c r="F676" s="29" t="s">
        <v>648</v>
      </c>
      <c r="G676" s="27"/>
      <c r="H676" s="25">
        <f t="shared" si="79"/>
        <v>0</v>
      </c>
      <c r="I676" s="25">
        <f t="shared" si="79"/>
        <v>0</v>
      </c>
      <c r="J676" s="25">
        <f t="shared" si="79"/>
        <v>0</v>
      </c>
    </row>
    <row r="677" spans="2:11" s="60" customFormat="1" ht="15.75" hidden="1" customHeight="1">
      <c r="B677" s="70" t="s">
        <v>176</v>
      </c>
      <c r="C677" s="27" t="s">
        <v>599</v>
      </c>
      <c r="D677" s="27" t="s">
        <v>417</v>
      </c>
      <c r="E677" s="27" t="s">
        <v>17</v>
      </c>
      <c r="F677" s="29" t="s">
        <v>648</v>
      </c>
      <c r="G677" s="27" t="s">
        <v>40</v>
      </c>
      <c r="H677" s="25"/>
      <c r="I677" s="25"/>
      <c r="J677" s="25"/>
    </row>
    <row r="678" spans="2:11" s="60" customFormat="1" ht="24.75" hidden="1" customHeight="1">
      <c r="B678" s="113" t="s">
        <v>649</v>
      </c>
      <c r="C678" s="27" t="s">
        <v>599</v>
      </c>
      <c r="D678" s="27" t="s">
        <v>417</v>
      </c>
      <c r="E678" s="27" t="s">
        <v>17</v>
      </c>
      <c r="F678" s="29" t="s">
        <v>650</v>
      </c>
      <c r="G678" s="27"/>
      <c r="H678" s="25">
        <f t="shared" ref="H678:J679" si="80">H679</f>
        <v>0</v>
      </c>
      <c r="I678" s="25">
        <f t="shared" si="80"/>
        <v>0</v>
      </c>
      <c r="J678" s="25">
        <f t="shared" si="80"/>
        <v>0</v>
      </c>
    </row>
    <row r="679" spans="2:11" s="60" customFormat="1" ht="38.25" hidden="1" customHeight="1">
      <c r="B679" s="70" t="s">
        <v>651</v>
      </c>
      <c r="C679" s="27" t="s">
        <v>599</v>
      </c>
      <c r="D679" s="27" t="s">
        <v>417</v>
      </c>
      <c r="E679" s="27" t="s">
        <v>17</v>
      </c>
      <c r="F679" s="29" t="s">
        <v>652</v>
      </c>
      <c r="G679" s="27"/>
      <c r="H679" s="25">
        <f t="shared" si="80"/>
        <v>0</v>
      </c>
      <c r="I679" s="25">
        <f t="shared" si="80"/>
        <v>0</v>
      </c>
      <c r="J679" s="25">
        <f t="shared" si="80"/>
        <v>0</v>
      </c>
    </row>
    <row r="680" spans="2:11" s="60" customFormat="1" ht="15" hidden="1" customHeight="1">
      <c r="B680" s="70" t="s">
        <v>176</v>
      </c>
      <c r="C680" s="27" t="s">
        <v>599</v>
      </c>
      <c r="D680" s="27" t="s">
        <v>417</v>
      </c>
      <c r="E680" s="27" t="s">
        <v>17</v>
      </c>
      <c r="F680" s="29" t="s">
        <v>652</v>
      </c>
      <c r="G680" s="27" t="s">
        <v>40</v>
      </c>
      <c r="H680" s="25"/>
      <c r="I680" s="25"/>
      <c r="J680" s="25"/>
    </row>
    <row r="681" spans="2:11" s="60" customFormat="1" ht="37.5" customHeight="1">
      <c r="B681" s="113" t="s">
        <v>653</v>
      </c>
      <c r="C681" s="27" t="s">
        <v>599</v>
      </c>
      <c r="D681" s="27" t="s">
        <v>417</v>
      </c>
      <c r="E681" s="27" t="s">
        <v>17</v>
      </c>
      <c r="F681" s="29" t="s">
        <v>654</v>
      </c>
      <c r="G681" s="27"/>
      <c r="H681" s="25">
        <f t="shared" ref="H681:J682" si="81">H682</f>
        <v>782.8</v>
      </c>
      <c r="I681" s="25">
        <f t="shared" si="81"/>
        <v>782.8</v>
      </c>
      <c r="J681" s="25">
        <f t="shared" si="81"/>
        <v>638.79999999999995</v>
      </c>
    </row>
    <row r="682" spans="2:11" s="60" customFormat="1" ht="38.25" customHeight="1">
      <c r="B682" s="113" t="s">
        <v>655</v>
      </c>
      <c r="C682" s="27" t="s">
        <v>599</v>
      </c>
      <c r="D682" s="27" t="s">
        <v>417</v>
      </c>
      <c r="E682" s="27" t="s">
        <v>17</v>
      </c>
      <c r="F682" s="29" t="s">
        <v>656</v>
      </c>
      <c r="G682" s="27"/>
      <c r="H682" s="25">
        <f t="shared" si="81"/>
        <v>782.8</v>
      </c>
      <c r="I682" s="25">
        <f t="shared" si="81"/>
        <v>782.8</v>
      </c>
      <c r="J682" s="25">
        <f t="shared" si="81"/>
        <v>638.79999999999995</v>
      </c>
    </row>
    <row r="683" spans="2:11" s="60" customFormat="1" ht="15" customHeight="1">
      <c r="B683" s="113" t="s">
        <v>176</v>
      </c>
      <c r="C683" s="27" t="s">
        <v>599</v>
      </c>
      <c r="D683" s="27" t="s">
        <v>417</v>
      </c>
      <c r="E683" s="27" t="s">
        <v>17</v>
      </c>
      <c r="F683" s="29" t="s">
        <v>656</v>
      </c>
      <c r="G683" s="27" t="s">
        <v>128</v>
      </c>
      <c r="H683" s="25">
        <f>782.8</f>
        <v>782.8</v>
      </c>
      <c r="I683" s="25">
        <f>782.8</f>
        <v>782.8</v>
      </c>
      <c r="J683" s="25">
        <f>638.8</f>
        <v>638.79999999999995</v>
      </c>
    </row>
    <row r="684" spans="2:11" s="91" customFormat="1" ht="13.5" customHeight="1">
      <c r="B684" s="117" t="s">
        <v>427</v>
      </c>
      <c r="C684" s="20" t="s">
        <v>599</v>
      </c>
      <c r="D684" s="20" t="s">
        <v>417</v>
      </c>
      <c r="E684" s="20" t="s">
        <v>193</v>
      </c>
      <c r="F684" s="88"/>
      <c r="G684" s="20"/>
      <c r="H684" s="21">
        <f t="shared" ref="H684:J685" si="82">H685</f>
        <v>17510.699999999997</v>
      </c>
      <c r="I684" s="21">
        <f t="shared" si="82"/>
        <v>19323.900000000001</v>
      </c>
      <c r="J684" s="21">
        <f t="shared" si="82"/>
        <v>20032.3</v>
      </c>
    </row>
    <row r="685" spans="2:11" s="141" customFormat="1" ht="29.25" customHeight="1">
      <c r="B685" s="126" t="s">
        <v>419</v>
      </c>
      <c r="C685" s="27" t="s">
        <v>599</v>
      </c>
      <c r="D685" s="27" t="s">
        <v>417</v>
      </c>
      <c r="E685" s="27" t="s">
        <v>193</v>
      </c>
      <c r="F685" s="29" t="s">
        <v>420</v>
      </c>
      <c r="G685" s="27"/>
      <c r="H685" s="25">
        <f t="shared" si="82"/>
        <v>17510.699999999997</v>
      </c>
      <c r="I685" s="25">
        <f t="shared" si="82"/>
        <v>19323.900000000001</v>
      </c>
      <c r="J685" s="25">
        <f t="shared" si="82"/>
        <v>20032.3</v>
      </c>
    </row>
    <row r="686" spans="2:11" s="141" customFormat="1" ht="29.25" customHeight="1">
      <c r="B686" s="56" t="s">
        <v>421</v>
      </c>
      <c r="C686" s="27" t="s">
        <v>599</v>
      </c>
      <c r="D686" s="27" t="s">
        <v>417</v>
      </c>
      <c r="E686" s="27" t="s">
        <v>193</v>
      </c>
      <c r="F686" s="29" t="s">
        <v>422</v>
      </c>
      <c r="G686" s="27"/>
      <c r="H686" s="25">
        <f>H687+H696+H699</f>
        <v>17510.699999999997</v>
      </c>
      <c r="I686" s="25">
        <f>I687+I696+I699</f>
        <v>19323.900000000001</v>
      </c>
      <c r="J686" s="25">
        <f>J687+J696+J699</f>
        <v>20032.3</v>
      </c>
    </row>
    <row r="687" spans="2:11" s="141" customFormat="1" ht="27.75" customHeight="1">
      <c r="B687" s="70" t="s">
        <v>428</v>
      </c>
      <c r="C687" s="27" t="s">
        <v>599</v>
      </c>
      <c r="D687" s="27" t="s">
        <v>417</v>
      </c>
      <c r="E687" s="27" t="s">
        <v>193</v>
      </c>
      <c r="F687" s="29" t="s">
        <v>657</v>
      </c>
      <c r="G687" s="27"/>
      <c r="H687" s="25">
        <f>H688+H692+H690+H694</f>
        <v>17460.699999999997</v>
      </c>
      <c r="I687" s="25">
        <f>I688+I692+I690+I694</f>
        <v>19273.900000000001</v>
      </c>
      <c r="J687" s="25">
        <f>J688+J692+J690+J694</f>
        <v>19982.3</v>
      </c>
    </row>
    <row r="688" spans="2:11" s="141" customFormat="1" ht="15.75" customHeight="1">
      <c r="B688" s="56" t="s">
        <v>430</v>
      </c>
      <c r="C688" s="27" t="s">
        <v>599</v>
      </c>
      <c r="D688" s="27" t="s">
        <v>417</v>
      </c>
      <c r="E688" s="27" t="s">
        <v>193</v>
      </c>
      <c r="F688" s="29" t="s">
        <v>658</v>
      </c>
      <c r="G688" s="27"/>
      <c r="H688" s="25">
        <f>H689</f>
        <v>2015.099999999999</v>
      </c>
      <c r="I688" s="25">
        <f>I689</f>
        <v>1834.8000000000011</v>
      </c>
      <c r="J688" s="25">
        <f>J689</f>
        <v>1537.3999999999996</v>
      </c>
    </row>
    <row r="689" spans="2:11" s="141" customFormat="1" ht="14.25" customHeight="1">
      <c r="B689" s="126" t="s">
        <v>127</v>
      </c>
      <c r="C689" s="27" t="s">
        <v>599</v>
      </c>
      <c r="D689" s="27" t="s">
        <v>417</v>
      </c>
      <c r="E689" s="27" t="s">
        <v>193</v>
      </c>
      <c r="F689" s="29" t="s">
        <v>658</v>
      </c>
      <c r="G689" s="27" t="s">
        <v>128</v>
      </c>
      <c r="H689" s="25">
        <f>16371.8-14215.6-141.1</f>
        <v>2015.099999999999</v>
      </c>
      <c r="I689" s="25">
        <f>17073.9-15239.1</f>
        <v>1834.8000000000011</v>
      </c>
      <c r="J689" s="25">
        <f>17782.3-16244.9</f>
        <v>1537.3999999999996</v>
      </c>
      <c r="K689"/>
    </row>
    <row r="690" spans="2:11" s="141" customFormat="1" ht="27.75" customHeight="1">
      <c r="B690" s="142" t="s">
        <v>45</v>
      </c>
      <c r="C690" s="27" t="s">
        <v>599</v>
      </c>
      <c r="D690" s="27" t="s">
        <v>417</v>
      </c>
      <c r="E690" s="27" t="s">
        <v>193</v>
      </c>
      <c r="F690" s="29" t="s">
        <v>659</v>
      </c>
      <c r="G690" s="27"/>
      <c r="H690" s="25">
        <f>H691</f>
        <v>14215.6</v>
      </c>
      <c r="I690" s="25">
        <f>I691</f>
        <v>15239.1</v>
      </c>
      <c r="J690" s="25">
        <f>J691</f>
        <v>16244.9</v>
      </c>
    </row>
    <row r="691" spans="2:11" s="141" customFormat="1" ht="14.25" customHeight="1">
      <c r="B691" s="70" t="s">
        <v>176</v>
      </c>
      <c r="C691" s="27" t="s">
        <v>599</v>
      </c>
      <c r="D691" s="27" t="s">
        <v>417</v>
      </c>
      <c r="E691" s="27" t="s">
        <v>193</v>
      </c>
      <c r="F691" s="29" t="s">
        <v>659</v>
      </c>
      <c r="G691" s="27" t="s">
        <v>128</v>
      </c>
      <c r="H691" s="25">
        <v>14215.6</v>
      </c>
      <c r="I691" s="25">
        <v>15239.1</v>
      </c>
      <c r="J691" s="25">
        <v>16244.9</v>
      </c>
    </row>
    <row r="692" spans="2:11" s="141" customFormat="1" ht="39" hidden="1" customHeight="1">
      <c r="B692" s="143" t="s">
        <v>660</v>
      </c>
      <c r="C692" s="27" t="s">
        <v>599</v>
      </c>
      <c r="D692" s="27" t="s">
        <v>417</v>
      </c>
      <c r="E692" s="27" t="s">
        <v>193</v>
      </c>
      <c r="F692" s="29" t="s">
        <v>661</v>
      </c>
      <c r="G692" s="27"/>
      <c r="H692" s="25">
        <f>H693</f>
        <v>0</v>
      </c>
      <c r="I692" s="25">
        <f>I693</f>
        <v>0</v>
      </c>
      <c r="J692" s="25">
        <f>J693</f>
        <v>0</v>
      </c>
    </row>
    <row r="693" spans="2:11" s="141" customFormat="1" ht="41.25" hidden="1" customHeight="1">
      <c r="B693" s="143" t="s">
        <v>120</v>
      </c>
      <c r="C693" s="27" t="s">
        <v>599</v>
      </c>
      <c r="D693" s="27" t="s">
        <v>417</v>
      </c>
      <c r="E693" s="27" t="s">
        <v>193</v>
      </c>
      <c r="F693" s="29" t="s">
        <v>661</v>
      </c>
      <c r="G693" s="27" t="s">
        <v>116</v>
      </c>
      <c r="H693" s="25"/>
      <c r="I693" s="25"/>
      <c r="J693" s="25"/>
    </row>
    <row r="694" spans="2:11" s="141" customFormat="1" ht="25.5" customHeight="1">
      <c r="B694" s="96" t="s">
        <v>662</v>
      </c>
      <c r="C694" s="27" t="s">
        <v>599</v>
      </c>
      <c r="D694" s="27" t="s">
        <v>417</v>
      </c>
      <c r="E694" s="27" t="s">
        <v>193</v>
      </c>
      <c r="F694" s="29" t="s">
        <v>663</v>
      </c>
      <c r="G694" s="27"/>
      <c r="H694" s="25">
        <f>H695</f>
        <v>1230</v>
      </c>
      <c r="I694" s="25">
        <f>I695</f>
        <v>2200</v>
      </c>
      <c r="J694" s="25">
        <f>J695</f>
        <v>2200</v>
      </c>
    </row>
    <row r="695" spans="2:11" s="141" customFormat="1" ht="17.25" customHeight="1">
      <c r="B695" s="126" t="s">
        <v>127</v>
      </c>
      <c r="C695" s="27" t="s">
        <v>599</v>
      </c>
      <c r="D695" s="27" t="s">
        <v>417</v>
      </c>
      <c r="E695" s="27" t="s">
        <v>193</v>
      </c>
      <c r="F695" s="29" t="s">
        <v>663</v>
      </c>
      <c r="G695" s="27" t="s">
        <v>128</v>
      </c>
      <c r="H695" s="25">
        <f>2200-970</f>
        <v>1230</v>
      </c>
      <c r="I695" s="25">
        <v>2200</v>
      </c>
      <c r="J695" s="25">
        <v>2200</v>
      </c>
      <c r="K695"/>
    </row>
    <row r="696" spans="2:11" s="141" customFormat="1" ht="38.25" hidden="1" customHeight="1">
      <c r="B696" s="126" t="s">
        <v>614</v>
      </c>
      <c r="C696" s="27" t="s">
        <v>599</v>
      </c>
      <c r="D696" s="27" t="s">
        <v>417</v>
      </c>
      <c r="E696" s="27" t="s">
        <v>193</v>
      </c>
      <c r="F696" s="29" t="s">
        <v>615</v>
      </c>
      <c r="G696" s="27"/>
      <c r="H696" s="25">
        <f t="shared" ref="H696:J697" si="83">H697</f>
        <v>0</v>
      </c>
      <c r="I696" s="25">
        <f t="shared" si="83"/>
        <v>0</v>
      </c>
      <c r="J696" s="25">
        <f t="shared" si="83"/>
        <v>0</v>
      </c>
    </row>
    <row r="697" spans="2:11" s="141" customFormat="1" ht="15" hidden="1" customHeight="1">
      <c r="B697" s="56" t="s">
        <v>430</v>
      </c>
      <c r="C697" s="27" t="s">
        <v>599</v>
      </c>
      <c r="D697" s="27" t="s">
        <v>417</v>
      </c>
      <c r="E697" s="27" t="s">
        <v>193</v>
      </c>
      <c r="F697" s="29" t="s">
        <v>664</v>
      </c>
      <c r="G697" s="27"/>
      <c r="H697" s="25">
        <f t="shared" si="83"/>
        <v>0</v>
      </c>
      <c r="I697" s="25">
        <f t="shared" si="83"/>
        <v>0</v>
      </c>
      <c r="J697" s="25">
        <f t="shared" si="83"/>
        <v>0</v>
      </c>
    </row>
    <row r="698" spans="2:11" s="141" customFormat="1" ht="15.75" hidden="1" customHeight="1">
      <c r="B698" s="126" t="s">
        <v>127</v>
      </c>
      <c r="C698" s="27" t="s">
        <v>599</v>
      </c>
      <c r="D698" s="27" t="s">
        <v>417</v>
      </c>
      <c r="E698" s="27" t="s">
        <v>193</v>
      </c>
      <c r="F698" s="29" t="s">
        <v>664</v>
      </c>
      <c r="G698" s="27" t="s">
        <v>128</v>
      </c>
      <c r="H698" s="25"/>
      <c r="I698" s="25"/>
      <c r="J698" s="25"/>
    </row>
    <row r="699" spans="2:11" s="141" customFormat="1" ht="29.25" customHeight="1">
      <c r="B699" s="126" t="s">
        <v>642</v>
      </c>
      <c r="C699" s="27" t="s">
        <v>599</v>
      </c>
      <c r="D699" s="27" t="s">
        <v>417</v>
      </c>
      <c r="E699" s="27" t="s">
        <v>193</v>
      </c>
      <c r="F699" s="29" t="s">
        <v>643</v>
      </c>
      <c r="G699" s="27"/>
      <c r="H699" s="25">
        <f t="shared" ref="H699:J700" si="84">H700</f>
        <v>50</v>
      </c>
      <c r="I699" s="25">
        <f t="shared" si="84"/>
        <v>50</v>
      </c>
      <c r="J699" s="25">
        <f t="shared" si="84"/>
        <v>50</v>
      </c>
    </row>
    <row r="700" spans="2:11" s="141" customFormat="1" ht="15.75" customHeight="1">
      <c r="B700" s="56" t="s">
        <v>430</v>
      </c>
      <c r="C700" s="27" t="s">
        <v>599</v>
      </c>
      <c r="D700" s="27" t="s">
        <v>417</v>
      </c>
      <c r="E700" s="27" t="s">
        <v>193</v>
      </c>
      <c r="F700" s="29" t="s">
        <v>665</v>
      </c>
      <c r="G700" s="27"/>
      <c r="H700" s="25">
        <f t="shared" si="84"/>
        <v>50</v>
      </c>
      <c r="I700" s="25">
        <f t="shared" si="84"/>
        <v>50</v>
      </c>
      <c r="J700" s="25">
        <f t="shared" si="84"/>
        <v>50</v>
      </c>
    </row>
    <row r="701" spans="2:11" s="141" customFormat="1" ht="13.5" customHeight="1">
      <c r="B701" s="126" t="s">
        <v>127</v>
      </c>
      <c r="C701" s="27" t="s">
        <v>599</v>
      </c>
      <c r="D701" s="27" t="s">
        <v>417</v>
      </c>
      <c r="E701" s="27" t="s">
        <v>193</v>
      </c>
      <c r="F701" s="29" t="s">
        <v>665</v>
      </c>
      <c r="G701" s="27" t="s">
        <v>128</v>
      </c>
      <c r="H701" s="25">
        <v>50</v>
      </c>
      <c r="I701" s="25">
        <v>50</v>
      </c>
      <c r="J701" s="25">
        <v>50</v>
      </c>
    </row>
    <row r="702" spans="2:11" s="72" customFormat="1" ht="13.5" customHeight="1">
      <c r="B702" s="104" t="s">
        <v>666</v>
      </c>
      <c r="C702" s="20" t="s">
        <v>599</v>
      </c>
      <c r="D702" s="20" t="s">
        <v>417</v>
      </c>
      <c r="E702" s="20" t="s">
        <v>198</v>
      </c>
      <c r="F702" s="20"/>
      <c r="G702" s="20"/>
      <c r="H702" s="21">
        <f>H703+H713+H708</f>
        <v>5482.5</v>
      </c>
      <c r="I702" s="21">
        <f>I703+I713+I708</f>
        <v>5892.5</v>
      </c>
      <c r="J702" s="21">
        <f>J703+J713+J708</f>
        <v>5892.5</v>
      </c>
    </row>
    <row r="703" spans="2:11" s="60" customFormat="1" ht="38.25" hidden="1">
      <c r="B703" s="38" t="s">
        <v>269</v>
      </c>
      <c r="C703" s="27" t="s">
        <v>599</v>
      </c>
      <c r="D703" s="27" t="s">
        <v>417</v>
      </c>
      <c r="E703" s="27" t="s">
        <v>198</v>
      </c>
      <c r="F703" s="29" t="s">
        <v>270</v>
      </c>
      <c r="G703" s="27"/>
      <c r="H703" s="25">
        <f t="shared" ref="H703:J704" si="85">H704</f>
        <v>0</v>
      </c>
      <c r="I703" s="25">
        <f t="shared" si="85"/>
        <v>0</v>
      </c>
      <c r="J703" s="25">
        <f t="shared" si="85"/>
        <v>0</v>
      </c>
    </row>
    <row r="704" spans="2:11" s="60" customFormat="1" ht="25.5" hidden="1">
      <c r="B704" s="70" t="s">
        <v>600</v>
      </c>
      <c r="C704" s="27" t="s">
        <v>599</v>
      </c>
      <c r="D704" s="27" t="s">
        <v>417</v>
      </c>
      <c r="E704" s="27" t="s">
        <v>198</v>
      </c>
      <c r="F704" s="29" t="s">
        <v>601</v>
      </c>
      <c r="G704" s="27"/>
      <c r="H704" s="25">
        <f t="shared" si="85"/>
        <v>0</v>
      </c>
      <c r="I704" s="25">
        <f t="shared" si="85"/>
        <v>0</v>
      </c>
      <c r="J704" s="25">
        <f t="shared" si="85"/>
        <v>0</v>
      </c>
    </row>
    <row r="705" spans="2:14" s="60" customFormat="1" ht="29.25" hidden="1" customHeight="1">
      <c r="B705" s="85" t="s">
        <v>667</v>
      </c>
      <c r="C705" s="27" t="s">
        <v>599</v>
      </c>
      <c r="D705" s="27" t="s">
        <v>417</v>
      </c>
      <c r="E705" s="27" t="s">
        <v>198</v>
      </c>
      <c r="F705" s="29" t="s">
        <v>668</v>
      </c>
      <c r="G705" s="27"/>
      <c r="H705" s="25">
        <f>H706+H707</f>
        <v>0</v>
      </c>
      <c r="I705" s="25">
        <f>I706+I707</f>
        <v>0</v>
      </c>
      <c r="J705" s="25">
        <f>J706+J707</f>
        <v>0</v>
      </c>
    </row>
    <row r="706" spans="2:14" s="60" customFormat="1" ht="25.5" hidden="1">
      <c r="B706" s="133" t="s">
        <v>39</v>
      </c>
      <c r="C706" s="27" t="s">
        <v>599</v>
      </c>
      <c r="D706" s="27" t="s">
        <v>417</v>
      </c>
      <c r="E706" s="27" t="s">
        <v>198</v>
      </c>
      <c r="F706" s="29" t="s">
        <v>668</v>
      </c>
      <c r="G706" s="27" t="s">
        <v>40</v>
      </c>
      <c r="H706" s="25"/>
      <c r="I706" s="25"/>
      <c r="J706" s="25"/>
    </row>
    <row r="707" spans="2:14" s="60" customFormat="1" ht="17.25" hidden="1" customHeight="1">
      <c r="B707" s="70" t="s">
        <v>127</v>
      </c>
      <c r="C707" s="27" t="s">
        <v>599</v>
      </c>
      <c r="D707" s="27" t="s">
        <v>417</v>
      </c>
      <c r="E707" s="27" t="s">
        <v>198</v>
      </c>
      <c r="F707" s="29" t="s">
        <v>668</v>
      </c>
      <c r="G707" s="27" t="s">
        <v>128</v>
      </c>
      <c r="H707" s="25">
        <v>0</v>
      </c>
      <c r="I707" s="25">
        <v>0</v>
      </c>
      <c r="J707" s="25">
        <v>0</v>
      </c>
    </row>
    <row r="708" spans="2:14" s="60" customFormat="1" ht="25.5" hidden="1">
      <c r="B708" s="31" t="s">
        <v>18</v>
      </c>
      <c r="C708" s="27" t="s">
        <v>599</v>
      </c>
      <c r="D708" s="27" t="s">
        <v>417</v>
      </c>
      <c r="E708" s="27" t="s">
        <v>198</v>
      </c>
      <c r="F708" s="27" t="s">
        <v>19</v>
      </c>
      <c r="G708" s="27"/>
      <c r="H708" s="25">
        <f t="shared" ref="H708:J711" si="86">H709</f>
        <v>0</v>
      </c>
      <c r="I708" s="25">
        <f t="shared" si="86"/>
        <v>0</v>
      </c>
      <c r="J708" s="25">
        <f t="shared" si="86"/>
        <v>0</v>
      </c>
    </row>
    <row r="709" spans="2:14" s="60" customFormat="1" ht="38.25" hidden="1">
      <c r="B709" s="31" t="s">
        <v>20</v>
      </c>
      <c r="C709" s="27" t="s">
        <v>599</v>
      </c>
      <c r="D709" s="27" t="s">
        <v>417</v>
      </c>
      <c r="E709" s="27" t="s">
        <v>198</v>
      </c>
      <c r="F709" s="27" t="s">
        <v>21</v>
      </c>
      <c r="G709" s="27"/>
      <c r="H709" s="25">
        <f t="shared" si="86"/>
        <v>0</v>
      </c>
      <c r="I709" s="25">
        <f t="shared" si="86"/>
        <v>0</v>
      </c>
      <c r="J709" s="25">
        <f t="shared" si="86"/>
        <v>0</v>
      </c>
    </row>
    <row r="710" spans="2:14" s="60" customFormat="1" ht="25.5" hidden="1">
      <c r="B710" s="38" t="s">
        <v>51</v>
      </c>
      <c r="C710" s="27" t="s">
        <v>599</v>
      </c>
      <c r="D710" s="27" t="s">
        <v>417</v>
      </c>
      <c r="E710" s="27" t="s">
        <v>198</v>
      </c>
      <c r="F710" s="27" t="s">
        <v>52</v>
      </c>
      <c r="G710" s="27"/>
      <c r="H710" s="25">
        <f t="shared" si="86"/>
        <v>0</v>
      </c>
      <c r="I710" s="25">
        <f t="shared" si="86"/>
        <v>0</v>
      </c>
      <c r="J710" s="25">
        <f t="shared" si="86"/>
        <v>0</v>
      </c>
    </row>
    <row r="711" spans="2:14" s="60" customFormat="1" ht="114.75" hidden="1">
      <c r="B711" s="45" t="s">
        <v>53</v>
      </c>
      <c r="C711" s="27" t="s">
        <v>599</v>
      </c>
      <c r="D711" s="27" t="s">
        <v>417</v>
      </c>
      <c r="E711" s="27" t="s">
        <v>198</v>
      </c>
      <c r="F711" s="29" t="s">
        <v>54</v>
      </c>
      <c r="G711" s="27"/>
      <c r="H711" s="25">
        <f t="shared" si="86"/>
        <v>0</v>
      </c>
      <c r="I711" s="25">
        <f t="shared" si="86"/>
        <v>0</v>
      </c>
      <c r="J711" s="25">
        <f t="shared" si="86"/>
        <v>0</v>
      </c>
    </row>
    <row r="712" spans="2:14" s="60" customFormat="1" ht="25.5" hidden="1">
      <c r="B712" s="45" t="s">
        <v>26</v>
      </c>
      <c r="C712" s="27" t="s">
        <v>599</v>
      </c>
      <c r="D712" s="27" t="s">
        <v>417</v>
      </c>
      <c r="E712" s="27" t="s">
        <v>198</v>
      </c>
      <c r="F712" s="29" t="s">
        <v>54</v>
      </c>
      <c r="G712" s="27" t="s">
        <v>27</v>
      </c>
      <c r="H712" s="25"/>
      <c r="I712" s="25"/>
      <c r="J712" s="25"/>
    </row>
    <row r="713" spans="2:14" s="60" customFormat="1" ht="25.5">
      <c r="B713" s="111" t="s">
        <v>419</v>
      </c>
      <c r="C713" s="27" t="s">
        <v>599</v>
      </c>
      <c r="D713" s="27" t="s">
        <v>417</v>
      </c>
      <c r="E713" s="27" t="s">
        <v>198</v>
      </c>
      <c r="F713" s="29" t="s">
        <v>420</v>
      </c>
      <c r="G713" s="27"/>
      <c r="H713" s="25">
        <f>H714+H732</f>
        <v>5482.5</v>
      </c>
      <c r="I713" s="25">
        <f>I714+I732</f>
        <v>5892.5</v>
      </c>
      <c r="J713" s="25">
        <f>J714+J732</f>
        <v>5892.5</v>
      </c>
    </row>
    <row r="714" spans="2:14" s="60" customFormat="1" ht="25.5">
      <c r="B714" s="51" t="s">
        <v>421</v>
      </c>
      <c r="C714" s="27" t="s">
        <v>599</v>
      </c>
      <c r="D714" s="27" t="s">
        <v>417</v>
      </c>
      <c r="E714" s="27" t="s">
        <v>198</v>
      </c>
      <c r="F714" s="29" t="s">
        <v>422</v>
      </c>
      <c r="G714" s="27"/>
      <c r="H714" s="25">
        <f>H715+H718+H721+H725</f>
        <v>510</v>
      </c>
      <c r="I714" s="25">
        <f>I715+I718+I721+I725</f>
        <v>890</v>
      </c>
      <c r="J714" s="25">
        <f>J715+J718+J721+J725</f>
        <v>890</v>
      </c>
    </row>
    <row r="715" spans="2:14" s="60" customFormat="1" ht="38.25" hidden="1">
      <c r="B715" s="89" t="s">
        <v>637</v>
      </c>
      <c r="C715" s="27" t="s">
        <v>599</v>
      </c>
      <c r="D715" s="27" t="s">
        <v>417</v>
      </c>
      <c r="E715" s="27" t="s">
        <v>198</v>
      </c>
      <c r="F715" s="29" t="s">
        <v>638</v>
      </c>
      <c r="G715" s="27"/>
      <c r="H715" s="25">
        <f t="shared" ref="H715:J716" si="87">H716</f>
        <v>0</v>
      </c>
      <c r="I715" s="25">
        <f t="shared" si="87"/>
        <v>0</v>
      </c>
      <c r="J715" s="25">
        <f t="shared" si="87"/>
        <v>0</v>
      </c>
    </row>
    <row r="716" spans="2:14" s="60" customFormat="1" ht="54.75" hidden="1" customHeight="1">
      <c r="B716" s="108" t="s">
        <v>639</v>
      </c>
      <c r="C716" s="27" t="s">
        <v>599</v>
      </c>
      <c r="D716" s="27" t="s">
        <v>417</v>
      </c>
      <c r="E716" s="27" t="s">
        <v>198</v>
      </c>
      <c r="F716" s="29" t="s">
        <v>640</v>
      </c>
      <c r="G716" s="27"/>
      <c r="H716" s="25">
        <f t="shared" si="87"/>
        <v>0</v>
      </c>
      <c r="I716" s="25">
        <f t="shared" si="87"/>
        <v>0</v>
      </c>
      <c r="J716" s="25">
        <f t="shared" si="87"/>
        <v>0</v>
      </c>
      <c r="L716" s="68"/>
      <c r="M716" s="68"/>
      <c r="N716" s="68"/>
    </row>
    <row r="717" spans="2:14" s="60" customFormat="1" ht="25.5" hidden="1">
      <c r="B717" s="70" t="s">
        <v>501</v>
      </c>
      <c r="C717" s="27" t="s">
        <v>599</v>
      </c>
      <c r="D717" s="27" t="s">
        <v>417</v>
      </c>
      <c r="E717" s="27" t="s">
        <v>198</v>
      </c>
      <c r="F717" s="29" t="s">
        <v>640</v>
      </c>
      <c r="G717" s="27" t="s">
        <v>48</v>
      </c>
      <c r="H717" s="25"/>
      <c r="I717" s="25"/>
      <c r="J717" s="25"/>
    </row>
    <row r="718" spans="2:14" s="60" customFormat="1" ht="38.25">
      <c r="B718" s="70" t="s">
        <v>614</v>
      </c>
      <c r="C718" s="27" t="s">
        <v>599</v>
      </c>
      <c r="D718" s="27" t="s">
        <v>417</v>
      </c>
      <c r="E718" s="27" t="s">
        <v>198</v>
      </c>
      <c r="F718" s="29" t="s">
        <v>615</v>
      </c>
      <c r="G718" s="27"/>
      <c r="H718" s="25">
        <f t="shared" ref="H718:J719" si="88">H719</f>
        <v>240</v>
      </c>
      <c r="I718" s="25">
        <f t="shared" si="88"/>
        <v>240</v>
      </c>
      <c r="J718" s="25">
        <f t="shared" si="88"/>
        <v>240</v>
      </c>
    </row>
    <row r="719" spans="2:14" s="60" customFormat="1">
      <c r="B719" s="85" t="s">
        <v>41</v>
      </c>
      <c r="C719" s="27" t="s">
        <v>599</v>
      </c>
      <c r="D719" s="27" t="s">
        <v>417</v>
      </c>
      <c r="E719" s="27" t="s">
        <v>198</v>
      </c>
      <c r="F719" s="29" t="s">
        <v>669</v>
      </c>
      <c r="G719" s="27"/>
      <c r="H719" s="25">
        <f t="shared" si="88"/>
        <v>240</v>
      </c>
      <c r="I719" s="25">
        <f t="shared" si="88"/>
        <v>240</v>
      </c>
      <c r="J719" s="25">
        <f t="shared" si="88"/>
        <v>240</v>
      </c>
    </row>
    <row r="720" spans="2:14" s="60" customFormat="1" ht="25.5">
      <c r="B720" s="85" t="s">
        <v>39</v>
      </c>
      <c r="C720" s="27" t="s">
        <v>599</v>
      </c>
      <c r="D720" s="27" t="s">
        <v>417</v>
      </c>
      <c r="E720" s="27" t="s">
        <v>198</v>
      </c>
      <c r="F720" s="29" t="s">
        <v>669</v>
      </c>
      <c r="G720" s="27" t="s">
        <v>40</v>
      </c>
      <c r="H720" s="25">
        <v>240</v>
      </c>
      <c r="I720" s="25">
        <v>240</v>
      </c>
      <c r="J720" s="25">
        <v>240</v>
      </c>
    </row>
    <row r="721" spans="2:11" s="60" customFormat="1" ht="25.5">
      <c r="B721" s="70" t="s">
        <v>642</v>
      </c>
      <c r="C721" s="27" t="s">
        <v>599</v>
      </c>
      <c r="D721" s="27" t="s">
        <v>417</v>
      </c>
      <c r="E721" s="27" t="s">
        <v>198</v>
      </c>
      <c r="F721" s="29" t="s">
        <v>643</v>
      </c>
      <c r="G721" s="27"/>
      <c r="H721" s="25">
        <f>H722</f>
        <v>270</v>
      </c>
      <c r="I721" s="25">
        <f>I722</f>
        <v>50</v>
      </c>
      <c r="J721" s="25">
        <f>J722</f>
        <v>50</v>
      </c>
    </row>
    <row r="722" spans="2:11" s="60" customFormat="1">
      <c r="B722" s="77" t="s">
        <v>670</v>
      </c>
      <c r="C722" s="27" t="s">
        <v>599</v>
      </c>
      <c r="D722" s="27" t="s">
        <v>417</v>
      </c>
      <c r="E722" s="27" t="s">
        <v>198</v>
      </c>
      <c r="F722" s="29" t="s">
        <v>671</v>
      </c>
      <c r="G722" s="27"/>
      <c r="H722" s="25">
        <f>H723+H724</f>
        <v>270</v>
      </c>
      <c r="I722" s="25">
        <f>I723+I724</f>
        <v>50</v>
      </c>
      <c r="J722" s="25">
        <f>J723+J724</f>
        <v>50</v>
      </c>
    </row>
    <row r="723" spans="2:11" s="60" customFormat="1" ht="25.5">
      <c r="B723" s="85" t="s">
        <v>26</v>
      </c>
      <c r="C723" s="27" t="s">
        <v>599</v>
      </c>
      <c r="D723" s="27" t="s">
        <v>417</v>
      </c>
      <c r="E723" s="27" t="s">
        <v>198</v>
      </c>
      <c r="F723" s="29" t="s">
        <v>671</v>
      </c>
      <c r="G723" s="27" t="s">
        <v>27</v>
      </c>
      <c r="H723" s="25">
        <v>66</v>
      </c>
      <c r="I723" s="25">
        <v>30</v>
      </c>
      <c r="J723" s="25">
        <v>30</v>
      </c>
    </row>
    <row r="724" spans="2:11" s="60" customFormat="1" ht="25.5">
      <c r="B724" s="85" t="s">
        <v>39</v>
      </c>
      <c r="C724" s="27" t="s">
        <v>599</v>
      </c>
      <c r="D724" s="27" t="s">
        <v>417</v>
      </c>
      <c r="E724" s="27" t="s">
        <v>198</v>
      </c>
      <c r="F724" s="29" t="s">
        <v>671</v>
      </c>
      <c r="G724" s="27" t="s">
        <v>40</v>
      </c>
      <c r="H724" s="25">
        <v>204</v>
      </c>
      <c r="I724" s="25">
        <v>20</v>
      </c>
      <c r="J724" s="25">
        <v>20</v>
      </c>
    </row>
    <row r="725" spans="2:11" s="60" customFormat="1" ht="24" customHeight="1">
      <c r="B725" s="70" t="s">
        <v>672</v>
      </c>
      <c r="C725" s="27" t="s">
        <v>599</v>
      </c>
      <c r="D725" s="27" t="s">
        <v>417</v>
      </c>
      <c r="E725" s="27" t="s">
        <v>198</v>
      </c>
      <c r="F725" s="29" t="s">
        <v>673</v>
      </c>
      <c r="G725" s="27"/>
      <c r="H725" s="25">
        <f>H726+H728+H730</f>
        <v>0</v>
      </c>
      <c r="I725" s="25">
        <f>I726+I728+I730</f>
        <v>600</v>
      </c>
      <c r="J725" s="25">
        <f>J726+J728+J730</f>
        <v>600</v>
      </c>
      <c r="K725"/>
    </row>
    <row r="726" spans="2:11" s="60" customFormat="1" ht="18" customHeight="1">
      <c r="B726" s="108" t="s">
        <v>622</v>
      </c>
      <c r="C726" s="27" t="s">
        <v>599</v>
      </c>
      <c r="D726" s="27" t="s">
        <v>417</v>
      </c>
      <c r="E726" s="27" t="s">
        <v>198</v>
      </c>
      <c r="F726" s="29" t="s">
        <v>674</v>
      </c>
      <c r="G726" s="27"/>
      <c r="H726" s="25">
        <f>H727</f>
        <v>0</v>
      </c>
      <c r="I726" s="25">
        <f>I727</f>
        <v>388</v>
      </c>
      <c r="J726" s="25">
        <f>J727</f>
        <v>388</v>
      </c>
    </row>
    <row r="727" spans="2:11" s="60" customFormat="1" ht="15" customHeight="1">
      <c r="B727" s="70" t="s">
        <v>127</v>
      </c>
      <c r="C727" s="27" t="s">
        <v>599</v>
      </c>
      <c r="D727" s="27" t="s">
        <v>417</v>
      </c>
      <c r="E727" s="27" t="s">
        <v>198</v>
      </c>
      <c r="F727" s="29" t="s">
        <v>674</v>
      </c>
      <c r="G727" s="27" t="s">
        <v>128</v>
      </c>
      <c r="H727" s="25">
        <f>388-388</f>
        <v>0</v>
      </c>
      <c r="I727" s="25">
        <v>388</v>
      </c>
      <c r="J727" s="25">
        <v>388</v>
      </c>
    </row>
    <row r="728" spans="2:11" s="60" customFormat="1" ht="15" customHeight="1">
      <c r="B728" s="108" t="s">
        <v>608</v>
      </c>
      <c r="C728" s="27" t="s">
        <v>599</v>
      </c>
      <c r="D728" s="27" t="s">
        <v>417</v>
      </c>
      <c r="E728" s="27" t="s">
        <v>198</v>
      </c>
      <c r="F728" s="29" t="s">
        <v>675</v>
      </c>
      <c r="G728" s="27"/>
      <c r="H728" s="25">
        <f>H729</f>
        <v>0</v>
      </c>
      <c r="I728" s="25">
        <f>I729</f>
        <v>82</v>
      </c>
      <c r="J728" s="25">
        <f>J729</f>
        <v>82</v>
      </c>
    </row>
    <row r="729" spans="2:11" s="60" customFormat="1" ht="12" customHeight="1">
      <c r="B729" s="70" t="s">
        <v>127</v>
      </c>
      <c r="C729" s="27" t="s">
        <v>599</v>
      </c>
      <c r="D729" s="27" t="s">
        <v>417</v>
      </c>
      <c r="E729" s="27" t="s">
        <v>198</v>
      </c>
      <c r="F729" s="29" t="s">
        <v>675</v>
      </c>
      <c r="G729" s="27" t="s">
        <v>128</v>
      </c>
      <c r="H729" s="25">
        <f>82-82</f>
        <v>0</v>
      </c>
      <c r="I729" s="25">
        <v>82</v>
      </c>
      <c r="J729" s="25">
        <v>82</v>
      </c>
    </row>
    <row r="730" spans="2:11" s="60" customFormat="1" ht="15.75" customHeight="1">
      <c r="B730" s="77" t="s">
        <v>430</v>
      </c>
      <c r="C730" s="27" t="s">
        <v>599</v>
      </c>
      <c r="D730" s="27" t="s">
        <v>417</v>
      </c>
      <c r="E730" s="27" t="s">
        <v>198</v>
      </c>
      <c r="F730" s="29" t="s">
        <v>676</v>
      </c>
      <c r="G730" s="27"/>
      <c r="H730" s="25">
        <f>H731</f>
        <v>0</v>
      </c>
      <c r="I730" s="25">
        <f>I731</f>
        <v>130</v>
      </c>
      <c r="J730" s="25">
        <f>J731</f>
        <v>130</v>
      </c>
    </row>
    <row r="731" spans="2:11" s="60" customFormat="1" ht="15.75" customHeight="1">
      <c r="B731" s="70" t="s">
        <v>127</v>
      </c>
      <c r="C731" s="27" t="s">
        <v>599</v>
      </c>
      <c r="D731" s="27" t="s">
        <v>417</v>
      </c>
      <c r="E731" s="27" t="s">
        <v>198</v>
      </c>
      <c r="F731" s="29" t="s">
        <v>676</v>
      </c>
      <c r="G731" s="27" t="s">
        <v>128</v>
      </c>
      <c r="H731" s="25">
        <f>130-130</f>
        <v>0</v>
      </c>
      <c r="I731" s="25">
        <v>130</v>
      </c>
      <c r="J731" s="25">
        <v>130</v>
      </c>
    </row>
    <row r="732" spans="2:11" s="60" customFormat="1" ht="25.5">
      <c r="B732" s="38" t="s">
        <v>677</v>
      </c>
      <c r="C732" s="27" t="s">
        <v>599</v>
      </c>
      <c r="D732" s="27" t="s">
        <v>417</v>
      </c>
      <c r="E732" s="27" t="s">
        <v>198</v>
      </c>
      <c r="F732" s="29" t="s">
        <v>678</v>
      </c>
      <c r="G732" s="27"/>
      <c r="H732" s="25">
        <f>H733+H738</f>
        <v>4972.5</v>
      </c>
      <c r="I732" s="25">
        <f>I733+I738</f>
        <v>5002.5</v>
      </c>
      <c r="J732" s="25">
        <f>J733+J738</f>
        <v>5002.5</v>
      </c>
    </row>
    <row r="733" spans="2:11" s="60" customFormat="1" ht="25.5">
      <c r="B733" s="77" t="s">
        <v>679</v>
      </c>
      <c r="C733" s="27" t="s">
        <v>599</v>
      </c>
      <c r="D733" s="27" t="s">
        <v>417</v>
      </c>
      <c r="E733" s="27" t="s">
        <v>198</v>
      </c>
      <c r="F733" s="29" t="s">
        <v>680</v>
      </c>
      <c r="G733" s="27"/>
      <c r="H733" s="25">
        <f>H734</f>
        <v>4444</v>
      </c>
      <c r="I733" s="25">
        <f>I734</f>
        <v>4474</v>
      </c>
      <c r="J733" s="25">
        <f>J734</f>
        <v>4474</v>
      </c>
    </row>
    <row r="734" spans="2:11" s="60" customFormat="1">
      <c r="B734" s="77" t="s">
        <v>670</v>
      </c>
      <c r="C734" s="27" t="s">
        <v>599</v>
      </c>
      <c r="D734" s="27" t="s">
        <v>417</v>
      </c>
      <c r="E734" s="27" t="s">
        <v>198</v>
      </c>
      <c r="F734" s="29" t="s">
        <v>681</v>
      </c>
      <c r="G734" s="27"/>
      <c r="H734" s="25">
        <f>H735+H736+H737</f>
        <v>4444</v>
      </c>
      <c r="I734" s="25">
        <f>I735+I736+I737</f>
        <v>4474</v>
      </c>
      <c r="J734" s="25">
        <f>J735+J736+J737</f>
        <v>4474</v>
      </c>
    </row>
    <row r="735" spans="2:11" s="60" customFormat="1" ht="25.5">
      <c r="B735" s="85" t="s">
        <v>26</v>
      </c>
      <c r="C735" s="27" t="s">
        <v>599</v>
      </c>
      <c r="D735" s="27" t="s">
        <v>417</v>
      </c>
      <c r="E735" s="27" t="s">
        <v>198</v>
      </c>
      <c r="F735" s="29" t="s">
        <v>681</v>
      </c>
      <c r="G735" s="27" t="s">
        <v>27</v>
      </c>
      <c r="H735" s="25">
        <f>4000.5+22</f>
        <v>4022.5</v>
      </c>
      <c r="I735" s="25">
        <f>4000.5+22</f>
        <v>4022.5</v>
      </c>
      <c r="J735" s="25">
        <f>4000.5+22</f>
        <v>4022.5</v>
      </c>
    </row>
    <row r="736" spans="2:11" s="60" customFormat="1" ht="25.5">
      <c r="B736" s="85" t="s">
        <v>39</v>
      </c>
      <c r="C736" s="27" t="s">
        <v>599</v>
      </c>
      <c r="D736" s="27" t="s">
        <v>417</v>
      </c>
      <c r="E736" s="27" t="s">
        <v>198</v>
      </c>
      <c r="F736" s="29" t="s">
        <v>681</v>
      </c>
      <c r="G736" s="27" t="s">
        <v>40</v>
      </c>
      <c r="H736" s="25">
        <f>451.5-30</f>
        <v>421.5</v>
      </c>
      <c r="I736" s="25">
        <v>451.5</v>
      </c>
      <c r="J736" s="25">
        <v>451.5</v>
      </c>
      <c r="K736"/>
    </row>
    <row r="737" spans="2:10" s="60" customFormat="1" hidden="1">
      <c r="B737" s="38" t="s">
        <v>43</v>
      </c>
      <c r="C737" s="27" t="s">
        <v>599</v>
      </c>
      <c r="D737" s="27" t="s">
        <v>417</v>
      </c>
      <c r="E737" s="27" t="s">
        <v>198</v>
      </c>
      <c r="F737" s="29" t="s">
        <v>681</v>
      </c>
      <c r="G737" s="27" t="s">
        <v>44</v>
      </c>
      <c r="H737" s="25">
        <v>0</v>
      </c>
      <c r="I737" s="25">
        <v>0</v>
      </c>
      <c r="J737" s="25">
        <v>0</v>
      </c>
    </row>
    <row r="738" spans="2:10" s="60" customFormat="1" ht="25.5">
      <c r="B738" s="85" t="s">
        <v>682</v>
      </c>
      <c r="C738" s="27" t="s">
        <v>599</v>
      </c>
      <c r="D738" s="27" t="s">
        <v>417</v>
      </c>
      <c r="E738" s="27" t="s">
        <v>198</v>
      </c>
      <c r="F738" s="29" t="s">
        <v>683</v>
      </c>
      <c r="G738" s="27"/>
      <c r="H738" s="25">
        <f t="shared" ref="H738:J739" si="89">H739</f>
        <v>528.5</v>
      </c>
      <c r="I738" s="25">
        <f t="shared" si="89"/>
        <v>528.5</v>
      </c>
      <c r="J738" s="25">
        <f t="shared" si="89"/>
        <v>528.5</v>
      </c>
    </row>
    <row r="739" spans="2:10" s="60" customFormat="1" ht="38.25">
      <c r="B739" s="100" t="s">
        <v>684</v>
      </c>
      <c r="C739" s="27" t="s">
        <v>599</v>
      </c>
      <c r="D739" s="27" t="s">
        <v>417</v>
      </c>
      <c r="E739" s="27" t="s">
        <v>198</v>
      </c>
      <c r="F739" s="29" t="s">
        <v>685</v>
      </c>
      <c r="G739" s="27"/>
      <c r="H739" s="25">
        <f t="shared" si="89"/>
        <v>528.5</v>
      </c>
      <c r="I739" s="25">
        <f t="shared" si="89"/>
        <v>528.5</v>
      </c>
      <c r="J739" s="25">
        <f t="shared" si="89"/>
        <v>528.5</v>
      </c>
    </row>
    <row r="740" spans="2:10" s="60" customFormat="1" ht="25.5">
      <c r="B740" s="85" t="s">
        <v>100</v>
      </c>
      <c r="C740" s="27" t="s">
        <v>599</v>
      </c>
      <c r="D740" s="27" t="s">
        <v>417</v>
      </c>
      <c r="E740" s="27" t="s">
        <v>198</v>
      </c>
      <c r="F740" s="29" t="s">
        <v>685</v>
      </c>
      <c r="G740" s="27" t="s">
        <v>40</v>
      </c>
      <c r="H740" s="25">
        <f>523.2+5.3</f>
        <v>528.5</v>
      </c>
      <c r="I740" s="25">
        <f>523.2+5.3</f>
        <v>528.5</v>
      </c>
      <c r="J740" s="25">
        <f>523.2+5.3</f>
        <v>528.5</v>
      </c>
    </row>
    <row r="741" spans="2:10" s="22" customFormat="1">
      <c r="B741" s="19" t="s">
        <v>492</v>
      </c>
      <c r="C741" s="20" t="s">
        <v>599</v>
      </c>
      <c r="D741" s="20" t="s">
        <v>223</v>
      </c>
      <c r="E741" s="20"/>
      <c r="F741" s="20"/>
      <c r="G741" s="20"/>
      <c r="H741" s="21">
        <f>H742+H748+H755</f>
        <v>2050.1</v>
      </c>
      <c r="I741" s="21">
        <f>I742+I748+I755</f>
        <v>2050.1</v>
      </c>
      <c r="J741" s="21">
        <f>J742+J748+J755</f>
        <v>2050.1</v>
      </c>
    </row>
    <row r="742" spans="2:10" s="22" customFormat="1">
      <c r="B742" s="19" t="s">
        <v>498</v>
      </c>
      <c r="C742" s="20" t="s">
        <v>599</v>
      </c>
      <c r="D742" s="20" t="s">
        <v>223</v>
      </c>
      <c r="E742" s="20" t="s">
        <v>193</v>
      </c>
      <c r="F742" s="20"/>
      <c r="G742" s="20"/>
      <c r="H742" s="21">
        <f t="shared" ref="H742:J746" si="90">H743</f>
        <v>1705.2</v>
      </c>
      <c r="I742" s="21">
        <f t="shared" si="90"/>
        <v>1705.2</v>
      </c>
      <c r="J742" s="21">
        <f t="shared" si="90"/>
        <v>1705.2</v>
      </c>
    </row>
    <row r="743" spans="2:10" s="60" customFormat="1" ht="27.75" customHeight="1">
      <c r="B743" s="70" t="s">
        <v>419</v>
      </c>
      <c r="C743" s="27" t="s">
        <v>599</v>
      </c>
      <c r="D743" s="27" t="s">
        <v>223</v>
      </c>
      <c r="E743" s="27" t="s">
        <v>193</v>
      </c>
      <c r="F743" s="29" t="s">
        <v>420</v>
      </c>
      <c r="G743" s="27"/>
      <c r="H743" s="25">
        <f t="shared" si="90"/>
        <v>1705.2</v>
      </c>
      <c r="I743" s="25">
        <f t="shared" si="90"/>
        <v>1705.2</v>
      </c>
      <c r="J743" s="25">
        <f t="shared" si="90"/>
        <v>1705.2</v>
      </c>
    </row>
    <row r="744" spans="2:10" s="60" customFormat="1" ht="24.75" customHeight="1">
      <c r="B744" s="77" t="s">
        <v>421</v>
      </c>
      <c r="C744" s="27" t="s">
        <v>599</v>
      </c>
      <c r="D744" s="27" t="s">
        <v>223</v>
      </c>
      <c r="E744" s="27" t="s">
        <v>193</v>
      </c>
      <c r="F744" s="29" t="s">
        <v>422</v>
      </c>
      <c r="G744" s="27"/>
      <c r="H744" s="25">
        <f t="shared" si="90"/>
        <v>1705.2</v>
      </c>
      <c r="I744" s="25">
        <f t="shared" si="90"/>
        <v>1705.2</v>
      </c>
      <c r="J744" s="25">
        <f t="shared" si="90"/>
        <v>1705.2</v>
      </c>
    </row>
    <row r="745" spans="2:10" s="60" customFormat="1" ht="39" customHeight="1">
      <c r="B745" s="89" t="s">
        <v>637</v>
      </c>
      <c r="C745" s="27" t="s">
        <v>599</v>
      </c>
      <c r="D745" s="27" t="s">
        <v>223</v>
      </c>
      <c r="E745" s="27" t="s">
        <v>193</v>
      </c>
      <c r="F745" s="29" t="s">
        <v>638</v>
      </c>
      <c r="G745" s="27"/>
      <c r="H745" s="25">
        <f t="shared" si="90"/>
        <v>1705.2</v>
      </c>
      <c r="I745" s="25">
        <f t="shared" si="90"/>
        <v>1705.2</v>
      </c>
      <c r="J745" s="25">
        <f t="shared" si="90"/>
        <v>1705.2</v>
      </c>
    </row>
    <row r="746" spans="2:10" s="60" customFormat="1" ht="54.75" customHeight="1">
      <c r="B746" s="108" t="s">
        <v>639</v>
      </c>
      <c r="C746" s="27" t="s">
        <v>599</v>
      </c>
      <c r="D746" s="27" t="s">
        <v>223</v>
      </c>
      <c r="E746" s="27" t="s">
        <v>193</v>
      </c>
      <c r="F746" s="29" t="s">
        <v>640</v>
      </c>
      <c r="G746" s="27"/>
      <c r="H746" s="25">
        <f t="shared" si="90"/>
        <v>1705.2</v>
      </c>
      <c r="I746" s="25">
        <f t="shared" si="90"/>
        <v>1705.2</v>
      </c>
      <c r="J746" s="25">
        <f t="shared" si="90"/>
        <v>1705.2</v>
      </c>
    </row>
    <row r="747" spans="2:10" s="60" customFormat="1" ht="15" customHeight="1">
      <c r="B747" s="70" t="s">
        <v>504</v>
      </c>
      <c r="C747" s="27" t="s">
        <v>599</v>
      </c>
      <c r="D747" s="27" t="s">
        <v>223</v>
      </c>
      <c r="E747" s="27" t="s">
        <v>193</v>
      </c>
      <c r="F747" s="29" t="s">
        <v>640</v>
      </c>
      <c r="G747" s="27" t="s">
        <v>497</v>
      </c>
      <c r="H747" s="25">
        <v>1705.2</v>
      </c>
      <c r="I747" s="25">
        <v>1705.2</v>
      </c>
      <c r="J747" s="25">
        <v>1705.2</v>
      </c>
    </row>
    <row r="748" spans="2:10" s="22" customFormat="1" hidden="1">
      <c r="B748" s="136" t="s">
        <v>686</v>
      </c>
      <c r="C748" s="20" t="s">
        <v>599</v>
      </c>
      <c r="D748" s="20" t="s">
        <v>223</v>
      </c>
      <c r="E748" s="20" t="s">
        <v>30</v>
      </c>
      <c r="F748" s="20"/>
      <c r="G748" s="20"/>
      <c r="H748" s="21">
        <f t="shared" ref="H748:J751" si="91">H749</f>
        <v>0</v>
      </c>
      <c r="I748" s="21">
        <f t="shared" si="91"/>
        <v>0</v>
      </c>
      <c r="J748" s="21">
        <f t="shared" si="91"/>
        <v>0</v>
      </c>
    </row>
    <row r="749" spans="2:10" s="60" customFormat="1" ht="25.5" hidden="1">
      <c r="B749" s="70" t="s">
        <v>419</v>
      </c>
      <c r="C749" s="27" t="s">
        <v>599</v>
      </c>
      <c r="D749" s="27" t="s">
        <v>223</v>
      </c>
      <c r="E749" s="27" t="s">
        <v>30</v>
      </c>
      <c r="F749" s="29" t="s">
        <v>420</v>
      </c>
      <c r="G749" s="27"/>
      <c r="H749" s="25">
        <f t="shared" si="91"/>
        <v>0</v>
      </c>
      <c r="I749" s="25">
        <f t="shared" si="91"/>
        <v>0</v>
      </c>
      <c r="J749" s="25">
        <f t="shared" si="91"/>
        <v>0</v>
      </c>
    </row>
    <row r="750" spans="2:10" s="60" customFormat="1" ht="25.5" hidden="1">
      <c r="B750" s="77" t="s">
        <v>421</v>
      </c>
      <c r="C750" s="27" t="s">
        <v>599</v>
      </c>
      <c r="D750" s="27" t="s">
        <v>223</v>
      </c>
      <c r="E750" s="27" t="s">
        <v>30</v>
      </c>
      <c r="F750" s="29" t="s">
        <v>422</v>
      </c>
      <c r="G750" s="27"/>
      <c r="H750" s="25">
        <f t="shared" si="91"/>
        <v>0</v>
      </c>
      <c r="I750" s="25">
        <f t="shared" si="91"/>
        <v>0</v>
      </c>
      <c r="J750" s="25">
        <f t="shared" si="91"/>
        <v>0</v>
      </c>
    </row>
    <row r="751" spans="2:10" s="60" customFormat="1" ht="38.25" hidden="1">
      <c r="B751" s="89" t="s">
        <v>637</v>
      </c>
      <c r="C751" s="27" t="s">
        <v>599</v>
      </c>
      <c r="D751" s="27" t="s">
        <v>223</v>
      </c>
      <c r="E751" s="27" t="s">
        <v>30</v>
      </c>
      <c r="F751" s="29" t="s">
        <v>638</v>
      </c>
      <c r="G751" s="27"/>
      <c r="H751" s="25">
        <f t="shared" si="91"/>
        <v>0</v>
      </c>
      <c r="I751" s="25">
        <f t="shared" si="91"/>
        <v>0</v>
      </c>
      <c r="J751" s="25">
        <f t="shared" si="91"/>
        <v>0</v>
      </c>
    </row>
    <row r="752" spans="2:10" s="60" customFormat="1" ht="54" hidden="1" customHeight="1">
      <c r="B752" s="108" t="s">
        <v>639</v>
      </c>
      <c r="C752" s="27" t="s">
        <v>599</v>
      </c>
      <c r="D752" s="27" t="s">
        <v>223</v>
      </c>
      <c r="E752" s="27" t="s">
        <v>30</v>
      </c>
      <c r="F752" s="29" t="s">
        <v>640</v>
      </c>
      <c r="G752" s="27"/>
      <c r="H752" s="25">
        <f>H754+H753</f>
        <v>0</v>
      </c>
      <c r="I752" s="25">
        <f>I754+I753</f>
        <v>0</v>
      </c>
      <c r="J752" s="25">
        <f>J754+J753</f>
        <v>0</v>
      </c>
    </row>
    <row r="753" spans="2:10" s="60" customFormat="1" ht="28.5" hidden="1" customHeight="1">
      <c r="B753" s="144" t="s">
        <v>39</v>
      </c>
      <c r="C753" s="27" t="s">
        <v>599</v>
      </c>
      <c r="D753" s="27" t="s">
        <v>223</v>
      </c>
      <c r="E753" s="27" t="s">
        <v>30</v>
      </c>
      <c r="F753" s="29" t="s">
        <v>640</v>
      </c>
      <c r="G753" s="27" t="s">
        <v>40</v>
      </c>
      <c r="H753" s="25">
        <f>9-9</f>
        <v>0</v>
      </c>
      <c r="I753" s="25">
        <f>9-9</f>
        <v>0</v>
      </c>
      <c r="J753" s="25">
        <f>9-9</f>
        <v>0</v>
      </c>
    </row>
    <row r="754" spans="2:10" s="60" customFormat="1" ht="25.5" hidden="1">
      <c r="B754" s="70" t="s">
        <v>501</v>
      </c>
      <c r="C754" s="27" t="s">
        <v>599</v>
      </c>
      <c r="D754" s="27" t="s">
        <v>223</v>
      </c>
      <c r="E754" s="27" t="s">
        <v>30</v>
      </c>
      <c r="F754" s="29" t="s">
        <v>640</v>
      </c>
      <c r="G754" s="27" t="s">
        <v>128</v>
      </c>
      <c r="H754" s="25"/>
      <c r="I754" s="25"/>
      <c r="J754" s="25"/>
    </row>
    <row r="755" spans="2:10" s="60" customFormat="1">
      <c r="B755" s="145" t="s">
        <v>687</v>
      </c>
      <c r="C755" s="20" t="s">
        <v>599</v>
      </c>
      <c r="D755" s="53" t="s">
        <v>223</v>
      </c>
      <c r="E755" s="53" t="s">
        <v>399</v>
      </c>
      <c r="F755" s="29"/>
      <c r="G755" s="27"/>
      <c r="H755" s="21">
        <f t="shared" ref="H755:J759" si="92">H756</f>
        <v>344.9</v>
      </c>
      <c r="I755" s="21">
        <f t="shared" si="92"/>
        <v>344.9</v>
      </c>
      <c r="J755" s="21">
        <f t="shared" si="92"/>
        <v>344.9</v>
      </c>
    </row>
    <row r="756" spans="2:10" s="60" customFormat="1" ht="38.25">
      <c r="B756" s="146" t="s">
        <v>31</v>
      </c>
      <c r="C756" s="27" t="s">
        <v>599</v>
      </c>
      <c r="D756" s="30" t="s">
        <v>223</v>
      </c>
      <c r="E756" s="30" t="s">
        <v>399</v>
      </c>
      <c r="F756" s="30" t="s">
        <v>32</v>
      </c>
      <c r="G756" s="30"/>
      <c r="H756" s="25">
        <f t="shared" si="92"/>
        <v>344.9</v>
      </c>
      <c r="I756" s="25">
        <f t="shared" si="92"/>
        <v>344.9</v>
      </c>
      <c r="J756" s="25">
        <f t="shared" si="92"/>
        <v>344.9</v>
      </c>
    </row>
    <row r="757" spans="2:10" s="60" customFormat="1" ht="25.5">
      <c r="B757" s="147" t="s">
        <v>33</v>
      </c>
      <c r="C757" s="27" t="s">
        <v>599</v>
      </c>
      <c r="D757" s="27" t="s">
        <v>223</v>
      </c>
      <c r="E757" s="27" t="s">
        <v>399</v>
      </c>
      <c r="F757" s="36" t="s">
        <v>34</v>
      </c>
      <c r="G757" s="27"/>
      <c r="H757" s="25">
        <f t="shared" si="92"/>
        <v>344.9</v>
      </c>
      <c r="I757" s="25">
        <f t="shared" si="92"/>
        <v>344.9</v>
      </c>
      <c r="J757" s="25">
        <f t="shared" si="92"/>
        <v>344.9</v>
      </c>
    </row>
    <row r="758" spans="2:10" s="60" customFormat="1" ht="38.25">
      <c r="B758" s="147" t="s">
        <v>688</v>
      </c>
      <c r="C758" s="27" t="s">
        <v>599</v>
      </c>
      <c r="D758" s="27" t="s">
        <v>223</v>
      </c>
      <c r="E758" s="27" t="s">
        <v>399</v>
      </c>
      <c r="F758" s="36" t="s">
        <v>104</v>
      </c>
      <c r="G758" s="27"/>
      <c r="H758" s="25">
        <f t="shared" si="92"/>
        <v>344.9</v>
      </c>
      <c r="I758" s="25">
        <f t="shared" si="92"/>
        <v>344.9</v>
      </c>
      <c r="J758" s="25">
        <f t="shared" si="92"/>
        <v>344.9</v>
      </c>
    </row>
    <row r="759" spans="2:10" s="60" customFormat="1" ht="25.5">
      <c r="B759" s="47" t="s">
        <v>515</v>
      </c>
      <c r="C759" s="27" t="s">
        <v>599</v>
      </c>
      <c r="D759" s="27" t="s">
        <v>223</v>
      </c>
      <c r="E759" s="27" t="s">
        <v>399</v>
      </c>
      <c r="F759" s="36" t="s">
        <v>503</v>
      </c>
      <c r="G759" s="27"/>
      <c r="H759" s="25">
        <f t="shared" si="92"/>
        <v>344.9</v>
      </c>
      <c r="I759" s="25">
        <f t="shared" si="92"/>
        <v>344.9</v>
      </c>
      <c r="J759" s="25">
        <f t="shared" si="92"/>
        <v>344.9</v>
      </c>
    </row>
    <row r="760" spans="2:10" s="60" customFormat="1">
      <c r="B760" s="70" t="s">
        <v>176</v>
      </c>
      <c r="C760" s="27" t="s">
        <v>599</v>
      </c>
      <c r="D760" s="27" t="s">
        <v>223</v>
      </c>
      <c r="E760" s="27" t="s">
        <v>399</v>
      </c>
      <c r="F760" s="36" t="s">
        <v>503</v>
      </c>
      <c r="G760" s="27" t="s">
        <v>128</v>
      </c>
      <c r="H760" s="25">
        <v>344.9</v>
      </c>
      <c r="I760" s="25">
        <v>344.9</v>
      </c>
      <c r="J760" s="25">
        <v>344.9</v>
      </c>
    </row>
    <row r="761" spans="2:10" s="60" customFormat="1">
      <c r="B761" s="117" t="s">
        <v>516</v>
      </c>
      <c r="C761" s="20" t="s">
        <v>599</v>
      </c>
      <c r="D761" s="20" t="s">
        <v>86</v>
      </c>
      <c r="E761" s="20"/>
      <c r="F761" s="29"/>
      <c r="G761" s="27"/>
      <c r="H761" s="21">
        <f t="shared" ref="H761:J765" si="93">H762</f>
        <v>56</v>
      </c>
      <c r="I761" s="21">
        <f t="shared" si="93"/>
        <v>56</v>
      </c>
      <c r="J761" s="21">
        <f t="shared" si="93"/>
        <v>56</v>
      </c>
    </row>
    <row r="762" spans="2:10" s="60" customFormat="1">
      <c r="B762" s="117" t="s">
        <v>517</v>
      </c>
      <c r="C762" s="20" t="s">
        <v>599</v>
      </c>
      <c r="D762" s="20" t="s">
        <v>86</v>
      </c>
      <c r="E762" s="20" t="s">
        <v>15</v>
      </c>
      <c r="F762" s="29"/>
      <c r="G762" s="27"/>
      <c r="H762" s="21">
        <f t="shared" si="93"/>
        <v>56</v>
      </c>
      <c r="I762" s="21">
        <f t="shared" si="93"/>
        <v>56</v>
      </c>
      <c r="J762" s="21">
        <f t="shared" si="93"/>
        <v>56</v>
      </c>
    </row>
    <row r="763" spans="2:10" s="60" customFormat="1" ht="25.5" customHeight="1">
      <c r="B763" s="70" t="s">
        <v>518</v>
      </c>
      <c r="C763" s="27" t="s">
        <v>599</v>
      </c>
      <c r="D763" s="27" t="s">
        <v>86</v>
      </c>
      <c r="E763" s="27" t="s">
        <v>15</v>
      </c>
      <c r="F763" s="29" t="s">
        <v>519</v>
      </c>
      <c r="G763" s="27"/>
      <c r="H763" s="25">
        <f t="shared" si="93"/>
        <v>56</v>
      </c>
      <c r="I763" s="25">
        <f t="shared" si="93"/>
        <v>56</v>
      </c>
      <c r="J763" s="25">
        <f t="shared" si="93"/>
        <v>56</v>
      </c>
    </row>
    <row r="764" spans="2:10" s="60" customFormat="1" ht="38.25">
      <c r="B764" s="38" t="s">
        <v>520</v>
      </c>
      <c r="C764" s="27" t="s">
        <v>599</v>
      </c>
      <c r="D764" s="27" t="s">
        <v>86</v>
      </c>
      <c r="E764" s="27" t="s">
        <v>15</v>
      </c>
      <c r="F764" s="29" t="s">
        <v>521</v>
      </c>
      <c r="G764" s="27"/>
      <c r="H764" s="25">
        <f t="shared" si="93"/>
        <v>56</v>
      </c>
      <c r="I764" s="25">
        <f t="shared" si="93"/>
        <v>56</v>
      </c>
      <c r="J764" s="25">
        <f t="shared" si="93"/>
        <v>56</v>
      </c>
    </row>
    <row r="765" spans="2:10" s="60" customFormat="1">
      <c r="B765" s="89" t="s">
        <v>528</v>
      </c>
      <c r="C765" s="27" t="s">
        <v>599</v>
      </c>
      <c r="D765" s="27" t="s">
        <v>86</v>
      </c>
      <c r="E765" s="27" t="s">
        <v>15</v>
      </c>
      <c r="F765" s="29" t="s">
        <v>529</v>
      </c>
      <c r="G765" s="27"/>
      <c r="H765" s="25">
        <f t="shared" si="93"/>
        <v>56</v>
      </c>
      <c r="I765" s="25">
        <f t="shared" si="93"/>
        <v>56</v>
      </c>
      <c r="J765" s="25">
        <f t="shared" si="93"/>
        <v>56</v>
      </c>
    </row>
    <row r="766" spans="2:10" s="60" customFormat="1">
      <c r="B766" s="70" t="s">
        <v>176</v>
      </c>
      <c r="C766" s="27" t="s">
        <v>599</v>
      </c>
      <c r="D766" s="27" t="s">
        <v>86</v>
      </c>
      <c r="E766" s="27" t="s">
        <v>15</v>
      </c>
      <c r="F766" s="29" t="s">
        <v>529</v>
      </c>
      <c r="G766" s="27" t="s">
        <v>128</v>
      </c>
      <c r="H766" s="25">
        <v>56</v>
      </c>
      <c r="I766" s="25">
        <v>56</v>
      </c>
      <c r="J766" s="25">
        <v>56</v>
      </c>
    </row>
    <row r="767" spans="2:10" s="60" customFormat="1" ht="30" customHeight="1">
      <c r="B767" s="148" t="s">
        <v>689</v>
      </c>
      <c r="C767" s="20" t="s">
        <v>690</v>
      </c>
      <c r="D767" s="27"/>
      <c r="E767" s="27"/>
      <c r="F767" s="29"/>
      <c r="G767" s="27"/>
      <c r="H767" s="21">
        <f>H768+H779+H786+H792+H799+H812</f>
        <v>8769.9</v>
      </c>
      <c r="I767" s="21">
        <f>I768+I779+I786+I792+I799+I812</f>
        <v>8110.4</v>
      </c>
      <c r="J767" s="21">
        <f>J768+J779+J786+J792+J799+J812</f>
        <v>8110.4</v>
      </c>
    </row>
    <row r="768" spans="2:10" s="60" customFormat="1" ht="14.25">
      <c r="B768" s="149" t="s">
        <v>14</v>
      </c>
      <c r="C768" s="20" t="s">
        <v>690</v>
      </c>
      <c r="D768" s="20" t="s">
        <v>15</v>
      </c>
      <c r="E768" s="20"/>
      <c r="F768" s="29"/>
      <c r="G768" s="27"/>
      <c r="H768" s="21">
        <f>H769</f>
        <v>6642.1</v>
      </c>
      <c r="I768" s="21">
        <f>I769</f>
        <v>6828</v>
      </c>
      <c r="J768" s="21">
        <f>J769</f>
        <v>6828</v>
      </c>
    </row>
    <row r="769" spans="2:11" s="60" customFormat="1" ht="46.5" customHeight="1">
      <c r="B769" s="149" t="s">
        <v>691</v>
      </c>
      <c r="C769" s="20" t="s">
        <v>690</v>
      </c>
      <c r="D769" s="20" t="s">
        <v>15</v>
      </c>
      <c r="E769" s="20" t="s">
        <v>30</v>
      </c>
      <c r="F769" s="29"/>
      <c r="G769" s="27"/>
      <c r="H769" s="21">
        <f t="shared" ref="H769:J771" si="94">H770</f>
        <v>6642.1</v>
      </c>
      <c r="I769" s="21">
        <f t="shared" si="94"/>
        <v>6828</v>
      </c>
      <c r="J769" s="21">
        <f t="shared" si="94"/>
        <v>6828</v>
      </c>
    </row>
    <row r="770" spans="2:11" s="60" customFormat="1" ht="25.5">
      <c r="B770" s="150" t="s">
        <v>18</v>
      </c>
      <c r="C770" s="27" t="s">
        <v>690</v>
      </c>
      <c r="D770" s="27" t="s">
        <v>15</v>
      </c>
      <c r="E770" s="27" t="s">
        <v>30</v>
      </c>
      <c r="F770" s="36" t="s">
        <v>19</v>
      </c>
      <c r="G770" s="30"/>
      <c r="H770" s="25">
        <f t="shared" si="94"/>
        <v>6642.1</v>
      </c>
      <c r="I770" s="25">
        <f t="shared" si="94"/>
        <v>6828</v>
      </c>
      <c r="J770" s="25">
        <f t="shared" si="94"/>
        <v>6828</v>
      </c>
    </row>
    <row r="771" spans="2:11" s="60" customFormat="1" ht="38.25">
      <c r="B771" s="151" t="s">
        <v>20</v>
      </c>
      <c r="C771" s="27" t="s">
        <v>690</v>
      </c>
      <c r="D771" s="27" t="s">
        <v>15</v>
      </c>
      <c r="E771" s="27" t="s">
        <v>30</v>
      </c>
      <c r="F771" s="29" t="s">
        <v>21</v>
      </c>
      <c r="G771" s="30"/>
      <c r="H771" s="25">
        <f t="shared" si="94"/>
        <v>6642.1</v>
      </c>
      <c r="I771" s="25">
        <f t="shared" si="94"/>
        <v>6828</v>
      </c>
      <c r="J771" s="25">
        <f t="shared" si="94"/>
        <v>6828</v>
      </c>
    </row>
    <row r="772" spans="2:11" s="60" customFormat="1" ht="25.5">
      <c r="B772" s="151" t="s">
        <v>692</v>
      </c>
      <c r="C772" s="27" t="s">
        <v>690</v>
      </c>
      <c r="D772" s="27" t="s">
        <v>15</v>
      </c>
      <c r="E772" s="27" t="s">
        <v>30</v>
      </c>
      <c r="F772" s="36" t="s">
        <v>23</v>
      </c>
      <c r="G772" s="30"/>
      <c r="H772" s="25">
        <f>H773+H777</f>
        <v>6642.1</v>
      </c>
      <c r="I772" s="25">
        <f>I773+I777</f>
        <v>6828</v>
      </c>
      <c r="J772" s="25">
        <f>J773+J777</f>
        <v>6828</v>
      </c>
    </row>
    <row r="773" spans="2:11" s="60" customFormat="1">
      <c r="B773" s="43" t="s">
        <v>41</v>
      </c>
      <c r="C773" s="27" t="s">
        <v>690</v>
      </c>
      <c r="D773" s="27" t="s">
        <v>15</v>
      </c>
      <c r="E773" s="27" t="s">
        <v>30</v>
      </c>
      <c r="F773" s="29" t="s">
        <v>42</v>
      </c>
      <c r="G773" s="30"/>
      <c r="H773" s="25">
        <f>H775+H776+H774</f>
        <v>6642.1</v>
      </c>
      <c r="I773" s="25">
        <f>I775+I776+I774</f>
        <v>6828</v>
      </c>
      <c r="J773" s="25">
        <f>J775+J776+J774</f>
        <v>6828</v>
      </c>
    </row>
    <row r="774" spans="2:11" s="60" customFormat="1" ht="25.5">
      <c r="B774" s="43" t="s">
        <v>26</v>
      </c>
      <c r="C774" s="27" t="s">
        <v>690</v>
      </c>
      <c r="D774" s="27" t="s">
        <v>15</v>
      </c>
      <c r="E774" s="27" t="s">
        <v>30</v>
      </c>
      <c r="F774" s="29" t="s">
        <v>42</v>
      </c>
      <c r="G774" s="30" t="s">
        <v>27</v>
      </c>
      <c r="H774" s="25">
        <f>975.5+3327+14.1-500</f>
        <v>3816.6000000000004</v>
      </c>
      <c r="I774" s="25">
        <f>975.5+3327</f>
        <v>4302.5</v>
      </c>
      <c r="J774" s="25">
        <f>975.5+3327</f>
        <v>4302.5</v>
      </c>
    </row>
    <row r="775" spans="2:11" s="60" customFormat="1" ht="25.5">
      <c r="B775" s="43" t="s">
        <v>39</v>
      </c>
      <c r="C775" s="27" t="s">
        <v>690</v>
      </c>
      <c r="D775" s="27" t="s">
        <v>15</v>
      </c>
      <c r="E775" s="27" t="s">
        <v>30</v>
      </c>
      <c r="F775" s="29" t="s">
        <v>42</v>
      </c>
      <c r="G775" s="30" t="s">
        <v>40</v>
      </c>
      <c r="H775" s="25">
        <f>2825.5</f>
        <v>2825.5</v>
      </c>
      <c r="I775" s="25">
        <f>2825.5-300</f>
        <v>2525.5</v>
      </c>
      <c r="J775" s="25">
        <f>2825.5-300</f>
        <v>2525.5</v>
      </c>
    </row>
    <row r="776" spans="2:11" s="60" customFormat="1" hidden="1">
      <c r="B776" s="43" t="s">
        <v>43</v>
      </c>
      <c r="C776" s="27" t="s">
        <v>690</v>
      </c>
      <c r="D776" s="27" t="s">
        <v>15</v>
      </c>
      <c r="E776" s="27" t="s">
        <v>30</v>
      </c>
      <c r="F776" s="29" t="s">
        <v>42</v>
      </c>
      <c r="G776" s="30" t="s">
        <v>44</v>
      </c>
      <c r="H776" s="25"/>
      <c r="I776" s="25"/>
      <c r="J776" s="25"/>
    </row>
    <row r="777" spans="2:11" s="60" customFormat="1" ht="25.5" hidden="1">
      <c r="B777" s="43" t="s">
        <v>45</v>
      </c>
      <c r="C777" s="27" t="s">
        <v>690</v>
      </c>
      <c r="D777" s="30" t="s">
        <v>15</v>
      </c>
      <c r="E777" s="30" t="s">
        <v>30</v>
      </c>
      <c r="F777" s="29" t="s">
        <v>46</v>
      </c>
      <c r="G777" s="30"/>
      <c r="H777" s="25">
        <f>H778</f>
        <v>0</v>
      </c>
      <c r="I777" s="25">
        <f>I778</f>
        <v>0</v>
      </c>
      <c r="J777" s="25">
        <f>J778</f>
        <v>0</v>
      </c>
      <c r="K777" s="68"/>
    </row>
    <row r="778" spans="2:11" s="60" customFormat="1" ht="25.5" hidden="1">
      <c r="B778" s="43" t="s">
        <v>26</v>
      </c>
      <c r="C778" s="27" t="s">
        <v>690</v>
      </c>
      <c r="D778" s="30" t="s">
        <v>15</v>
      </c>
      <c r="E778" s="30" t="s">
        <v>30</v>
      </c>
      <c r="F778" s="29" t="s">
        <v>46</v>
      </c>
      <c r="G778" s="30" t="s">
        <v>27</v>
      </c>
      <c r="H778" s="25"/>
      <c r="I778" s="25"/>
      <c r="J778" s="25"/>
    </row>
    <row r="779" spans="2:11" s="60" customFormat="1" ht="14.25">
      <c r="B779" s="149" t="s">
        <v>191</v>
      </c>
      <c r="C779" s="152">
        <v>162</v>
      </c>
      <c r="D779" s="80">
        <v>2</v>
      </c>
      <c r="E779" s="80"/>
      <c r="F779" s="29"/>
      <c r="G779" s="30"/>
      <c r="H779" s="21">
        <f t="shared" ref="H779:J784" si="95">H780</f>
        <v>0</v>
      </c>
      <c r="I779" s="21">
        <f t="shared" si="95"/>
        <v>0</v>
      </c>
      <c r="J779" s="21">
        <f t="shared" si="95"/>
        <v>0</v>
      </c>
    </row>
    <row r="780" spans="2:11" s="60" customFormat="1" ht="14.25">
      <c r="B780" s="149" t="s">
        <v>192</v>
      </c>
      <c r="C780" s="152">
        <v>162</v>
      </c>
      <c r="D780" s="80">
        <v>2</v>
      </c>
      <c r="E780" s="80">
        <v>3</v>
      </c>
      <c r="F780" s="29"/>
      <c r="G780" s="30"/>
      <c r="H780" s="21">
        <f t="shared" si="95"/>
        <v>0</v>
      </c>
      <c r="I780" s="21">
        <f t="shared" si="95"/>
        <v>0</v>
      </c>
      <c r="J780" s="21">
        <f t="shared" si="95"/>
        <v>0</v>
      </c>
    </row>
    <row r="781" spans="2:11" s="60" customFormat="1" ht="25.5">
      <c r="B781" s="38" t="s">
        <v>18</v>
      </c>
      <c r="C781" s="153">
        <v>162</v>
      </c>
      <c r="D781" s="83">
        <v>2</v>
      </c>
      <c r="E781" s="83">
        <v>3</v>
      </c>
      <c r="F781" s="29" t="s">
        <v>19</v>
      </c>
      <c r="G781" s="27"/>
      <c r="H781" s="25">
        <f t="shared" si="95"/>
        <v>0</v>
      </c>
      <c r="I781" s="25">
        <f t="shared" si="95"/>
        <v>0</v>
      </c>
      <c r="J781" s="25">
        <f t="shared" si="95"/>
        <v>0</v>
      </c>
    </row>
    <row r="782" spans="2:11" s="60" customFormat="1" ht="39">
      <c r="B782" s="28" t="s">
        <v>20</v>
      </c>
      <c r="C782" s="153">
        <v>162</v>
      </c>
      <c r="D782" s="83">
        <v>2</v>
      </c>
      <c r="E782" s="83">
        <v>3</v>
      </c>
      <c r="F782" s="29" t="s">
        <v>21</v>
      </c>
      <c r="G782" s="27"/>
      <c r="H782" s="25">
        <f t="shared" si="95"/>
        <v>0</v>
      </c>
      <c r="I782" s="25">
        <f t="shared" si="95"/>
        <v>0</v>
      </c>
      <c r="J782" s="25">
        <f t="shared" si="95"/>
        <v>0</v>
      </c>
    </row>
    <row r="783" spans="2:11" s="60" customFormat="1" ht="25.5">
      <c r="B783" s="38" t="s">
        <v>22</v>
      </c>
      <c r="C783" s="153">
        <v>162</v>
      </c>
      <c r="D783" s="83">
        <v>2</v>
      </c>
      <c r="E783" s="83">
        <v>3</v>
      </c>
      <c r="F783" s="29" t="s">
        <v>23</v>
      </c>
      <c r="G783" s="27"/>
      <c r="H783" s="25">
        <f t="shared" si="95"/>
        <v>0</v>
      </c>
      <c r="I783" s="25">
        <f t="shared" si="95"/>
        <v>0</v>
      </c>
      <c r="J783" s="25">
        <f t="shared" si="95"/>
        <v>0</v>
      </c>
    </row>
    <row r="784" spans="2:11" s="60" customFormat="1" ht="25.5">
      <c r="B784" s="51" t="s">
        <v>194</v>
      </c>
      <c r="C784" s="153">
        <v>162</v>
      </c>
      <c r="D784" s="83">
        <v>2</v>
      </c>
      <c r="E784" s="83">
        <v>3</v>
      </c>
      <c r="F784" s="29" t="s">
        <v>195</v>
      </c>
      <c r="G784" s="27"/>
      <c r="H784" s="25">
        <f t="shared" si="95"/>
        <v>0</v>
      </c>
      <c r="I784" s="25">
        <f t="shared" si="95"/>
        <v>0</v>
      </c>
      <c r="J784" s="25">
        <f t="shared" si="95"/>
        <v>0</v>
      </c>
    </row>
    <row r="785" spans="2:10" s="60" customFormat="1" ht="25.5">
      <c r="B785" s="38" t="s">
        <v>26</v>
      </c>
      <c r="C785" s="153">
        <v>162</v>
      </c>
      <c r="D785" s="83">
        <v>2</v>
      </c>
      <c r="E785" s="83">
        <v>3</v>
      </c>
      <c r="F785" s="29" t="s">
        <v>195</v>
      </c>
      <c r="G785" s="27" t="s">
        <v>27</v>
      </c>
      <c r="H785" s="25">
        <v>0</v>
      </c>
      <c r="I785" s="25">
        <v>0</v>
      </c>
      <c r="J785" s="25">
        <v>0</v>
      </c>
    </row>
    <row r="786" spans="2:10" s="60" customFormat="1" ht="25.5">
      <c r="B786" s="154" t="s">
        <v>693</v>
      </c>
      <c r="C786" s="152">
        <v>162</v>
      </c>
      <c r="D786" s="80">
        <v>3</v>
      </c>
      <c r="E786" s="83"/>
      <c r="F786" s="29"/>
      <c r="G786" s="27"/>
      <c r="H786" s="21">
        <f t="shared" ref="H786:J790" si="96">H787</f>
        <v>540.40000000000009</v>
      </c>
      <c r="I786" s="21">
        <f t="shared" si="96"/>
        <v>0</v>
      </c>
      <c r="J786" s="21">
        <f t="shared" si="96"/>
        <v>0</v>
      </c>
    </row>
    <row r="787" spans="2:10" s="60" customFormat="1" ht="34.5" customHeight="1">
      <c r="B787" s="78" t="s">
        <v>221</v>
      </c>
      <c r="C787" s="79" t="s">
        <v>690</v>
      </c>
      <c r="D787" s="80">
        <v>3</v>
      </c>
      <c r="E787" s="80">
        <v>10</v>
      </c>
      <c r="F787" s="29"/>
      <c r="G787" s="27"/>
      <c r="H787" s="21">
        <f t="shared" si="96"/>
        <v>540.40000000000009</v>
      </c>
      <c r="I787" s="21">
        <f t="shared" si="96"/>
        <v>0</v>
      </c>
      <c r="J787" s="21">
        <f t="shared" si="96"/>
        <v>0</v>
      </c>
    </row>
    <row r="788" spans="2:10" s="60" customFormat="1" ht="38.25">
      <c r="B788" s="43" t="s">
        <v>55</v>
      </c>
      <c r="C788" s="82" t="s">
        <v>690</v>
      </c>
      <c r="D788" s="83">
        <v>3</v>
      </c>
      <c r="E788" s="83">
        <v>10</v>
      </c>
      <c r="F788" s="29" t="s">
        <v>56</v>
      </c>
      <c r="G788" s="27"/>
      <c r="H788" s="25">
        <f t="shared" si="96"/>
        <v>540.40000000000009</v>
      </c>
      <c r="I788" s="25">
        <f t="shared" si="96"/>
        <v>0</v>
      </c>
      <c r="J788" s="25">
        <f t="shared" si="96"/>
        <v>0</v>
      </c>
    </row>
    <row r="789" spans="2:10" s="60" customFormat="1" ht="25.5">
      <c r="B789" s="43" t="s">
        <v>199</v>
      </c>
      <c r="C789" s="82" t="s">
        <v>690</v>
      </c>
      <c r="D789" s="83">
        <v>3</v>
      </c>
      <c r="E789" s="83">
        <v>10</v>
      </c>
      <c r="F789" s="29" t="s">
        <v>200</v>
      </c>
      <c r="G789" s="27"/>
      <c r="H789" s="25">
        <f t="shared" si="96"/>
        <v>540.40000000000009</v>
      </c>
      <c r="I789" s="25">
        <f t="shared" si="96"/>
        <v>0</v>
      </c>
      <c r="J789" s="25">
        <f t="shared" si="96"/>
        <v>0</v>
      </c>
    </row>
    <row r="790" spans="2:10" s="60" customFormat="1" ht="15">
      <c r="B790" s="56" t="s">
        <v>694</v>
      </c>
      <c r="C790" s="82" t="s">
        <v>690</v>
      </c>
      <c r="D790" s="83">
        <v>3</v>
      </c>
      <c r="E790" s="83">
        <v>10</v>
      </c>
      <c r="F790" s="29" t="s">
        <v>695</v>
      </c>
      <c r="G790" s="27"/>
      <c r="H790" s="25">
        <f t="shared" si="96"/>
        <v>540.40000000000009</v>
      </c>
      <c r="I790" s="25">
        <f t="shared" si="96"/>
        <v>0</v>
      </c>
      <c r="J790" s="25">
        <f t="shared" si="96"/>
        <v>0</v>
      </c>
    </row>
    <row r="791" spans="2:10" s="60" customFormat="1" ht="25.5">
      <c r="B791" s="56" t="s">
        <v>39</v>
      </c>
      <c r="C791" s="82" t="s">
        <v>690</v>
      </c>
      <c r="D791" s="83">
        <v>3</v>
      </c>
      <c r="E791" s="83">
        <v>10</v>
      </c>
      <c r="F791" s="29" t="s">
        <v>695</v>
      </c>
      <c r="G791" s="27" t="s">
        <v>40</v>
      </c>
      <c r="H791" s="25">
        <f>679.3+661.1-800</f>
        <v>540.40000000000009</v>
      </c>
      <c r="I791" s="25">
        <v>0</v>
      </c>
      <c r="J791" s="25">
        <v>0</v>
      </c>
    </row>
    <row r="792" spans="2:10" s="60" customFormat="1" hidden="1">
      <c r="B792" s="155" t="s">
        <v>696</v>
      </c>
      <c r="C792" s="20" t="s">
        <v>690</v>
      </c>
      <c r="D792" s="20" t="s">
        <v>30</v>
      </c>
      <c r="E792" s="20"/>
      <c r="F792" s="88"/>
      <c r="G792" s="53"/>
      <c r="H792" s="21">
        <f t="shared" ref="H792:J797" si="97">H793</f>
        <v>0</v>
      </c>
      <c r="I792" s="21">
        <f t="shared" si="97"/>
        <v>0</v>
      </c>
      <c r="J792" s="21">
        <f t="shared" si="97"/>
        <v>0</v>
      </c>
    </row>
    <row r="793" spans="2:10" s="60" customFormat="1" hidden="1">
      <c r="B793" s="154" t="s">
        <v>268</v>
      </c>
      <c r="C793" s="20" t="s">
        <v>690</v>
      </c>
      <c r="D793" s="20" t="s">
        <v>30</v>
      </c>
      <c r="E793" s="20" t="s">
        <v>198</v>
      </c>
      <c r="F793" s="88"/>
      <c r="G793" s="53"/>
      <c r="H793" s="21">
        <f t="shared" si="97"/>
        <v>0</v>
      </c>
      <c r="I793" s="21">
        <f t="shared" si="97"/>
        <v>0</v>
      </c>
      <c r="J793" s="21">
        <f t="shared" si="97"/>
        <v>0</v>
      </c>
    </row>
    <row r="794" spans="2:10" s="60" customFormat="1" ht="25.5" hidden="1">
      <c r="B794" s="43" t="s">
        <v>256</v>
      </c>
      <c r="C794" s="27" t="s">
        <v>690</v>
      </c>
      <c r="D794" s="30" t="s">
        <v>30</v>
      </c>
      <c r="E794" s="30" t="s">
        <v>198</v>
      </c>
      <c r="F794" s="29" t="s">
        <v>257</v>
      </c>
      <c r="G794" s="30"/>
      <c r="H794" s="25">
        <f t="shared" si="97"/>
        <v>0</v>
      </c>
      <c r="I794" s="25">
        <f t="shared" si="97"/>
        <v>0</v>
      </c>
      <c r="J794" s="25">
        <f t="shared" si="97"/>
        <v>0</v>
      </c>
    </row>
    <row r="795" spans="2:10" s="60" customFormat="1" hidden="1">
      <c r="B795" s="43" t="s">
        <v>275</v>
      </c>
      <c r="C795" s="27" t="s">
        <v>690</v>
      </c>
      <c r="D795" s="30" t="s">
        <v>30</v>
      </c>
      <c r="E795" s="30" t="s">
        <v>198</v>
      </c>
      <c r="F795" s="29" t="s">
        <v>276</v>
      </c>
      <c r="G795" s="30"/>
      <c r="H795" s="25">
        <f t="shared" si="97"/>
        <v>0</v>
      </c>
      <c r="I795" s="25">
        <f t="shared" si="97"/>
        <v>0</v>
      </c>
      <c r="J795" s="25">
        <f t="shared" si="97"/>
        <v>0</v>
      </c>
    </row>
    <row r="796" spans="2:10" s="60" customFormat="1" ht="25.5" hidden="1">
      <c r="B796" s="43" t="s">
        <v>285</v>
      </c>
      <c r="C796" s="27" t="s">
        <v>690</v>
      </c>
      <c r="D796" s="30" t="s">
        <v>30</v>
      </c>
      <c r="E796" s="30" t="s">
        <v>198</v>
      </c>
      <c r="F796" s="29" t="s">
        <v>286</v>
      </c>
      <c r="G796" s="30"/>
      <c r="H796" s="25">
        <f t="shared" si="97"/>
        <v>0</v>
      </c>
      <c r="I796" s="25">
        <f t="shared" si="97"/>
        <v>0</v>
      </c>
      <c r="J796" s="25">
        <f t="shared" si="97"/>
        <v>0</v>
      </c>
    </row>
    <row r="797" spans="2:10" s="60" customFormat="1" ht="27.75" hidden="1" customHeight="1">
      <c r="B797" s="156" t="s">
        <v>287</v>
      </c>
      <c r="C797" s="27" t="s">
        <v>690</v>
      </c>
      <c r="D797" s="30" t="s">
        <v>30</v>
      </c>
      <c r="E797" s="30" t="s">
        <v>198</v>
      </c>
      <c r="F797" s="29" t="s">
        <v>288</v>
      </c>
      <c r="G797" s="30"/>
      <c r="H797" s="25">
        <f t="shared" si="97"/>
        <v>0</v>
      </c>
      <c r="I797" s="25">
        <f t="shared" si="97"/>
        <v>0</v>
      </c>
      <c r="J797" s="25">
        <f t="shared" si="97"/>
        <v>0</v>
      </c>
    </row>
    <row r="798" spans="2:10" s="60" customFormat="1" ht="25.5" hidden="1">
      <c r="B798" s="43" t="s">
        <v>39</v>
      </c>
      <c r="C798" s="27" t="s">
        <v>690</v>
      </c>
      <c r="D798" s="30" t="s">
        <v>30</v>
      </c>
      <c r="E798" s="30" t="s">
        <v>198</v>
      </c>
      <c r="F798" s="29" t="s">
        <v>288</v>
      </c>
      <c r="G798" s="30" t="s">
        <v>40</v>
      </c>
      <c r="H798" s="25"/>
      <c r="I798" s="25"/>
      <c r="J798" s="25"/>
    </row>
    <row r="799" spans="2:10" s="60" customFormat="1">
      <c r="B799" s="155" t="s">
        <v>697</v>
      </c>
      <c r="C799" s="20" t="s">
        <v>690</v>
      </c>
      <c r="D799" s="20" t="s">
        <v>80</v>
      </c>
      <c r="E799" s="20"/>
      <c r="F799" s="29"/>
      <c r="G799" s="27"/>
      <c r="H799" s="21">
        <f t="shared" ref="H799:J801" si="98">H800</f>
        <v>712.4</v>
      </c>
      <c r="I799" s="21">
        <f t="shared" si="98"/>
        <v>877.4</v>
      </c>
      <c r="J799" s="21">
        <f t="shared" si="98"/>
        <v>877.4</v>
      </c>
    </row>
    <row r="800" spans="2:10" s="60" customFormat="1">
      <c r="B800" s="127" t="s">
        <v>361</v>
      </c>
      <c r="C800" s="20" t="s">
        <v>690</v>
      </c>
      <c r="D800" s="20" t="s">
        <v>80</v>
      </c>
      <c r="E800" s="20" t="s">
        <v>193</v>
      </c>
      <c r="F800" s="29"/>
      <c r="G800" s="27"/>
      <c r="H800" s="21">
        <f t="shared" si="98"/>
        <v>712.4</v>
      </c>
      <c r="I800" s="21">
        <f t="shared" si="98"/>
        <v>877.4</v>
      </c>
      <c r="J800" s="21">
        <f t="shared" si="98"/>
        <v>877.4</v>
      </c>
    </row>
    <row r="801" spans="2:10" s="60" customFormat="1" ht="25.5">
      <c r="B801" s="26" t="s">
        <v>362</v>
      </c>
      <c r="C801" s="27" t="s">
        <v>690</v>
      </c>
      <c r="D801" s="27" t="s">
        <v>80</v>
      </c>
      <c r="E801" s="27" t="s">
        <v>193</v>
      </c>
      <c r="F801" s="29" t="s">
        <v>363</v>
      </c>
      <c r="G801" s="27"/>
      <c r="H801" s="25">
        <f t="shared" si="98"/>
        <v>712.4</v>
      </c>
      <c r="I801" s="25">
        <f t="shared" si="98"/>
        <v>877.4</v>
      </c>
      <c r="J801" s="25">
        <f t="shared" si="98"/>
        <v>877.4</v>
      </c>
    </row>
    <row r="802" spans="2:10" s="60" customFormat="1" ht="25.5">
      <c r="B802" s="70" t="s">
        <v>374</v>
      </c>
      <c r="C802" s="27" t="s">
        <v>690</v>
      </c>
      <c r="D802" s="27" t="s">
        <v>80</v>
      </c>
      <c r="E802" s="27" t="s">
        <v>193</v>
      </c>
      <c r="F802" s="29" t="s">
        <v>375</v>
      </c>
      <c r="G802" s="27"/>
      <c r="H802" s="25">
        <f>H806+H809+H803</f>
        <v>712.4</v>
      </c>
      <c r="I802" s="25">
        <f>I806+I809+I803</f>
        <v>877.4</v>
      </c>
      <c r="J802" s="25">
        <f>J806+J809+J803</f>
        <v>877.4</v>
      </c>
    </row>
    <row r="803" spans="2:10" s="60" customFormat="1">
      <c r="B803" s="38" t="s">
        <v>376</v>
      </c>
      <c r="C803" s="27" t="s">
        <v>690</v>
      </c>
      <c r="D803" s="27" t="s">
        <v>80</v>
      </c>
      <c r="E803" s="27" t="s">
        <v>193</v>
      </c>
      <c r="F803" s="29" t="s">
        <v>377</v>
      </c>
      <c r="G803" s="27"/>
      <c r="H803" s="25">
        <f t="shared" ref="H803:J804" si="99">H804</f>
        <v>262</v>
      </c>
      <c r="I803" s="25">
        <f t="shared" si="99"/>
        <v>262</v>
      </c>
      <c r="J803" s="25">
        <f t="shared" si="99"/>
        <v>262</v>
      </c>
    </row>
    <row r="804" spans="2:10" s="60" customFormat="1">
      <c r="B804" s="38" t="s">
        <v>378</v>
      </c>
      <c r="C804" s="27" t="s">
        <v>690</v>
      </c>
      <c r="D804" s="27" t="s">
        <v>80</v>
      </c>
      <c r="E804" s="27" t="s">
        <v>193</v>
      </c>
      <c r="F804" s="29" t="s">
        <v>379</v>
      </c>
      <c r="G804" s="27"/>
      <c r="H804" s="25">
        <f t="shared" si="99"/>
        <v>262</v>
      </c>
      <c r="I804" s="25">
        <f t="shared" si="99"/>
        <v>262</v>
      </c>
      <c r="J804" s="25">
        <f t="shared" si="99"/>
        <v>262</v>
      </c>
    </row>
    <row r="805" spans="2:10" s="60" customFormat="1" ht="25.5">
      <c r="B805" s="38" t="s">
        <v>39</v>
      </c>
      <c r="C805" s="27" t="s">
        <v>690</v>
      </c>
      <c r="D805" s="27" t="s">
        <v>80</v>
      </c>
      <c r="E805" s="27" t="s">
        <v>193</v>
      </c>
      <c r="F805" s="29" t="s">
        <v>379</v>
      </c>
      <c r="G805" s="27" t="s">
        <v>40</v>
      </c>
      <c r="H805" s="25">
        <v>262</v>
      </c>
      <c r="I805" s="25">
        <v>262</v>
      </c>
      <c r="J805" s="25">
        <v>262</v>
      </c>
    </row>
    <row r="806" spans="2:10" s="60" customFormat="1">
      <c r="B806" s="38" t="s">
        <v>383</v>
      </c>
      <c r="C806" s="27" t="s">
        <v>690</v>
      </c>
      <c r="D806" s="27" t="s">
        <v>80</v>
      </c>
      <c r="E806" s="27" t="s">
        <v>193</v>
      </c>
      <c r="F806" s="29" t="s">
        <v>384</v>
      </c>
      <c r="G806" s="27"/>
      <c r="H806" s="25">
        <f t="shared" ref="H806:J807" si="100">H807</f>
        <v>302.8</v>
      </c>
      <c r="I806" s="25">
        <f t="shared" si="100"/>
        <v>467.8</v>
      </c>
      <c r="J806" s="25">
        <f t="shared" si="100"/>
        <v>467.8</v>
      </c>
    </row>
    <row r="807" spans="2:10" s="60" customFormat="1">
      <c r="B807" s="38" t="s">
        <v>385</v>
      </c>
      <c r="C807" s="27" t="s">
        <v>690</v>
      </c>
      <c r="D807" s="27" t="s">
        <v>80</v>
      </c>
      <c r="E807" s="27" t="s">
        <v>193</v>
      </c>
      <c r="F807" s="29" t="s">
        <v>386</v>
      </c>
      <c r="G807" s="27"/>
      <c r="H807" s="25">
        <f t="shared" si="100"/>
        <v>302.8</v>
      </c>
      <c r="I807" s="25">
        <f t="shared" si="100"/>
        <v>467.8</v>
      </c>
      <c r="J807" s="25">
        <f t="shared" si="100"/>
        <v>467.8</v>
      </c>
    </row>
    <row r="808" spans="2:10" s="60" customFormat="1" ht="25.5">
      <c r="B808" s="38" t="s">
        <v>39</v>
      </c>
      <c r="C808" s="27" t="s">
        <v>690</v>
      </c>
      <c r="D808" s="27" t="s">
        <v>80</v>
      </c>
      <c r="E808" s="27" t="s">
        <v>193</v>
      </c>
      <c r="F808" s="29" t="s">
        <v>386</v>
      </c>
      <c r="G808" s="27" t="s">
        <v>40</v>
      </c>
      <c r="H808" s="25">
        <f>467.8-165</f>
        <v>302.8</v>
      </c>
      <c r="I808" s="25">
        <v>467.8</v>
      </c>
      <c r="J808" s="25">
        <v>467.8</v>
      </c>
    </row>
    <row r="809" spans="2:10" s="60" customFormat="1" ht="25.5">
      <c r="B809" s="38" t="s">
        <v>388</v>
      </c>
      <c r="C809" s="27" t="s">
        <v>690</v>
      </c>
      <c r="D809" s="27" t="s">
        <v>80</v>
      </c>
      <c r="E809" s="27" t="s">
        <v>193</v>
      </c>
      <c r="F809" s="29" t="s">
        <v>389</v>
      </c>
      <c r="G809" s="27"/>
      <c r="H809" s="25">
        <f t="shared" ref="H809:J810" si="101">H810</f>
        <v>147.6</v>
      </c>
      <c r="I809" s="25">
        <f t="shared" si="101"/>
        <v>147.6</v>
      </c>
      <c r="J809" s="25">
        <f t="shared" si="101"/>
        <v>147.6</v>
      </c>
    </row>
    <row r="810" spans="2:10" s="60" customFormat="1">
      <c r="B810" s="38" t="s">
        <v>390</v>
      </c>
      <c r="C810" s="27" t="s">
        <v>690</v>
      </c>
      <c r="D810" s="27" t="s">
        <v>80</v>
      </c>
      <c r="E810" s="27" t="s">
        <v>193</v>
      </c>
      <c r="F810" s="29" t="s">
        <v>391</v>
      </c>
      <c r="G810" s="27"/>
      <c r="H810" s="25">
        <f t="shared" si="101"/>
        <v>147.6</v>
      </c>
      <c r="I810" s="25">
        <f t="shared" si="101"/>
        <v>147.6</v>
      </c>
      <c r="J810" s="25">
        <f t="shared" si="101"/>
        <v>147.6</v>
      </c>
    </row>
    <row r="811" spans="2:10" s="60" customFormat="1" ht="25.5">
      <c r="B811" s="38" t="s">
        <v>39</v>
      </c>
      <c r="C811" s="27" t="s">
        <v>690</v>
      </c>
      <c r="D811" s="27" t="s">
        <v>80</v>
      </c>
      <c r="E811" s="27" t="s">
        <v>193</v>
      </c>
      <c r="F811" s="29" t="s">
        <v>391</v>
      </c>
      <c r="G811" s="27" t="s">
        <v>40</v>
      </c>
      <c r="H811" s="25">
        <f>147.6</f>
        <v>147.6</v>
      </c>
      <c r="I811" s="25">
        <v>147.6</v>
      </c>
      <c r="J811" s="25">
        <v>147.6</v>
      </c>
    </row>
    <row r="812" spans="2:10" s="60" customFormat="1">
      <c r="B812" s="155" t="s">
        <v>698</v>
      </c>
      <c r="C812" s="20" t="s">
        <v>690</v>
      </c>
      <c r="D812" s="157" t="s">
        <v>399</v>
      </c>
      <c r="E812" s="157"/>
      <c r="F812" s="29"/>
      <c r="G812" s="27"/>
      <c r="H812" s="21">
        <f t="shared" ref="H812:J816" si="102">H813</f>
        <v>875</v>
      </c>
      <c r="I812" s="21">
        <f t="shared" si="102"/>
        <v>405</v>
      </c>
      <c r="J812" s="21">
        <f t="shared" si="102"/>
        <v>405</v>
      </c>
    </row>
    <row r="813" spans="2:10" s="60" customFormat="1">
      <c r="B813" s="76" t="s">
        <v>400</v>
      </c>
      <c r="C813" s="20" t="s">
        <v>690</v>
      </c>
      <c r="D813" s="157" t="s">
        <v>399</v>
      </c>
      <c r="E813" s="157" t="s">
        <v>80</v>
      </c>
      <c r="F813" s="29"/>
      <c r="G813" s="27"/>
      <c r="H813" s="21">
        <f t="shared" si="102"/>
        <v>875</v>
      </c>
      <c r="I813" s="21">
        <f t="shared" si="102"/>
        <v>405</v>
      </c>
      <c r="J813" s="21">
        <f t="shared" si="102"/>
        <v>405</v>
      </c>
    </row>
    <row r="814" spans="2:10" s="60" customFormat="1" ht="25.5" customHeight="1">
      <c r="B814" s="43" t="s">
        <v>63</v>
      </c>
      <c r="C814" s="27" t="s">
        <v>690</v>
      </c>
      <c r="D814" s="158" t="s">
        <v>399</v>
      </c>
      <c r="E814" s="158" t="s">
        <v>80</v>
      </c>
      <c r="F814" s="29" t="s">
        <v>64</v>
      </c>
      <c r="G814" s="27"/>
      <c r="H814" s="25">
        <f t="shared" si="102"/>
        <v>875</v>
      </c>
      <c r="I814" s="25">
        <f t="shared" si="102"/>
        <v>405</v>
      </c>
      <c r="J814" s="25">
        <f t="shared" si="102"/>
        <v>405</v>
      </c>
    </row>
    <row r="815" spans="2:10" s="60" customFormat="1" ht="25.5">
      <c r="B815" s="43" t="s">
        <v>65</v>
      </c>
      <c r="C815" s="27" t="s">
        <v>690</v>
      </c>
      <c r="D815" s="158" t="s">
        <v>399</v>
      </c>
      <c r="E815" s="158" t="s">
        <v>80</v>
      </c>
      <c r="F815" s="29" t="s">
        <v>66</v>
      </c>
      <c r="G815" s="27"/>
      <c r="H815" s="25">
        <f t="shared" si="102"/>
        <v>875</v>
      </c>
      <c r="I815" s="25">
        <f t="shared" si="102"/>
        <v>405</v>
      </c>
      <c r="J815" s="25">
        <f t="shared" si="102"/>
        <v>405</v>
      </c>
    </row>
    <row r="816" spans="2:10" s="60" customFormat="1">
      <c r="B816" s="107" t="s">
        <v>403</v>
      </c>
      <c r="C816" s="27" t="s">
        <v>690</v>
      </c>
      <c r="D816" s="158" t="s">
        <v>399</v>
      </c>
      <c r="E816" s="158" t="s">
        <v>80</v>
      </c>
      <c r="F816" s="29" t="s">
        <v>405</v>
      </c>
      <c r="G816" s="27"/>
      <c r="H816" s="25">
        <f t="shared" si="102"/>
        <v>875</v>
      </c>
      <c r="I816" s="25">
        <f t="shared" si="102"/>
        <v>405</v>
      </c>
      <c r="J816" s="25">
        <f t="shared" si="102"/>
        <v>405</v>
      </c>
    </row>
    <row r="817" spans="2:10" s="60" customFormat="1" ht="25.5">
      <c r="B817" s="43" t="s">
        <v>39</v>
      </c>
      <c r="C817" s="27" t="s">
        <v>690</v>
      </c>
      <c r="D817" s="158" t="s">
        <v>399</v>
      </c>
      <c r="E817" s="158" t="s">
        <v>80</v>
      </c>
      <c r="F817" s="29" t="s">
        <v>405</v>
      </c>
      <c r="G817" s="27" t="s">
        <v>40</v>
      </c>
      <c r="H817" s="25">
        <f>100+370+405</f>
        <v>875</v>
      </c>
      <c r="I817" s="25">
        <v>405</v>
      </c>
      <c r="J817" s="25">
        <v>405</v>
      </c>
    </row>
    <row r="818" spans="2:10" s="60" customFormat="1" ht="29.25" customHeight="1">
      <c r="B818" s="148" t="s">
        <v>699</v>
      </c>
      <c r="C818" s="20" t="s">
        <v>700</v>
      </c>
      <c r="D818" s="27"/>
      <c r="E818" s="27"/>
      <c r="F818" s="29"/>
      <c r="G818" s="27"/>
      <c r="H818" s="21">
        <f>H819+H830+H837+H843+H850+H863</f>
        <v>9153.3000000000011</v>
      </c>
      <c r="I818" s="21">
        <f>I819+I830+I837+I843+I850+I863</f>
        <v>9135.6</v>
      </c>
      <c r="J818" s="21">
        <f>J819+J830+J837+J843+J850+J863</f>
        <v>9135.6</v>
      </c>
    </row>
    <row r="819" spans="2:10" s="60" customFormat="1" ht="14.25">
      <c r="B819" s="149" t="s">
        <v>14</v>
      </c>
      <c r="C819" s="20" t="s">
        <v>700</v>
      </c>
      <c r="D819" s="20" t="s">
        <v>15</v>
      </c>
      <c r="E819" s="20"/>
      <c r="F819" s="29"/>
      <c r="G819" s="27"/>
      <c r="H819" s="21">
        <f>H820</f>
        <v>4707.4000000000005</v>
      </c>
      <c r="I819" s="21">
        <f>I820</f>
        <v>5197.1000000000004</v>
      </c>
      <c r="J819" s="21">
        <f>J820</f>
        <v>5197.1000000000004</v>
      </c>
    </row>
    <row r="820" spans="2:10" s="60" customFormat="1" ht="48" customHeight="1">
      <c r="B820" s="149" t="s">
        <v>691</v>
      </c>
      <c r="C820" s="20" t="s">
        <v>700</v>
      </c>
      <c r="D820" s="20" t="s">
        <v>15</v>
      </c>
      <c r="E820" s="20" t="s">
        <v>30</v>
      </c>
      <c r="F820" s="29"/>
      <c r="G820" s="27"/>
      <c r="H820" s="21">
        <f t="shared" ref="H820:J822" si="103">H821</f>
        <v>4707.4000000000005</v>
      </c>
      <c r="I820" s="21">
        <f t="shared" si="103"/>
        <v>5197.1000000000004</v>
      </c>
      <c r="J820" s="21">
        <f t="shared" si="103"/>
        <v>5197.1000000000004</v>
      </c>
    </row>
    <row r="821" spans="2:10" s="60" customFormat="1" ht="25.5">
      <c r="B821" s="150" t="s">
        <v>18</v>
      </c>
      <c r="C821" s="27" t="s">
        <v>700</v>
      </c>
      <c r="D821" s="27" t="s">
        <v>15</v>
      </c>
      <c r="E821" s="27" t="s">
        <v>30</v>
      </c>
      <c r="F821" s="36" t="s">
        <v>19</v>
      </c>
      <c r="G821" s="30"/>
      <c r="H821" s="25">
        <f t="shared" si="103"/>
        <v>4707.4000000000005</v>
      </c>
      <c r="I821" s="25">
        <f t="shared" si="103"/>
        <v>5197.1000000000004</v>
      </c>
      <c r="J821" s="25">
        <f t="shared" si="103"/>
        <v>5197.1000000000004</v>
      </c>
    </row>
    <row r="822" spans="2:10" s="60" customFormat="1" ht="38.25">
      <c r="B822" s="151" t="s">
        <v>20</v>
      </c>
      <c r="C822" s="27" t="s">
        <v>700</v>
      </c>
      <c r="D822" s="27" t="s">
        <v>15</v>
      </c>
      <c r="E822" s="27" t="s">
        <v>30</v>
      </c>
      <c r="F822" s="29" t="s">
        <v>21</v>
      </c>
      <c r="G822" s="30"/>
      <c r="H822" s="25">
        <f t="shared" si="103"/>
        <v>4707.4000000000005</v>
      </c>
      <c r="I822" s="25">
        <f t="shared" si="103"/>
        <v>5197.1000000000004</v>
      </c>
      <c r="J822" s="25">
        <f t="shared" si="103"/>
        <v>5197.1000000000004</v>
      </c>
    </row>
    <row r="823" spans="2:10" s="60" customFormat="1" ht="25.5">
      <c r="B823" s="151" t="s">
        <v>692</v>
      </c>
      <c r="C823" s="27" t="s">
        <v>700</v>
      </c>
      <c r="D823" s="27" t="s">
        <v>15</v>
      </c>
      <c r="E823" s="27" t="s">
        <v>30</v>
      </c>
      <c r="F823" s="36" t="s">
        <v>23</v>
      </c>
      <c r="G823" s="30"/>
      <c r="H823" s="25">
        <f>H824+H828</f>
        <v>4707.4000000000005</v>
      </c>
      <c r="I823" s="25">
        <f>I824+I828</f>
        <v>5197.1000000000004</v>
      </c>
      <c r="J823" s="25">
        <f>J824+J828</f>
        <v>5197.1000000000004</v>
      </c>
    </row>
    <row r="824" spans="2:10" s="60" customFormat="1">
      <c r="B824" s="43" t="s">
        <v>41</v>
      </c>
      <c r="C824" s="27" t="s">
        <v>700</v>
      </c>
      <c r="D824" s="27" t="s">
        <v>15</v>
      </c>
      <c r="E824" s="27" t="s">
        <v>30</v>
      </c>
      <c r="F824" s="29" t="s">
        <v>42</v>
      </c>
      <c r="G824" s="30"/>
      <c r="H824" s="25">
        <f>H826+H827+H825</f>
        <v>4707.4000000000005</v>
      </c>
      <c r="I824" s="25">
        <f>I826+I827+I825</f>
        <v>5197.1000000000004</v>
      </c>
      <c r="J824" s="25">
        <f>J826+J827+J825</f>
        <v>5197.1000000000004</v>
      </c>
    </row>
    <row r="825" spans="2:10" s="60" customFormat="1" ht="25.5">
      <c r="B825" s="43" t="s">
        <v>26</v>
      </c>
      <c r="C825" s="27" t="s">
        <v>700</v>
      </c>
      <c r="D825" s="27" t="s">
        <v>15</v>
      </c>
      <c r="E825" s="27" t="s">
        <v>30</v>
      </c>
      <c r="F825" s="29" t="s">
        <v>42</v>
      </c>
      <c r="G825" s="30" t="s">
        <v>27</v>
      </c>
      <c r="H825" s="25">
        <f>975.5+3337.6+10.3-500</f>
        <v>3823.4000000000005</v>
      </c>
      <c r="I825" s="25">
        <f>975.5+3337.6</f>
        <v>4313.1000000000004</v>
      </c>
      <c r="J825" s="25">
        <f>975.5+3337.6</f>
        <v>4313.1000000000004</v>
      </c>
    </row>
    <row r="826" spans="2:10" s="60" customFormat="1" ht="25.5">
      <c r="B826" s="43" t="s">
        <v>39</v>
      </c>
      <c r="C826" s="27" t="s">
        <v>700</v>
      </c>
      <c r="D826" s="27" t="s">
        <v>15</v>
      </c>
      <c r="E826" s="27" t="s">
        <v>30</v>
      </c>
      <c r="F826" s="29" t="s">
        <v>42</v>
      </c>
      <c r="G826" s="30" t="s">
        <v>40</v>
      </c>
      <c r="H826" s="25">
        <v>884</v>
      </c>
      <c r="I826" s="25">
        <v>884</v>
      </c>
      <c r="J826" s="25">
        <v>884</v>
      </c>
    </row>
    <row r="827" spans="2:10" s="60" customFormat="1" hidden="1">
      <c r="B827" s="43" t="s">
        <v>43</v>
      </c>
      <c r="C827" s="27" t="s">
        <v>700</v>
      </c>
      <c r="D827" s="27" t="s">
        <v>15</v>
      </c>
      <c r="E827" s="27" t="s">
        <v>30</v>
      </c>
      <c r="F827" s="29" t="s">
        <v>42</v>
      </c>
      <c r="G827" s="30" t="s">
        <v>44</v>
      </c>
      <c r="H827" s="25"/>
      <c r="I827" s="25"/>
      <c r="J827" s="25"/>
    </row>
    <row r="828" spans="2:10" s="60" customFormat="1" ht="25.5" hidden="1">
      <c r="B828" s="43" t="s">
        <v>45</v>
      </c>
      <c r="C828" s="27" t="s">
        <v>700</v>
      </c>
      <c r="D828" s="30" t="s">
        <v>15</v>
      </c>
      <c r="E828" s="30" t="s">
        <v>30</v>
      </c>
      <c r="F828" s="29" t="s">
        <v>46</v>
      </c>
      <c r="G828" s="30"/>
      <c r="H828" s="25">
        <f>H829</f>
        <v>0</v>
      </c>
      <c r="I828" s="25">
        <f>I829</f>
        <v>0</v>
      </c>
      <c r="J828" s="25">
        <f>J829</f>
        <v>0</v>
      </c>
    </row>
    <row r="829" spans="2:10" s="60" customFormat="1" ht="25.5" hidden="1">
      <c r="B829" s="43" t="s">
        <v>26</v>
      </c>
      <c r="C829" s="27" t="s">
        <v>700</v>
      </c>
      <c r="D829" s="30" t="s">
        <v>15</v>
      </c>
      <c r="E829" s="30" t="s">
        <v>30</v>
      </c>
      <c r="F829" s="29" t="s">
        <v>46</v>
      </c>
      <c r="G829" s="30" t="s">
        <v>27</v>
      </c>
      <c r="H829" s="25"/>
      <c r="I829" s="25"/>
      <c r="J829" s="25"/>
    </row>
    <row r="830" spans="2:10" s="60" customFormat="1" ht="14.25">
      <c r="B830" s="149" t="s">
        <v>191</v>
      </c>
      <c r="C830" s="152">
        <v>163</v>
      </c>
      <c r="D830" s="80">
        <v>2</v>
      </c>
      <c r="E830" s="80"/>
      <c r="F830" s="29"/>
      <c r="G830" s="30"/>
      <c r="H830" s="21">
        <f t="shared" ref="H830:J835" si="104">H831</f>
        <v>0</v>
      </c>
      <c r="I830" s="21">
        <f t="shared" si="104"/>
        <v>0</v>
      </c>
      <c r="J830" s="21">
        <f t="shared" si="104"/>
        <v>0</v>
      </c>
    </row>
    <row r="831" spans="2:10" s="60" customFormat="1" ht="14.25">
      <c r="B831" s="149" t="s">
        <v>192</v>
      </c>
      <c r="C831" s="152">
        <v>163</v>
      </c>
      <c r="D831" s="80">
        <v>2</v>
      </c>
      <c r="E831" s="80">
        <v>3</v>
      </c>
      <c r="F831" s="29"/>
      <c r="G831" s="30"/>
      <c r="H831" s="21">
        <f t="shared" si="104"/>
        <v>0</v>
      </c>
      <c r="I831" s="21">
        <f t="shared" si="104"/>
        <v>0</v>
      </c>
      <c r="J831" s="21">
        <f t="shared" si="104"/>
        <v>0</v>
      </c>
    </row>
    <row r="832" spans="2:10" s="60" customFormat="1" ht="25.5">
      <c r="B832" s="38" t="s">
        <v>18</v>
      </c>
      <c r="C832" s="27" t="s">
        <v>700</v>
      </c>
      <c r="D832" s="83">
        <v>2</v>
      </c>
      <c r="E832" s="83">
        <v>3</v>
      </c>
      <c r="F832" s="29" t="s">
        <v>19</v>
      </c>
      <c r="G832" s="27"/>
      <c r="H832" s="25">
        <f t="shared" si="104"/>
        <v>0</v>
      </c>
      <c r="I832" s="25">
        <f t="shared" si="104"/>
        <v>0</v>
      </c>
      <c r="J832" s="25">
        <f t="shared" si="104"/>
        <v>0</v>
      </c>
    </row>
    <row r="833" spans="2:10" s="60" customFormat="1" ht="39">
      <c r="B833" s="28" t="s">
        <v>20</v>
      </c>
      <c r="C833" s="27" t="s">
        <v>700</v>
      </c>
      <c r="D833" s="83">
        <v>2</v>
      </c>
      <c r="E833" s="83">
        <v>3</v>
      </c>
      <c r="F833" s="29" t="s">
        <v>21</v>
      </c>
      <c r="G833" s="27"/>
      <c r="H833" s="25">
        <f t="shared" si="104"/>
        <v>0</v>
      </c>
      <c r="I833" s="25">
        <f t="shared" si="104"/>
        <v>0</v>
      </c>
      <c r="J833" s="25">
        <f t="shared" si="104"/>
        <v>0</v>
      </c>
    </row>
    <row r="834" spans="2:10" s="60" customFormat="1" ht="25.5">
      <c r="B834" s="38" t="s">
        <v>22</v>
      </c>
      <c r="C834" s="27" t="s">
        <v>700</v>
      </c>
      <c r="D834" s="83">
        <v>2</v>
      </c>
      <c r="E834" s="83">
        <v>3</v>
      </c>
      <c r="F834" s="29" t="s">
        <v>23</v>
      </c>
      <c r="G834" s="27"/>
      <c r="H834" s="25">
        <f t="shared" si="104"/>
        <v>0</v>
      </c>
      <c r="I834" s="25">
        <f t="shared" si="104"/>
        <v>0</v>
      </c>
      <c r="J834" s="25">
        <f t="shared" si="104"/>
        <v>0</v>
      </c>
    </row>
    <row r="835" spans="2:10" s="60" customFormat="1" ht="25.5">
      <c r="B835" s="51" t="s">
        <v>194</v>
      </c>
      <c r="C835" s="27" t="s">
        <v>700</v>
      </c>
      <c r="D835" s="83">
        <v>2</v>
      </c>
      <c r="E835" s="83">
        <v>3</v>
      </c>
      <c r="F835" s="29" t="s">
        <v>195</v>
      </c>
      <c r="G835" s="27"/>
      <c r="H835" s="25">
        <f t="shared" si="104"/>
        <v>0</v>
      </c>
      <c r="I835" s="25">
        <f t="shared" si="104"/>
        <v>0</v>
      </c>
      <c r="J835" s="25">
        <f t="shared" si="104"/>
        <v>0</v>
      </c>
    </row>
    <row r="836" spans="2:10" s="60" customFormat="1" ht="25.5">
      <c r="B836" s="38" t="s">
        <v>26</v>
      </c>
      <c r="C836" s="27" t="s">
        <v>700</v>
      </c>
      <c r="D836" s="83">
        <v>2</v>
      </c>
      <c r="E836" s="83">
        <v>3</v>
      </c>
      <c r="F836" s="29" t="s">
        <v>195</v>
      </c>
      <c r="G836" s="27" t="s">
        <v>27</v>
      </c>
      <c r="H836" s="25">
        <v>0</v>
      </c>
      <c r="I836" s="25">
        <v>0</v>
      </c>
      <c r="J836" s="25">
        <v>0</v>
      </c>
    </row>
    <row r="837" spans="2:10" s="60" customFormat="1" ht="25.5">
      <c r="B837" s="154" t="s">
        <v>693</v>
      </c>
      <c r="C837" s="152">
        <v>163</v>
      </c>
      <c r="D837" s="80">
        <v>3</v>
      </c>
      <c r="E837" s="83"/>
      <c r="F837" s="29"/>
      <c r="G837" s="27"/>
      <c r="H837" s="21">
        <f t="shared" ref="H837:J841" si="105">H838</f>
        <v>752.40000000000009</v>
      </c>
      <c r="I837" s="21">
        <f t="shared" si="105"/>
        <v>0</v>
      </c>
      <c r="J837" s="21">
        <f t="shared" si="105"/>
        <v>0</v>
      </c>
    </row>
    <row r="838" spans="2:10" s="60" customFormat="1" ht="34.5" customHeight="1">
      <c r="B838" s="78" t="s">
        <v>221</v>
      </c>
      <c r="C838" s="20" t="s">
        <v>700</v>
      </c>
      <c r="D838" s="80">
        <v>3</v>
      </c>
      <c r="E838" s="80">
        <v>10</v>
      </c>
      <c r="F838" s="88"/>
      <c r="G838" s="20"/>
      <c r="H838" s="21">
        <f t="shared" si="105"/>
        <v>752.40000000000009</v>
      </c>
      <c r="I838" s="21">
        <f t="shared" si="105"/>
        <v>0</v>
      </c>
      <c r="J838" s="21">
        <f t="shared" si="105"/>
        <v>0</v>
      </c>
    </row>
    <row r="839" spans="2:10" s="60" customFormat="1" ht="38.25">
      <c r="B839" s="43" t="s">
        <v>55</v>
      </c>
      <c r="C839" s="27" t="s">
        <v>700</v>
      </c>
      <c r="D839" s="83">
        <v>3</v>
      </c>
      <c r="E839" s="83">
        <v>10</v>
      </c>
      <c r="F839" s="29" t="s">
        <v>56</v>
      </c>
      <c r="G839" s="27"/>
      <c r="H839" s="25">
        <f t="shared" si="105"/>
        <v>752.40000000000009</v>
      </c>
      <c r="I839" s="25">
        <f t="shared" si="105"/>
        <v>0</v>
      </c>
      <c r="J839" s="25">
        <f t="shared" si="105"/>
        <v>0</v>
      </c>
    </row>
    <row r="840" spans="2:10" s="60" customFormat="1" ht="25.5">
      <c r="B840" s="43" t="s">
        <v>199</v>
      </c>
      <c r="C840" s="27" t="s">
        <v>700</v>
      </c>
      <c r="D840" s="83">
        <v>3</v>
      </c>
      <c r="E840" s="83">
        <v>10</v>
      </c>
      <c r="F840" s="29" t="s">
        <v>200</v>
      </c>
      <c r="G840" s="27"/>
      <c r="H840" s="25">
        <f t="shared" si="105"/>
        <v>752.40000000000009</v>
      </c>
      <c r="I840" s="25">
        <f t="shared" si="105"/>
        <v>0</v>
      </c>
      <c r="J840" s="25">
        <f t="shared" si="105"/>
        <v>0</v>
      </c>
    </row>
    <row r="841" spans="2:10" s="60" customFormat="1" ht="15">
      <c r="B841" s="56" t="s">
        <v>694</v>
      </c>
      <c r="C841" s="27" t="s">
        <v>700</v>
      </c>
      <c r="D841" s="83">
        <v>3</v>
      </c>
      <c r="E841" s="83">
        <v>10</v>
      </c>
      <c r="F841" s="29" t="s">
        <v>695</v>
      </c>
      <c r="G841" s="27"/>
      <c r="H841" s="25">
        <f t="shared" si="105"/>
        <v>752.40000000000009</v>
      </c>
      <c r="I841" s="25">
        <f t="shared" si="105"/>
        <v>0</v>
      </c>
      <c r="J841" s="25">
        <f t="shared" si="105"/>
        <v>0</v>
      </c>
    </row>
    <row r="842" spans="2:10" s="60" customFormat="1" ht="25.5">
      <c r="B842" s="56" t="s">
        <v>39</v>
      </c>
      <c r="C842" s="27" t="s">
        <v>700</v>
      </c>
      <c r="D842" s="83">
        <v>3</v>
      </c>
      <c r="E842" s="83">
        <v>10</v>
      </c>
      <c r="F842" s="29" t="s">
        <v>695</v>
      </c>
      <c r="G842" s="27" t="s">
        <v>40</v>
      </c>
      <c r="H842" s="25">
        <f>900+602.4-750</f>
        <v>752.40000000000009</v>
      </c>
      <c r="I842" s="25">
        <v>0</v>
      </c>
      <c r="J842" s="25">
        <v>0</v>
      </c>
    </row>
    <row r="843" spans="2:10" s="60" customFormat="1" hidden="1">
      <c r="B843" s="155" t="s">
        <v>696</v>
      </c>
      <c r="C843" s="20" t="s">
        <v>700</v>
      </c>
      <c r="D843" s="20" t="s">
        <v>30</v>
      </c>
      <c r="E843" s="27"/>
      <c r="F843" s="29"/>
      <c r="G843" s="30"/>
      <c r="H843" s="21">
        <f t="shared" ref="H843:J848" si="106">H844</f>
        <v>0</v>
      </c>
      <c r="I843" s="21">
        <f t="shared" si="106"/>
        <v>0</v>
      </c>
      <c r="J843" s="21">
        <f t="shared" si="106"/>
        <v>0</v>
      </c>
    </row>
    <row r="844" spans="2:10" s="60" customFormat="1" hidden="1">
      <c r="B844" s="154" t="s">
        <v>268</v>
      </c>
      <c r="C844" s="20" t="s">
        <v>700</v>
      </c>
      <c r="D844" s="20" t="s">
        <v>30</v>
      </c>
      <c r="E844" s="20" t="s">
        <v>198</v>
      </c>
      <c r="F844" s="29"/>
      <c r="G844" s="30"/>
      <c r="H844" s="21">
        <f t="shared" si="106"/>
        <v>0</v>
      </c>
      <c r="I844" s="21">
        <f t="shared" si="106"/>
        <v>0</v>
      </c>
      <c r="J844" s="21">
        <f t="shared" si="106"/>
        <v>0</v>
      </c>
    </row>
    <row r="845" spans="2:10" s="60" customFormat="1" ht="25.5" hidden="1">
      <c r="B845" s="43" t="s">
        <v>256</v>
      </c>
      <c r="C845" s="27" t="s">
        <v>700</v>
      </c>
      <c r="D845" s="30" t="s">
        <v>30</v>
      </c>
      <c r="E845" s="30" t="s">
        <v>198</v>
      </c>
      <c r="F845" s="29" t="s">
        <v>257</v>
      </c>
      <c r="G845" s="30"/>
      <c r="H845" s="25">
        <f t="shared" si="106"/>
        <v>0</v>
      </c>
      <c r="I845" s="25">
        <f t="shared" si="106"/>
        <v>0</v>
      </c>
      <c r="J845" s="25">
        <f t="shared" si="106"/>
        <v>0</v>
      </c>
    </row>
    <row r="846" spans="2:10" s="60" customFormat="1" hidden="1">
      <c r="B846" s="43" t="s">
        <v>275</v>
      </c>
      <c r="C846" s="27" t="s">
        <v>700</v>
      </c>
      <c r="D846" s="30" t="s">
        <v>30</v>
      </c>
      <c r="E846" s="30" t="s">
        <v>198</v>
      </c>
      <c r="F846" s="29" t="s">
        <v>276</v>
      </c>
      <c r="G846" s="30"/>
      <c r="H846" s="25">
        <f t="shared" si="106"/>
        <v>0</v>
      </c>
      <c r="I846" s="25">
        <f t="shared" si="106"/>
        <v>0</v>
      </c>
      <c r="J846" s="25">
        <f t="shared" si="106"/>
        <v>0</v>
      </c>
    </row>
    <row r="847" spans="2:10" s="60" customFormat="1" ht="25.5" hidden="1">
      <c r="B847" s="43" t="s">
        <v>285</v>
      </c>
      <c r="C847" s="27" t="s">
        <v>700</v>
      </c>
      <c r="D847" s="30" t="s">
        <v>30</v>
      </c>
      <c r="E847" s="30" t="s">
        <v>198</v>
      </c>
      <c r="F847" s="29" t="s">
        <v>286</v>
      </c>
      <c r="G847" s="30"/>
      <c r="H847" s="25">
        <f t="shared" si="106"/>
        <v>0</v>
      </c>
      <c r="I847" s="25">
        <f t="shared" si="106"/>
        <v>0</v>
      </c>
      <c r="J847" s="25">
        <f t="shared" si="106"/>
        <v>0</v>
      </c>
    </row>
    <row r="848" spans="2:10" s="60" customFormat="1" ht="26.25" hidden="1" customHeight="1">
      <c r="B848" s="156" t="s">
        <v>287</v>
      </c>
      <c r="C848" s="27" t="s">
        <v>700</v>
      </c>
      <c r="D848" s="30" t="s">
        <v>30</v>
      </c>
      <c r="E848" s="30" t="s">
        <v>198</v>
      </c>
      <c r="F848" s="29" t="s">
        <v>288</v>
      </c>
      <c r="G848" s="30"/>
      <c r="H848" s="25">
        <f t="shared" si="106"/>
        <v>0</v>
      </c>
      <c r="I848" s="25">
        <f t="shared" si="106"/>
        <v>0</v>
      </c>
      <c r="J848" s="25">
        <f t="shared" si="106"/>
        <v>0</v>
      </c>
    </row>
    <row r="849" spans="2:11" s="60" customFormat="1" ht="25.5" hidden="1">
      <c r="B849" s="43" t="s">
        <v>39</v>
      </c>
      <c r="C849" s="27" t="s">
        <v>700</v>
      </c>
      <c r="D849" s="30" t="s">
        <v>30</v>
      </c>
      <c r="E849" s="30" t="s">
        <v>198</v>
      </c>
      <c r="F849" s="29" t="s">
        <v>288</v>
      </c>
      <c r="G849" s="30" t="s">
        <v>40</v>
      </c>
      <c r="H849" s="25"/>
      <c r="I849" s="25"/>
      <c r="J849" s="25"/>
    </row>
    <row r="850" spans="2:11" s="60" customFormat="1">
      <c r="B850" s="155" t="s">
        <v>697</v>
      </c>
      <c r="C850" s="20" t="s">
        <v>700</v>
      </c>
      <c r="D850" s="20" t="s">
        <v>80</v>
      </c>
      <c r="E850" s="20"/>
      <c r="F850" s="29"/>
      <c r="G850" s="27"/>
      <c r="H850" s="21">
        <f t="shared" ref="H850:J852" si="107">H851</f>
        <v>1386.5</v>
      </c>
      <c r="I850" s="21">
        <f t="shared" si="107"/>
        <v>2471.5</v>
      </c>
      <c r="J850" s="21">
        <f t="shared" si="107"/>
        <v>2471.5</v>
      </c>
    </row>
    <row r="851" spans="2:11" s="60" customFormat="1">
      <c r="B851" s="127" t="s">
        <v>361</v>
      </c>
      <c r="C851" s="20" t="s">
        <v>700</v>
      </c>
      <c r="D851" s="20" t="s">
        <v>80</v>
      </c>
      <c r="E851" s="20" t="s">
        <v>193</v>
      </c>
      <c r="F851" s="29"/>
      <c r="G851" s="27"/>
      <c r="H851" s="21">
        <f t="shared" si="107"/>
        <v>1386.5</v>
      </c>
      <c r="I851" s="21">
        <f t="shared" si="107"/>
        <v>2471.5</v>
      </c>
      <c r="J851" s="21">
        <f t="shared" si="107"/>
        <v>2471.5</v>
      </c>
    </row>
    <row r="852" spans="2:11" s="60" customFormat="1" ht="25.5">
      <c r="B852" s="26" t="s">
        <v>362</v>
      </c>
      <c r="C852" s="27" t="s">
        <v>700</v>
      </c>
      <c r="D852" s="27" t="s">
        <v>80</v>
      </c>
      <c r="E852" s="27" t="s">
        <v>193</v>
      </c>
      <c r="F852" s="29" t="s">
        <v>363</v>
      </c>
      <c r="G852" s="27"/>
      <c r="H852" s="25">
        <f t="shared" si="107"/>
        <v>1386.5</v>
      </c>
      <c r="I852" s="25">
        <f t="shared" si="107"/>
        <v>2471.5</v>
      </c>
      <c r="J852" s="25">
        <f t="shared" si="107"/>
        <v>2471.5</v>
      </c>
    </row>
    <row r="853" spans="2:11" s="60" customFormat="1" ht="25.5">
      <c r="B853" s="70" t="s">
        <v>374</v>
      </c>
      <c r="C853" s="27" t="s">
        <v>700</v>
      </c>
      <c r="D853" s="27" t="s">
        <v>80</v>
      </c>
      <c r="E853" s="27" t="s">
        <v>193</v>
      </c>
      <c r="F853" s="29" t="s">
        <v>375</v>
      </c>
      <c r="G853" s="27"/>
      <c r="H853" s="25">
        <f>H857+H860+H854</f>
        <v>1386.5</v>
      </c>
      <c r="I853" s="25">
        <f>I857+I860+I854</f>
        <v>2471.5</v>
      </c>
      <c r="J853" s="25">
        <f>J857+J860+J854</f>
        <v>2471.5</v>
      </c>
    </row>
    <row r="854" spans="2:11" s="60" customFormat="1">
      <c r="B854" s="38" t="s">
        <v>376</v>
      </c>
      <c r="C854" s="27" t="s">
        <v>700</v>
      </c>
      <c r="D854" s="27" t="s">
        <v>80</v>
      </c>
      <c r="E854" s="27" t="s">
        <v>193</v>
      </c>
      <c r="F854" s="29" t="s">
        <v>377</v>
      </c>
      <c r="G854" s="27"/>
      <c r="H854" s="25">
        <f t="shared" ref="H854:J855" si="108">H855</f>
        <v>50</v>
      </c>
      <c r="I854" s="25">
        <f t="shared" si="108"/>
        <v>50</v>
      </c>
      <c r="J854" s="25">
        <f t="shared" si="108"/>
        <v>50</v>
      </c>
    </row>
    <row r="855" spans="2:11" s="60" customFormat="1">
      <c r="B855" s="38" t="s">
        <v>378</v>
      </c>
      <c r="C855" s="27" t="s">
        <v>700</v>
      </c>
      <c r="D855" s="27" t="s">
        <v>80</v>
      </c>
      <c r="E855" s="27" t="s">
        <v>193</v>
      </c>
      <c r="F855" s="29" t="s">
        <v>379</v>
      </c>
      <c r="G855" s="27"/>
      <c r="H855" s="25">
        <f t="shared" si="108"/>
        <v>50</v>
      </c>
      <c r="I855" s="25">
        <f t="shared" si="108"/>
        <v>50</v>
      </c>
      <c r="J855" s="25">
        <f t="shared" si="108"/>
        <v>50</v>
      </c>
    </row>
    <row r="856" spans="2:11" s="60" customFormat="1" ht="25.5">
      <c r="B856" s="38" t="s">
        <v>39</v>
      </c>
      <c r="C856" s="27" t="s">
        <v>700</v>
      </c>
      <c r="D856" s="27" t="s">
        <v>80</v>
      </c>
      <c r="E856" s="27" t="s">
        <v>193</v>
      </c>
      <c r="F856" s="29" t="s">
        <v>379</v>
      </c>
      <c r="G856" s="27" t="s">
        <v>40</v>
      </c>
      <c r="H856" s="25">
        <v>50</v>
      </c>
      <c r="I856" s="25">
        <v>50</v>
      </c>
      <c r="J856" s="25">
        <v>50</v>
      </c>
    </row>
    <row r="857" spans="2:11" s="60" customFormat="1">
      <c r="B857" s="38" t="s">
        <v>383</v>
      </c>
      <c r="C857" s="27" t="s">
        <v>700</v>
      </c>
      <c r="D857" s="27" t="s">
        <v>80</v>
      </c>
      <c r="E857" s="27" t="s">
        <v>193</v>
      </c>
      <c r="F857" s="29" t="s">
        <v>384</v>
      </c>
      <c r="G857" s="27"/>
      <c r="H857" s="25">
        <f t="shared" ref="H857:J858" si="109">H858</f>
        <v>1030</v>
      </c>
      <c r="I857" s="25">
        <f t="shared" si="109"/>
        <v>1965</v>
      </c>
      <c r="J857" s="25">
        <f t="shared" si="109"/>
        <v>1965</v>
      </c>
    </row>
    <row r="858" spans="2:11" s="60" customFormat="1">
      <c r="B858" s="38" t="s">
        <v>385</v>
      </c>
      <c r="C858" s="27" t="s">
        <v>700</v>
      </c>
      <c r="D858" s="27" t="s">
        <v>80</v>
      </c>
      <c r="E858" s="27" t="s">
        <v>193</v>
      </c>
      <c r="F858" s="29" t="s">
        <v>386</v>
      </c>
      <c r="G858" s="27"/>
      <c r="H858" s="25">
        <f t="shared" si="109"/>
        <v>1030</v>
      </c>
      <c r="I858" s="25">
        <f t="shared" si="109"/>
        <v>1965</v>
      </c>
      <c r="J858" s="25">
        <f t="shared" si="109"/>
        <v>1965</v>
      </c>
    </row>
    <row r="859" spans="2:11" s="60" customFormat="1" ht="25.5">
      <c r="B859" s="38" t="s">
        <v>39</v>
      </c>
      <c r="C859" s="27" t="s">
        <v>700</v>
      </c>
      <c r="D859" s="27" t="s">
        <v>80</v>
      </c>
      <c r="E859" s="27" t="s">
        <v>193</v>
      </c>
      <c r="F859" s="29" t="s">
        <v>386</v>
      </c>
      <c r="G859" s="27" t="s">
        <v>40</v>
      </c>
      <c r="H859" s="25">
        <f>1965-200-735</f>
        <v>1030</v>
      </c>
      <c r="I859" s="25">
        <v>1965</v>
      </c>
      <c r="J859" s="25">
        <v>1965</v>
      </c>
    </row>
    <row r="860" spans="2:11" s="60" customFormat="1" ht="25.5">
      <c r="B860" s="38" t="s">
        <v>388</v>
      </c>
      <c r="C860" s="27" t="s">
        <v>700</v>
      </c>
      <c r="D860" s="27" t="s">
        <v>80</v>
      </c>
      <c r="E860" s="27" t="s">
        <v>193</v>
      </c>
      <c r="F860" s="29" t="s">
        <v>389</v>
      </c>
      <c r="G860" s="27"/>
      <c r="H860" s="25">
        <f t="shared" ref="H860:J861" si="110">H861</f>
        <v>306.5</v>
      </c>
      <c r="I860" s="25">
        <f t="shared" si="110"/>
        <v>456.5</v>
      </c>
      <c r="J860" s="25">
        <f t="shared" si="110"/>
        <v>456.5</v>
      </c>
    </row>
    <row r="861" spans="2:11" s="60" customFormat="1">
      <c r="B861" s="38" t="s">
        <v>390</v>
      </c>
      <c r="C861" s="27" t="s">
        <v>700</v>
      </c>
      <c r="D861" s="27" t="s">
        <v>80</v>
      </c>
      <c r="E861" s="27" t="s">
        <v>193</v>
      </c>
      <c r="F861" s="29" t="s">
        <v>391</v>
      </c>
      <c r="G861" s="27"/>
      <c r="H861" s="25">
        <f t="shared" si="110"/>
        <v>306.5</v>
      </c>
      <c r="I861" s="25">
        <f t="shared" si="110"/>
        <v>456.5</v>
      </c>
      <c r="J861" s="25">
        <f t="shared" si="110"/>
        <v>456.5</v>
      </c>
    </row>
    <row r="862" spans="2:11" s="60" customFormat="1" ht="25.5">
      <c r="B862" s="38" t="s">
        <v>39</v>
      </c>
      <c r="C862" s="27" t="s">
        <v>700</v>
      </c>
      <c r="D862" s="27" t="s">
        <v>80</v>
      </c>
      <c r="E862" s="27" t="s">
        <v>193</v>
      </c>
      <c r="F862" s="29" t="s">
        <v>391</v>
      </c>
      <c r="G862" s="27" t="s">
        <v>40</v>
      </c>
      <c r="H862" s="25">
        <f>1156.5-500-350</f>
        <v>306.5</v>
      </c>
      <c r="I862" s="25">
        <v>456.5</v>
      </c>
      <c r="J862" s="25">
        <v>456.5</v>
      </c>
      <c r="K862"/>
    </row>
    <row r="863" spans="2:11" s="60" customFormat="1">
      <c r="B863" s="155" t="s">
        <v>698</v>
      </c>
      <c r="C863" s="20" t="s">
        <v>700</v>
      </c>
      <c r="D863" s="157" t="s">
        <v>399</v>
      </c>
      <c r="E863" s="157"/>
      <c r="F863" s="29"/>
      <c r="G863" s="27"/>
      <c r="H863" s="21">
        <f t="shared" ref="H863:J867" si="111">H864</f>
        <v>2307</v>
      </c>
      <c r="I863" s="21">
        <f t="shared" si="111"/>
        <v>1467</v>
      </c>
      <c r="J863" s="21">
        <f t="shared" si="111"/>
        <v>1467</v>
      </c>
    </row>
    <row r="864" spans="2:11" s="60" customFormat="1">
      <c r="B864" s="76" t="s">
        <v>400</v>
      </c>
      <c r="C864" s="20" t="s">
        <v>700</v>
      </c>
      <c r="D864" s="157" t="s">
        <v>399</v>
      </c>
      <c r="E864" s="157" t="s">
        <v>80</v>
      </c>
      <c r="F864" s="29"/>
      <c r="G864" s="27"/>
      <c r="H864" s="21">
        <f t="shared" si="111"/>
        <v>2307</v>
      </c>
      <c r="I864" s="21">
        <f t="shared" si="111"/>
        <v>1467</v>
      </c>
      <c r="J864" s="21">
        <f t="shared" si="111"/>
        <v>1467</v>
      </c>
    </row>
    <row r="865" spans="2:11" s="60" customFormat="1" ht="27.75" customHeight="1">
      <c r="B865" s="43" t="s">
        <v>63</v>
      </c>
      <c r="C865" s="27" t="s">
        <v>700</v>
      </c>
      <c r="D865" s="158" t="s">
        <v>399</v>
      </c>
      <c r="E865" s="158" t="s">
        <v>80</v>
      </c>
      <c r="F865" s="29" t="s">
        <v>64</v>
      </c>
      <c r="G865" s="27"/>
      <c r="H865" s="25">
        <f t="shared" si="111"/>
        <v>2307</v>
      </c>
      <c r="I865" s="25">
        <f t="shared" si="111"/>
        <v>1467</v>
      </c>
      <c r="J865" s="25">
        <f t="shared" si="111"/>
        <v>1467</v>
      </c>
    </row>
    <row r="866" spans="2:11" s="60" customFormat="1" ht="25.5">
      <c r="B866" s="43" t="s">
        <v>65</v>
      </c>
      <c r="C866" s="27" t="s">
        <v>700</v>
      </c>
      <c r="D866" s="158" t="s">
        <v>399</v>
      </c>
      <c r="E866" s="158" t="s">
        <v>80</v>
      </c>
      <c r="F866" s="29" t="s">
        <v>66</v>
      </c>
      <c r="G866" s="27"/>
      <c r="H866" s="25">
        <f t="shared" si="111"/>
        <v>2307</v>
      </c>
      <c r="I866" s="25">
        <f t="shared" si="111"/>
        <v>1467</v>
      </c>
      <c r="J866" s="25">
        <f t="shared" si="111"/>
        <v>1467</v>
      </c>
    </row>
    <row r="867" spans="2:11" s="60" customFormat="1">
      <c r="B867" s="107" t="s">
        <v>403</v>
      </c>
      <c r="C867" s="27" t="s">
        <v>700</v>
      </c>
      <c r="D867" s="158" t="s">
        <v>399</v>
      </c>
      <c r="E867" s="158" t="s">
        <v>80</v>
      </c>
      <c r="F867" s="29" t="s">
        <v>405</v>
      </c>
      <c r="G867" s="27"/>
      <c r="H867" s="25">
        <f t="shared" si="111"/>
        <v>2307</v>
      </c>
      <c r="I867" s="25">
        <f t="shared" si="111"/>
        <v>1467</v>
      </c>
      <c r="J867" s="25">
        <f t="shared" si="111"/>
        <v>1467</v>
      </c>
    </row>
    <row r="868" spans="2:11" s="60" customFormat="1" ht="25.5">
      <c r="B868" s="43" t="s">
        <v>39</v>
      </c>
      <c r="C868" s="27" t="s">
        <v>700</v>
      </c>
      <c r="D868" s="158" t="s">
        <v>399</v>
      </c>
      <c r="E868" s="158" t="s">
        <v>80</v>
      </c>
      <c r="F868" s="29" t="s">
        <v>405</v>
      </c>
      <c r="G868" s="27" t="s">
        <v>40</v>
      </c>
      <c r="H868" s="25">
        <f>100+740+100+1367</f>
        <v>2307</v>
      </c>
      <c r="I868" s="25">
        <v>1467</v>
      </c>
      <c r="J868" s="25">
        <v>1467</v>
      </c>
    </row>
    <row r="869" spans="2:11" s="72" customFormat="1" ht="18" customHeight="1">
      <c r="B869" s="19" t="s">
        <v>701</v>
      </c>
      <c r="C869" s="20"/>
      <c r="D869" s="20"/>
      <c r="E869" s="20"/>
      <c r="F869" s="20"/>
      <c r="G869" s="20"/>
      <c r="H869" s="21">
        <f>H10+H487+H501+H509+H552+H606+H818+H767</f>
        <v>970405.79999999993</v>
      </c>
      <c r="I869" s="21">
        <f>I10+I487+I501+I509+I552+I606+I818+I767</f>
        <v>597071.27</v>
      </c>
      <c r="J869" s="21">
        <f>J10+J487+J501+J509+J552+J606+J818+J767</f>
        <v>596356.37</v>
      </c>
      <c r="K869" s="159"/>
    </row>
    <row r="870" spans="2:11" s="72" customFormat="1" ht="18.75" customHeight="1">
      <c r="B870" s="19" t="s">
        <v>702</v>
      </c>
      <c r="C870" s="20"/>
      <c r="D870" s="20"/>
      <c r="E870" s="20"/>
      <c r="F870" s="20"/>
      <c r="G870" s="20"/>
      <c r="H870" s="21"/>
      <c r="I870" s="21">
        <v>8548.7000000000007</v>
      </c>
      <c r="J870" s="21">
        <v>17638.599999999999</v>
      </c>
      <c r="K870" s="160"/>
    </row>
    <row r="871" spans="2:11" s="72" customFormat="1">
      <c r="B871" s="19" t="s">
        <v>703</v>
      </c>
      <c r="C871" s="20"/>
      <c r="D871" s="20"/>
      <c r="E871" s="161"/>
      <c r="F871" s="161"/>
      <c r="G871" s="20"/>
      <c r="H871" s="21">
        <f>H869+H870</f>
        <v>970405.79999999993</v>
      </c>
      <c r="I871" s="21">
        <f>I869+I870</f>
        <v>605619.97</v>
      </c>
      <c r="J871" s="21">
        <f>J869+J870</f>
        <v>613994.97</v>
      </c>
      <c r="K871"/>
    </row>
    <row r="872" spans="2:11">
      <c r="C872" s="163"/>
      <c r="D872" s="163"/>
      <c r="E872" s="164"/>
      <c r="F872" s="164"/>
      <c r="G872" s="163"/>
      <c r="H872" s="165"/>
      <c r="I872" s="165"/>
      <c r="J872" s="165"/>
      <c r="K872" s="166"/>
    </row>
    <row r="873" spans="2:11">
      <c r="C873" s="163"/>
      <c r="D873" s="163"/>
      <c r="E873" s="164"/>
      <c r="F873" s="10"/>
      <c r="H873" s="167"/>
      <c r="I873" s="168"/>
      <c r="J873" s="167"/>
    </row>
    <row r="874" spans="2:11">
      <c r="C874" s="163"/>
      <c r="D874" s="163"/>
      <c r="E874" s="164"/>
      <c r="F874" s="164"/>
      <c r="G874" s="163"/>
      <c r="H874" s="168"/>
      <c r="I874" s="168"/>
      <c r="J874" s="168"/>
    </row>
    <row r="875" spans="2:11">
      <c r="C875" s="163"/>
      <c r="D875" s="163"/>
      <c r="E875" s="164"/>
      <c r="F875" s="10"/>
      <c r="G875" s="163"/>
      <c r="H875" s="165"/>
      <c r="I875" s="165"/>
      <c r="J875" s="165"/>
    </row>
    <row r="876" spans="2:11">
      <c r="C876" s="163"/>
      <c r="D876" s="163"/>
      <c r="E876" s="164"/>
      <c r="F876" s="164"/>
      <c r="G876" s="163"/>
      <c r="H876" s="165"/>
      <c r="I876" s="165"/>
      <c r="J876" s="165"/>
    </row>
    <row r="877" spans="2:11">
      <c r="C877" s="163"/>
      <c r="D877" s="163"/>
      <c r="E877" s="164"/>
      <c r="F877" s="164"/>
      <c r="G877" s="163"/>
      <c r="H877" s="165"/>
      <c r="I877" s="165"/>
      <c r="J877" s="165"/>
    </row>
    <row r="878" spans="2:11">
      <c r="C878" s="163"/>
      <c r="D878" s="163"/>
      <c r="E878" s="164"/>
      <c r="F878" s="164"/>
      <c r="G878" s="163"/>
      <c r="H878" s="165"/>
      <c r="I878" s="165"/>
      <c r="J878" s="165"/>
    </row>
    <row r="879" spans="2:11">
      <c r="C879" s="163"/>
      <c r="D879" s="163"/>
      <c r="E879" s="164"/>
      <c r="F879" s="164"/>
      <c r="G879" s="163"/>
      <c r="H879" s="165"/>
      <c r="I879" s="165"/>
      <c r="J879" s="165"/>
    </row>
    <row r="880" spans="2:11">
      <c r="B880" s="4"/>
      <c r="C880" s="163"/>
      <c r="D880" s="163"/>
      <c r="E880" s="164"/>
      <c r="F880" s="164"/>
      <c r="G880" s="163"/>
      <c r="H880" s="169"/>
      <c r="I880" s="169"/>
      <c r="J880" s="169"/>
    </row>
    <row r="881" spans="1:13">
      <c r="B881" s="4"/>
      <c r="C881" s="163"/>
      <c r="D881" s="163"/>
      <c r="E881" s="164"/>
      <c r="F881" s="164"/>
      <c r="G881" s="163"/>
      <c r="H881" s="170"/>
      <c r="I881" s="170"/>
      <c r="J881" s="170"/>
    </row>
    <row r="882" spans="1:13">
      <c r="B882" s="4"/>
      <c r="C882" s="163"/>
      <c r="D882" s="164"/>
      <c r="E882" s="164"/>
      <c r="F882" s="164"/>
      <c r="G882" s="163"/>
      <c r="H882" s="169"/>
      <c r="I882" s="169"/>
      <c r="J882" s="169"/>
    </row>
    <row r="883" spans="1:13">
      <c r="B883" s="4"/>
      <c r="C883" s="164"/>
      <c r="D883" s="164"/>
      <c r="E883" s="164"/>
      <c r="F883" s="164"/>
      <c r="G883" s="171"/>
      <c r="I883" s="3" t="s">
        <v>704</v>
      </c>
    </row>
    <row r="884" spans="1:13">
      <c r="B884" s="4"/>
      <c r="C884" s="164"/>
      <c r="D884" s="164"/>
      <c r="E884" s="164"/>
      <c r="F884" s="164"/>
      <c r="G884" s="171"/>
    </row>
    <row r="892" spans="1:13" s="172" customFormat="1" ht="36" customHeight="1">
      <c r="A892" s="4"/>
      <c r="B892" s="4"/>
      <c r="C892" s="3"/>
      <c r="D892" s="3"/>
      <c r="E892" s="3"/>
      <c r="F892" s="3"/>
      <c r="G892" s="9"/>
      <c r="H892" s="3"/>
      <c r="I892" s="3"/>
      <c r="J892" s="3"/>
      <c r="K892" s="4"/>
      <c r="L892" s="4"/>
      <c r="M892" s="4"/>
    </row>
  </sheetData>
  <sheetProtection password="C613" sheet="1" objects="1" scenarios="1" formatCells="0" formatColumns="0" formatRows="0" insertColumns="0" insertRows="0" insertHyperlinks="0" deleteColumns="0" deleteRows="0" sort="0" autoFilter="0" pivotTables="0"/>
  <mergeCells count="9">
    <mergeCell ref="E2:G2"/>
    <mergeCell ref="B3:J3"/>
    <mergeCell ref="B5:J5"/>
    <mergeCell ref="B7:B8"/>
    <mergeCell ref="C7:C8"/>
    <mergeCell ref="D7:D8"/>
    <mergeCell ref="E7:E8"/>
    <mergeCell ref="F7:F8"/>
    <mergeCell ref="G7:G8"/>
  </mergeCells>
  <printOptions horizontalCentered="1"/>
  <pageMargins left="0.15748031496062992" right="0.15748031496062992" top="0.31496062992125984" bottom="0.47244094488188981" header="0.39370078740157483" footer="0.59055118110236227"/>
  <pageSetup paperSize="9" scale="67" fitToHeight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Проект</vt:lpstr>
      <vt:lpstr>'Прил 4 Проект'!Заголовки_для_печати</vt:lpstr>
      <vt:lpstr>'Прил 4 Проект'!Область_печати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Генаева</dc:creator>
  <cp:lastModifiedBy>Галина Генаева</cp:lastModifiedBy>
  <dcterms:created xsi:type="dcterms:W3CDTF">2023-11-20T05:21:35Z</dcterms:created>
  <dcterms:modified xsi:type="dcterms:W3CDTF">2023-11-20T05:28:03Z</dcterms:modified>
</cp:coreProperties>
</file>