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9035" windowHeight="10890"/>
  </bookViews>
  <sheets>
    <sheet name="Прил 3 Проект" sheetId="1" r:id="rId1"/>
  </sheets>
  <definedNames>
    <definedName name="_xlnm._FilterDatabase" localSheetId="0" hidden="1">'Прил 3 Проект'!$A$12:$L$759</definedName>
    <definedName name="А">#REF!</definedName>
    <definedName name="_xlnm.Print_Area" localSheetId="0">'Прил 3 Проект'!$A$1:$H$759</definedName>
  </definedNames>
  <calcPr calcId="124519"/>
</workbook>
</file>

<file path=xl/calcChain.xml><?xml version="1.0" encoding="utf-8"?>
<calcChain xmlns="http://schemas.openxmlformats.org/spreadsheetml/2006/main">
  <c r="H755" i="1"/>
  <c r="G755"/>
  <c r="F755"/>
  <c r="F754" s="1"/>
  <c r="F753" s="1"/>
  <c r="F752" s="1"/>
  <c r="H754"/>
  <c r="G754"/>
  <c r="H753"/>
  <c r="H752" s="1"/>
  <c r="G753"/>
  <c r="G752"/>
  <c r="H750"/>
  <c r="G750"/>
  <c r="F750"/>
  <c r="F747" s="1"/>
  <c r="F746" s="1"/>
  <c r="F745" s="1"/>
  <c r="F744" s="1"/>
  <c r="H748"/>
  <c r="G748"/>
  <c r="F748"/>
  <c r="H747"/>
  <c r="H746" s="1"/>
  <c r="H745" s="1"/>
  <c r="H744" s="1"/>
  <c r="G747"/>
  <c r="G746"/>
  <c r="G745" s="1"/>
  <c r="G744" s="1"/>
  <c r="H742"/>
  <c r="H741" s="1"/>
  <c r="H740" s="1"/>
  <c r="H739" s="1"/>
  <c r="G742"/>
  <c r="F742"/>
  <c r="G741"/>
  <c r="G740" s="1"/>
  <c r="G739" s="1"/>
  <c r="F741"/>
  <c r="F740"/>
  <c r="F739" s="1"/>
  <c r="H738"/>
  <c r="H737" s="1"/>
  <c r="G738"/>
  <c r="F738"/>
  <c r="G737"/>
  <c r="F737"/>
  <c r="F736"/>
  <c r="H735"/>
  <c r="G735"/>
  <c r="F735"/>
  <c r="H730"/>
  <c r="G730"/>
  <c r="F730"/>
  <c r="H728"/>
  <c r="G728"/>
  <c r="F728"/>
  <c r="H726"/>
  <c r="H725" s="1"/>
  <c r="H724" s="1"/>
  <c r="H723" s="1"/>
  <c r="H722" s="1"/>
  <c r="H721" s="1"/>
  <c r="G726"/>
  <c r="F726"/>
  <c r="G725"/>
  <c r="G724" s="1"/>
  <c r="G723" s="1"/>
  <c r="G722" s="1"/>
  <c r="F725"/>
  <c r="F724"/>
  <c r="F723" s="1"/>
  <c r="F722" s="1"/>
  <c r="H717"/>
  <c r="G717"/>
  <c r="F717"/>
  <c r="F716" s="1"/>
  <c r="H716"/>
  <c r="G716"/>
  <c r="H715"/>
  <c r="H714" s="1"/>
  <c r="H713" s="1"/>
  <c r="G715"/>
  <c r="G714"/>
  <c r="G713" s="1"/>
  <c r="H710"/>
  <c r="G710"/>
  <c r="F710"/>
  <c r="H709"/>
  <c r="H708" s="1"/>
  <c r="H707" s="1"/>
  <c r="H706" s="1"/>
  <c r="G709"/>
  <c r="F709"/>
  <c r="G708"/>
  <c r="G707" s="1"/>
  <c r="G706" s="1"/>
  <c r="F708"/>
  <c r="F707"/>
  <c r="F706" s="1"/>
  <c r="F705"/>
  <c r="F704" s="1"/>
  <c r="F703" s="1"/>
  <c r="F702" s="1"/>
  <c r="H704"/>
  <c r="G704"/>
  <c r="H703"/>
  <c r="H702" s="1"/>
  <c r="G703"/>
  <c r="G702"/>
  <c r="H701"/>
  <c r="G701"/>
  <c r="F701"/>
  <c r="F700" s="1"/>
  <c r="F697" s="1"/>
  <c r="F696" s="1"/>
  <c r="H700"/>
  <c r="H697" s="1"/>
  <c r="H696" s="1"/>
  <c r="G700"/>
  <c r="H698"/>
  <c r="G698"/>
  <c r="F698"/>
  <c r="G697"/>
  <c r="G696" s="1"/>
  <c r="H694"/>
  <c r="H693" s="1"/>
  <c r="H692" s="1"/>
  <c r="H691" s="1"/>
  <c r="G694"/>
  <c r="F694"/>
  <c r="G693"/>
  <c r="G692" s="1"/>
  <c r="G691" s="1"/>
  <c r="F693"/>
  <c r="F692"/>
  <c r="F691" s="1"/>
  <c r="H689"/>
  <c r="H688" s="1"/>
  <c r="H687" s="1"/>
  <c r="H686" s="1"/>
  <c r="G689"/>
  <c r="F689"/>
  <c r="G688"/>
  <c r="F688"/>
  <c r="G687"/>
  <c r="G686" s="1"/>
  <c r="F687"/>
  <c r="F686"/>
  <c r="H684"/>
  <c r="G684"/>
  <c r="F684"/>
  <c r="H679"/>
  <c r="H678" s="1"/>
  <c r="H677" s="1"/>
  <c r="H676" s="1"/>
  <c r="G679"/>
  <c r="F679"/>
  <c r="G678"/>
  <c r="G677" s="1"/>
  <c r="G676" s="1"/>
  <c r="F678"/>
  <c r="F677"/>
  <c r="F676" s="1"/>
  <c r="F672" s="1"/>
  <c r="H674"/>
  <c r="H673" s="1"/>
  <c r="G674"/>
  <c r="F674"/>
  <c r="G673"/>
  <c r="G672" s="1"/>
  <c r="F673"/>
  <c r="H669"/>
  <c r="H668" s="1"/>
  <c r="G669"/>
  <c r="F669"/>
  <c r="G668"/>
  <c r="G667" s="1"/>
  <c r="G666" s="1"/>
  <c r="F668"/>
  <c r="F667"/>
  <c r="F666" s="1"/>
  <c r="F665"/>
  <c r="F663"/>
  <c r="H662"/>
  <c r="H661" s="1"/>
  <c r="H660" s="1"/>
  <c r="H659" s="1"/>
  <c r="G662"/>
  <c r="G661" s="1"/>
  <c r="G660" s="1"/>
  <c r="G659" s="1"/>
  <c r="F662"/>
  <c r="F661"/>
  <c r="F660"/>
  <c r="F659" s="1"/>
  <c r="F658"/>
  <c r="F657" s="1"/>
  <c r="F653" s="1"/>
  <c r="F652" s="1"/>
  <c r="F651" s="1"/>
  <c r="H657"/>
  <c r="H653" s="1"/>
  <c r="H652" s="1"/>
  <c r="H651" s="1"/>
  <c r="G657"/>
  <c r="H654"/>
  <c r="G654"/>
  <c r="F654"/>
  <c r="G653"/>
  <c r="G652" s="1"/>
  <c r="G651" s="1"/>
  <c r="H649"/>
  <c r="H648" s="1"/>
  <c r="H645" s="1"/>
  <c r="G649"/>
  <c r="F649"/>
  <c r="G648"/>
  <c r="G645" s="1"/>
  <c r="F648"/>
  <c r="H646"/>
  <c r="G646"/>
  <c r="F646"/>
  <c r="F645" s="1"/>
  <c r="H643"/>
  <c r="G643"/>
  <c r="F643"/>
  <c r="F642"/>
  <c r="H641"/>
  <c r="G641"/>
  <c r="F641"/>
  <c r="H639"/>
  <c r="G639"/>
  <c r="F639"/>
  <c r="H638"/>
  <c r="G638"/>
  <c r="F638"/>
  <c r="F637" s="1"/>
  <c r="F633" s="1"/>
  <c r="H637"/>
  <c r="G637"/>
  <c r="H635"/>
  <c r="H634" s="1"/>
  <c r="H633" s="1"/>
  <c r="G635"/>
  <c r="F635"/>
  <c r="G634"/>
  <c r="G633" s="1"/>
  <c r="F634"/>
  <c r="H631"/>
  <c r="G631"/>
  <c r="F631"/>
  <c r="F630"/>
  <c r="F629" s="1"/>
  <c r="H629"/>
  <c r="G629"/>
  <c r="H627"/>
  <c r="G627"/>
  <c r="F627"/>
  <c r="H626"/>
  <c r="G626"/>
  <c r="G625" s="1"/>
  <c r="G620" s="1"/>
  <c r="H625"/>
  <c r="F625"/>
  <c r="F623"/>
  <c r="F621" s="1"/>
  <c r="H622"/>
  <c r="G622"/>
  <c r="F622"/>
  <c r="H621"/>
  <c r="H620" s="1"/>
  <c r="G621"/>
  <c r="H618"/>
  <c r="G618"/>
  <c r="F618"/>
  <c r="F617" s="1"/>
  <c r="H617"/>
  <c r="G617"/>
  <c r="F616"/>
  <c r="F615" s="1"/>
  <c r="H615"/>
  <c r="G615"/>
  <c r="H613"/>
  <c r="G613"/>
  <c r="F613"/>
  <c r="H612"/>
  <c r="G612"/>
  <c r="G611" s="1"/>
  <c r="G610" s="1"/>
  <c r="F612"/>
  <c r="H611"/>
  <c r="F611"/>
  <c r="F610" s="1"/>
  <c r="H610"/>
  <c r="H608"/>
  <c r="G608"/>
  <c r="F608"/>
  <c r="H606"/>
  <c r="H605" s="1"/>
  <c r="G606"/>
  <c r="G605" s="1"/>
  <c r="G600" s="1"/>
  <c r="F606"/>
  <c r="F605" s="1"/>
  <c r="H603"/>
  <c r="G603"/>
  <c r="F603"/>
  <c r="F602"/>
  <c r="F601" s="1"/>
  <c r="F600" s="1"/>
  <c r="H601"/>
  <c r="H600" s="1"/>
  <c r="H599" s="1"/>
  <c r="H598" s="1"/>
  <c r="H597" s="1"/>
  <c r="G601"/>
  <c r="H596"/>
  <c r="H595" s="1"/>
  <c r="H594" s="1"/>
  <c r="G596"/>
  <c r="G595" s="1"/>
  <c r="G594" s="1"/>
  <c r="F596"/>
  <c r="F595"/>
  <c r="F594" s="1"/>
  <c r="F592"/>
  <c r="H591"/>
  <c r="G591"/>
  <c r="F591"/>
  <c r="F590" s="1"/>
  <c r="F589" s="1"/>
  <c r="F588" s="1"/>
  <c r="H590"/>
  <c r="H589" s="1"/>
  <c r="H588" s="1"/>
  <c r="G590"/>
  <c r="G589"/>
  <c r="G588" s="1"/>
  <c r="F587"/>
  <c r="H586"/>
  <c r="G586"/>
  <c r="F586"/>
  <c r="F585"/>
  <c r="H584"/>
  <c r="G584"/>
  <c r="F584"/>
  <c r="F583"/>
  <c r="H582"/>
  <c r="G582"/>
  <c r="G581" s="1"/>
  <c r="F582"/>
  <c r="H581"/>
  <c r="F581"/>
  <c r="H578"/>
  <c r="G578"/>
  <c r="F578"/>
  <c r="H577"/>
  <c r="G577"/>
  <c r="F577"/>
  <c r="H575"/>
  <c r="G575"/>
  <c r="G574" s="1"/>
  <c r="F575"/>
  <c r="H574"/>
  <c r="F574"/>
  <c r="F567" s="1"/>
  <c r="F566" s="1"/>
  <c r="H572"/>
  <c r="G572"/>
  <c r="F572"/>
  <c r="H571"/>
  <c r="G571"/>
  <c r="F571"/>
  <c r="H569"/>
  <c r="G569"/>
  <c r="G568" s="1"/>
  <c r="F569"/>
  <c r="H568"/>
  <c r="F568"/>
  <c r="H567"/>
  <c r="H566" s="1"/>
  <c r="H555" s="1"/>
  <c r="H564"/>
  <c r="G564"/>
  <c r="G563" s="1"/>
  <c r="G562" s="1"/>
  <c r="G561" s="1"/>
  <c r="F564"/>
  <c r="H563"/>
  <c r="F563"/>
  <c r="F562" s="1"/>
  <c r="F561" s="1"/>
  <c r="H562"/>
  <c r="H561"/>
  <c r="H558"/>
  <c r="G558"/>
  <c r="G557" s="1"/>
  <c r="G556" s="1"/>
  <c r="F558"/>
  <c r="H557"/>
  <c r="F557"/>
  <c r="F556" s="1"/>
  <c r="H556"/>
  <c r="H553"/>
  <c r="G553"/>
  <c r="G552" s="1"/>
  <c r="F553"/>
  <c r="H552"/>
  <c r="F552"/>
  <c r="F551"/>
  <c r="F550"/>
  <c r="H549"/>
  <c r="G549"/>
  <c r="G548" s="1"/>
  <c r="F549"/>
  <c r="H548"/>
  <c r="F548"/>
  <c r="F547" s="1"/>
  <c r="F546" s="1"/>
  <c r="H547"/>
  <c r="H546"/>
  <c r="H544"/>
  <c r="G544"/>
  <c r="G543" s="1"/>
  <c r="F544"/>
  <c r="H543"/>
  <c r="F543"/>
  <c r="H541"/>
  <c r="G541"/>
  <c r="F541"/>
  <c r="H540"/>
  <c r="G540"/>
  <c r="F540"/>
  <c r="F539"/>
  <c r="H538"/>
  <c r="G538"/>
  <c r="F538"/>
  <c r="H536"/>
  <c r="G536"/>
  <c r="F536"/>
  <c r="H534"/>
  <c r="G534"/>
  <c r="F534"/>
  <c r="H533"/>
  <c r="G533"/>
  <c r="F533"/>
  <c r="H532"/>
  <c r="H531" s="1"/>
  <c r="H530" s="1"/>
  <c r="H529" s="1"/>
  <c r="G532"/>
  <c r="F532"/>
  <c r="G531"/>
  <c r="G530" s="1"/>
  <c r="G529" s="1"/>
  <c r="F531"/>
  <c r="F530"/>
  <c r="F529" s="1"/>
  <c r="H527"/>
  <c r="G527"/>
  <c r="F527"/>
  <c r="H526"/>
  <c r="G526"/>
  <c r="G525" s="1"/>
  <c r="G524" s="1"/>
  <c r="G523" s="1"/>
  <c r="F526"/>
  <c r="H525"/>
  <c r="F525"/>
  <c r="F524" s="1"/>
  <c r="F523" s="1"/>
  <c r="F522" s="1"/>
  <c r="H524"/>
  <c r="H523"/>
  <c r="H521"/>
  <c r="G521"/>
  <c r="F521"/>
  <c r="F520" s="1"/>
  <c r="F519" s="1"/>
  <c r="H520"/>
  <c r="H519" s="1"/>
  <c r="G520"/>
  <c r="G519"/>
  <c r="H517"/>
  <c r="G517"/>
  <c r="G516" s="1"/>
  <c r="F517"/>
  <c r="F516" s="1"/>
  <c r="H516"/>
  <c r="H514"/>
  <c r="G514"/>
  <c r="F514"/>
  <c r="H513"/>
  <c r="G513"/>
  <c r="F513"/>
  <c r="H511"/>
  <c r="G511"/>
  <c r="G510" s="1"/>
  <c r="F511"/>
  <c r="H510"/>
  <c r="F510"/>
  <c r="H507"/>
  <c r="G507"/>
  <c r="F507"/>
  <c r="H506"/>
  <c r="G506"/>
  <c r="F506"/>
  <c r="H504"/>
  <c r="G504"/>
  <c r="G503" s="1"/>
  <c r="F504"/>
  <c r="H503"/>
  <c r="F503"/>
  <c r="H501"/>
  <c r="G501"/>
  <c r="F501"/>
  <c r="H500"/>
  <c r="G500"/>
  <c r="F500"/>
  <c r="H499"/>
  <c r="G499"/>
  <c r="G498" s="1"/>
  <c r="G497" s="1"/>
  <c r="F499"/>
  <c r="H498"/>
  <c r="F498"/>
  <c r="F497" s="1"/>
  <c r="H497"/>
  <c r="H496"/>
  <c r="H495" s="1"/>
  <c r="G496"/>
  <c r="F496"/>
  <c r="G495"/>
  <c r="F495"/>
  <c r="H493"/>
  <c r="G493"/>
  <c r="F493"/>
  <c r="F492"/>
  <c r="H491"/>
  <c r="G491"/>
  <c r="F491"/>
  <c r="G490"/>
  <c r="G489" s="1"/>
  <c r="H489"/>
  <c r="F489"/>
  <c r="G488"/>
  <c r="F488"/>
  <c r="H487"/>
  <c r="G487"/>
  <c r="F487"/>
  <c r="G486"/>
  <c r="F486"/>
  <c r="H485"/>
  <c r="G485"/>
  <c r="F485"/>
  <c r="H484"/>
  <c r="G484"/>
  <c r="G483" s="1"/>
  <c r="F484"/>
  <c r="H483"/>
  <c r="F483"/>
  <c r="H481"/>
  <c r="G481"/>
  <c r="F481"/>
  <c r="H479"/>
  <c r="H478" s="1"/>
  <c r="G479"/>
  <c r="F479"/>
  <c r="G478"/>
  <c r="G473" s="1"/>
  <c r="G472" s="1"/>
  <c r="G471" s="1"/>
  <c r="G470" s="1"/>
  <c r="F478"/>
  <c r="H477"/>
  <c r="G477"/>
  <c r="F477"/>
  <c r="F476" s="1"/>
  <c r="F473" s="1"/>
  <c r="F472" s="1"/>
  <c r="F471" s="1"/>
  <c r="F470" s="1"/>
  <c r="H476"/>
  <c r="G476"/>
  <c r="H475"/>
  <c r="H474" s="1"/>
  <c r="G475"/>
  <c r="F475"/>
  <c r="G474"/>
  <c r="F474"/>
  <c r="H468"/>
  <c r="G468"/>
  <c r="G467" s="1"/>
  <c r="F468"/>
  <c r="F467" s="1"/>
  <c r="H467"/>
  <c r="H466"/>
  <c r="H465" s="1"/>
  <c r="G466"/>
  <c r="F466"/>
  <c r="G465"/>
  <c r="F465"/>
  <c r="F464"/>
  <c r="H463"/>
  <c r="G463"/>
  <c r="F463"/>
  <c r="H462"/>
  <c r="G462"/>
  <c r="G461" s="1"/>
  <c r="F462"/>
  <c r="F461" s="1"/>
  <c r="F458" s="1"/>
  <c r="F457" s="1"/>
  <c r="F456" s="1"/>
  <c r="F455" s="1"/>
  <c r="H461"/>
  <c r="H460"/>
  <c r="H459" s="1"/>
  <c r="G460"/>
  <c r="F460"/>
  <c r="G459"/>
  <c r="G458" s="1"/>
  <c r="G457" s="1"/>
  <c r="G456" s="1"/>
  <c r="G455" s="1"/>
  <c r="F459"/>
  <c r="H452"/>
  <c r="G452"/>
  <c r="F452"/>
  <c r="F451" s="1"/>
  <c r="H451"/>
  <c r="G451"/>
  <c r="H450"/>
  <c r="H448" s="1"/>
  <c r="H447" s="1"/>
  <c r="G450"/>
  <c r="G448" s="1"/>
  <c r="G447" s="1"/>
  <c r="G435" s="1"/>
  <c r="G434" s="1"/>
  <c r="G433" s="1"/>
  <c r="F450"/>
  <c r="F448"/>
  <c r="F447" s="1"/>
  <c r="F446"/>
  <c r="F445" s="1"/>
  <c r="F440" s="1"/>
  <c r="H445"/>
  <c r="G445"/>
  <c r="H443"/>
  <c r="G443"/>
  <c r="F443"/>
  <c r="F442"/>
  <c r="H441"/>
  <c r="H440" s="1"/>
  <c r="G441"/>
  <c r="F441"/>
  <c r="G440"/>
  <c r="H437"/>
  <c r="G437"/>
  <c r="F437"/>
  <c r="F436" s="1"/>
  <c r="F435" s="1"/>
  <c r="F434" s="1"/>
  <c r="F433" s="1"/>
  <c r="H436"/>
  <c r="G436"/>
  <c r="G432"/>
  <c r="F432"/>
  <c r="H431"/>
  <c r="G431"/>
  <c r="G430" s="1"/>
  <c r="G429" s="1"/>
  <c r="F431"/>
  <c r="H430"/>
  <c r="F430"/>
  <c r="F429" s="1"/>
  <c r="H429"/>
  <c r="F428"/>
  <c r="F427" s="1"/>
  <c r="F426" s="1"/>
  <c r="H427"/>
  <c r="G427"/>
  <c r="H426"/>
  <c r="G426"/>
  <c r="H424"/>
  <c r="G424"/>
  <c r="F424"/>
  <c r="H423"/>
  <c r="G423"/>
  <c r="F423"/>
  <c r="F422" s="1"/>
  <c r="F421" s="1"/>
  <c r="H422"/>
  <c r="G422"/>
  <c r="H421"/>
  <c r="G421"/>
  <c r="H419"/>
  <c r="G419"/>
  <c r="F419"/>
  <c r="H417"/>
  <c r="G417"/>
  <c r="F417"/>
  <c r="F416" s="1"/>
  <c r="F415" s="1"/>
  <c r="F414" s="1"/>
  <c r="H416"/>
  <c r="G416"/>
  <c r="H415"/>
  <c r="H414" s="1"/>
  <c r="G415"/>
  <c r="G414"/>
  <c r="H412"/>
  <c r="G412"/>
  <c r="F412"/>
  <c r="F411"/>
  <c r="H410"/>
  <c r="G410"/>
  <c r="F410"/>
  <c r="F409"/>
  <c r="H408"/>
  <c r="G408"/>
  <c r="F408"/>
  <c r="F407" s="1"/>
  <c r="F406" s="1"/>
  <c r="F405" s="1"/>
  <c r="F404" s="1"/>
  <c r="H407"/>
  <c r="G407"/>
  <c r="H406"/>
  <c r="H405" s="1"/>
  <c r="H404" s="1"/>
  <c r="G406"/>
  <c r="G405"/>
  <c r="G404" s="1"/>
  <c r="F403"/>
  <c r="F402" s="1"/>
  <c r="F401" s="1"/>
  <c r="F400" s="1"/>
  <c r="H402"/>
  <c r="G402"/>
  <c r="H401"/>
  <c r="H400" s="1"/>
  <c r="G401"/>
  <c r="G400"/>
  <c r="F399"/>
  <c r="H398"/>
  <c r="H397" s="1"/>
  <c r="G398"/>
  <c r="F398"/>
  <c r="G397"/>
  <c r="G387" s="1"/>
  <c r="F397"/>
  <c r="H395"/>
  <c r="G395"/>
  <c r="F395"/>
  <c r="H393"/>
  <c r="G393"/>
  <c r="F393"/>
  <c r="H391"/>
  <c r="H388" s="1"/>
  <c r="G391"/>
  <c r="F391"/>
  <c r="F390"/>
  <c r="H389"/>
  <c r="G389"/>
  <c r="F389"/>
  <c r="G388"/>
  <c r="F388"/>
  <c r="F387"/>
  <c r="H385"/>
  <c r="G385"/>
  <c r="F385"/>
  <c r="H384"/>
  <c r="G384"/>
  <c r="F384"/>
  <c r="H382"/>
  <c r="G382"/>
  <c r="F382"/>
  <c r="F381"/>
  <c r="H380"/>
  <c r="G380"/>
  <c r="F380"/>
  <c r="G378"/>
  <c r="F377"/>
  <c r="H376"/>
  <c r="H375" s="1"/>
  <c r="G376"/>
  <c r="F376"/>
  <c r="G375"/>
  <c r="F375"/>
  <c r="F374"/>
  <c r="F373"/>
  <c r="H372"/>
  <c r="H371" s="1"/>
  <c r="H370" s="1"/>
  <c r="G372"/>
  <c r="F372"/>
  <c r="G371"/>
  <c r="G370" s="1"/>
  <c r="F371"/>
  <c r="F370"/>
  <c r="F369" s="1"/>
  <c r="F360" s="1"/>
  <c r="H367"/>
  <c r="G367"/>
  <c r="F367"/>
  <c r="H365"/>
  <c r="H364" s="1"/>
  <c r="G365"/>
  <c r="G364" s="1"/>
  <c r="F365"/>
  <c r="F364"/>
  <c r="H362"/>
  <c r="G362"/>
  <c r="F362"/>
  <c r="H361"/>
  <c r="G361"/>
  <c r="F361"/>
  <c r="F359"/>
  <c r="H358"/>
  <c r="G358"/>
  <c r="F358"/>
  <c r="F357"/>
  <c r="H356"/>
  <c r="G356"/>
  <c r="G353" s="1"/>
  <c r="G350" s="1"/>
  <c r="F356"/>
  <c r="F353" s="1"/>
  <c r="H354"/>
  <c r="G354"/>
  <c r="F354"/>
  <c r="H353"/>
  <c r="F352"/>
  <c r="F351" s="1"/>
  <c r="F350" s="1"/>
  <c r="F346" s="1"/>
  <c r="H351"/>
  <c r="G351"/>
  <c r="H350"/>
  <c r="F349"/>
  <c r="H348"/>
  <c r="H347" s="1"/>
  <c r="H346" s="1"/>
  <c r="G348"/>
  <c r="F348"/>
  <c r="G347"/>
  <c r="F347"/>
  <c r="H345"/>
  <c r="G345"/>
  <c r="F345"/>
  <c r="H344"/>
  <c r="H343" s="1"/>
  <c r="H342" s="1"/>
  <c r="G344"/>
  <c r="F344"/>
  <c r="G343"/>
  <c r="G342" s="1"/>
  <c r="F343"/>
  <c r="F342"/>
  <c r="F336" s="1"/>
  <c r="F335" s="1"/>
  <c r="H340"/>
  <c r="G340"/>
  <c r="F340"/>
  <c r="H339"/>
  <c r="H338" s="1"/>
  <c r="H337" s="1"/>
  <c r="G339"/>
  <c r="F339"/>
  <c r="G338"/>
  <c r="G337" s="1"/>
  <c r="F338"/>
  <c r="F337"/>
  <c r="H333"/>
  <c r="G333"/>
  <c r="G332" s="1"/>
  <c r="G331" s="1"/>
  <c r="F333"/>
  <c r="H332"/>
  <c r="F332"/>
  <c r="F331" s="1"/>
  <c r="H331"/>
  <c r="F329"/>
  <c r="F327" s="1"/>
  <c r="F326" s="1"/>
  <c r="F325" s="1"/>
  <c r="F304" s="1"/>
  <c r="H328"/>
  <c r="G328"/>
  <c r="F328"/>
  <c r="H327"/>
  <c r="H326" s="1"/>
  <c r="H325" s="1"/>
  <c r="G327"/>
  <c r="G326"/>
  <c r="H324"/>
  <c r="G324"/>
  <c r="F324"/>
  <c r="H323"/>
  <c r="H320" s="1"/>
  <c r="G323"/>
  <c r="G320" s="1"/>
  <c r="F323"/>
  <c r="H321"/>
  <c r="G321"/>
  <c r="F321"/>
  <c r="F320"/>
  <c r="H318"/>
  <c r="G318"/>
  <c r="F318"/>
  <c r="H317"/>
  <c r="G317"/>
  <c r="F317"/>
  <c r="H315"/>
  <c r="G315"/>
  <c r="G314" s="1"/>
  <c r="G310" s="1"/>
  <c r="F315"/>
  <c r="H314"/>
  <c r="F314"/>
  <c r="H312"/>
  <c r="G312"/>
  <c r="F312"/>
  <c r="H311"/>
  <c r="H310" s="1"/>
  <c r="G311"/>
  <c r="F311"/>
  <c r="F310"/>
  <c r="H308"/>
  <c r="G308"/>
  <c r="F308"/>
  <c r="F307" s="1"/>
  <c r="F306" s="1"/>
  <c r="F305" s="1"/>
  <c r="H307"/>
  <c r="G307"/>
  <c r="H306"/>
  <c r="H305" s="1"/>
  <c r="G306"/>
  <c r="G305"/>
  <c r="H302"/>
  <c r="G302"/>
  <c r="F302"/>
  <c r="H300"/>
  <c r="H299" s="1"/>
  <c r="G300"/>
  <c r="F300"/>
  <c r="G299"/>
  <c r="F299"/>
  <c r="H298"/>
  <c r="G298"/>
  <c r="F298"/>
  <c r="F297" s="1"/>
  <c r="F292" s="1"/>
  <c r="F291" s="1"/>
  <c r="F290" s="1"/>
  <c r="F285" s="1"/>
  <c r="H297"/>
  <c r="G297"/>
  <c r="H296"/>
  <c r="H295" s="1"/>
  <c r="H292" s="1"/>
  <c r="H291" s="1"/>
  <c r="H290" s="1"/>
  <c r="H285" s="1"/>
  <c r="G296"/>
  <c r="F296"/>
  <c r="G295"/>
  <c r="F295"/>
  <c r="F294"/>
  <c r="H293"/>
  <c r="G293"/>
  <c r="G292" s="1"/>
  <c r="G291" s="1"/>
  <c r="G290" s="1"/>
  <c r="G285" s="1"/>
  <c r="F293"/>
  <c r="F289"/>
  <c r="H288"/>
  <c r="H287" s="1"/>
  <c r="H286" s="1"/>
  <c r="G288"/>
  <c r="F288"/>
  <c r="G287"/>
  <c r="G286" s="1"/>
  <c r="F287"/>
  <c r="F286"/>
  <c r="H284"/>
  <c r="H283" s="1"/>
  <c r="H280" s="1"/>
  <c r="H279" s="1"/>
  <c r="H278" s="1"/>
  <c r="H277" s="1"/>
  <c r="G284"/>
  <c r="F284"/>
  <c r="G283"/>
  <c r="F283"/>
  <c r="H281"/>
  <c r="G281"/>
  <c r="G280" s="1"/>
  <c r="G279" s="1"/>
  <c r="G278" s="1"/>
  <c r="G277" s="1"/>
  <c r="F281"/>
  <c r="F280" s="1"/>
  <c r="F279" s="1"/>
  <c r="F278" s="1"/>
  <c r="F277" s="1"/>
  <c r="H275"/>
  <c r="G275"/>
  <c r="F275"/>
  <c r="F274" s="1"/>
  <c r="F273" s="1"/>
  <c r="F272" s="1"/>
  <c r="H274"/>
  <c r="H273" s="1"/>
  <c r="H272" s="1"/>
  <c r="G274"/>
  <c r="G273"/>
  <c r="G272" s="1"/>
  <c r="H268"/>
  <c r="H267" s="1"/>
  <c r="G268"/>
  <c r="F268"/>
  <c r="G267"/>
  <c r="F267"/>
  <c r="H266"/>
  <c r="G266"/>
  <c r="F266"/>
  <c r="F265" s="1"/>
  <c r="F260" s="1"/>
  <c r="H265"/>
  <c r="H260" s="1"/>
  <c r="H252" s="1"/>
  <c r="H251" s="1"/>
  <c r="H245" s="1"/>
  <c r="G265"/>
  <c r="H263"/>
  <c r="G263"/>
  <c r="F263"/>
  <c r="H261"/>
  <c r="G261"/>
  <c r="G260" s="1"/>
  <c r="F261"/>
  <c r="H258"/>
  <c r="G258"/>
  <c r="F258"/>
  <c r="H257"/>
  <c r="G257"/>
  <c r="F257"/>
  <c r="H254"/>
  <c r="G254"/>
  <c r="G253" s="1"/>
  <c r="F254"/>
  <c r="H253"/>
  <c r="F253"/>
  <c r="F252" s="1"/>
  <c r="F251" s="1"/>
  <c r="F245" s="1"/>
  <c r="H248"/>
  <c r="G248"/>
  <c r="G247" s="1"/>
  <c r="G246" s="1"/>
  <c r="F248"/>
  <c r="H247"/>
  <c r="F247"/>
  <c r="F246" s="1"/>
  <c r="H246"/>
  <c r="F244"/>
  <c r="F243" s="1"/>
  <c r="F242" s="1"/>
  <c r="F241" s="1"/>
  <c r="F240" s="1"/>
  <c r="H243"/>
  <c r="H242" s="1"/>
  <c r="H241" s="1"/>
  <c r="H240" s="1"/>
  <c r="G243"/>
  <c r="G242"/>
  <c r="G241" s="1"/>
  <c r="G240" s="1"/>
  <c r="G239"/>
  <c r="G238" s="1"/>
  <c r="G235" s="1"/>
  <c r="F239"/>
  <c r="H238"/>
  <c r="F238"/>
  <c r="F235" s="1"/>
  <c r="H236"/>
  <c r="G236"/>
  <c r="F236"/>
  <c r="H235"/>
  <c r="H233"/>
  <c r="G233"/>
  <c r="G232" s="1"/>
  <c r="F233"/>
  <c r="H232"/>
  <c r="F232"/>
  <c r="G230"/>
  <c r="G229" s="1"/>
  <c r="G228" s="1"/>
  <c r="G220" s="1"/>
  <c r="G219" s="1"/>
  <c r="G218" s="1"/>
  <c r="H229"/>
  <c r="F229"/>
  <c r="F228" s="1"/>
  <c r="H228"/>
  <c r="H226"/>
  <c r="H225" s="1"/>
  <c r="G226"/>
  <c r="F226"/>
  <c r="G225"/>
  <c r="F225"/>
  <c r="H223"/>
  <c r="G223"/>
  <c r="F223"/>
  <c r="F222" s="1"/>
  <c r="F221" s="1"/>
  <c r="F220" s="1"/>
  <c r="F219" s="1"/>
  <c r="F218" s="1"/>
  <c r="F217" s="1"/>
  <c r="H222"/>
  <c r="G222"/>
  <c r="H221"/>
  <c r="G221"/>
  <c r="H215"/>
  <c r="G215"/>
  <c r="G214" s="1"/>
  <c r="G213" s="1"/>
  <c r="G212" s="1"/>
  <c r="G211" s="1"/>
  <c r="G210" s="1"/>
  <c r="F215"/>
  <c r="H214"/>
  <c r="F214"/>
  <c r="F213" s="1"/>
  <c r="F212" s="1"/>
  <c r="F211" s="1"/>
  <c r="F210" s="1"/>
  <c r="H213"/>
  <c r="H212"/>
  <c r="H211" s="1"/>
  <c r="H210" s="1"/>
  <c r="F209"/>
  <c r="H208"/>
  <c r="G208"/>
  <c r="F208"/>
  <c r="F207"/>
  <c r="H206"/>
  <c r="G206"/>
  <c r="F206"/>
  <c r="F205"/>
  <c r="H204"/>
  <c r="G204"/>
  <c r="F204"/>
  <c r="H202"/>
  <c r="G202"/>
  <c r="F202"/>
  <c r="H201"/>
  <c r="H200" s="1"/>
  <c r="G201"/>
  <c r="F201"/>
  <c r="G200"/>
  <c r="F200"/>
  <c r="H198"/>
  <c r="G198"/>
  <c r="F198"/>
  <c r="F197" s="1"/>
  <c r="F196" s="1"/>
  <c r="F195" s="1"/>
  <c r="H197"/>
  <c r="G197"/>
  <c r="H196"/>
  <c r="H195" s="1"/>
  <c r="G196"/>
  <c r="G195"/>
  <c r="H193"/>
  <c r="G193"/>
  <c r="F193"/>
  <c r="F191"/>
  <c r="H189"/>
  <c r="G189"/>
  <c r="F189"/>
  <c r="F188" s="1"/>
  <c r="F184" s="1"/>
  <c r="H188"/>
  <c r="G188"/>
  <c r="H186"/>
  <c r="H185" s="1"/>
  <c r="H184" s="1"/>
  <c r="G186"/>
  <c r="F186"/>
  <c r="G185"/>
  <c r="G184" s="1"/>
  <c r="F185"/>
  <c r="H182"/>
  <c r="G182"/>
  <c r="F182"/>
  <c r="H181"/>
  <c r="H180" s="1"/>
  <c r="H179" s="1"/>
  <c r="G181"/>
  <c r="F181"/>
  <c r="G180"/>
  <c r="G179" s="1"/>
  <c r="F180"/>
  <c r="F179"/>
  <c r="H177"/>
  <c r="G177"/>
  <c r="F177"/>
  <c r="H176"/>
  <c r="G176"/>
  <c r="G172" s="1"/>
  <c r="F176"/>
  <c r="H174"/>
  <c r="G174"/>
  <c r="G173" s="1"/>
  <c r="F174"/>
  <c r="H173"/>
  <c r="F173"/>
  <c r="F172" s="1"/>
  <c r="H172"/>
  <c r="H170"/>
  <c r="H167" s="1"/>
  <c r="H166" s="1"/>
  <c r="G170"/>
  <c r="F170"/>
  <c r="H168"/>
  <c r="G168"/>
  <c r="G167" s="1"/>
  <c r="G166" s="1"/>
  <c r="F168"/>
  <c r="F167"/>
  <c r="F166" s="1"/>
  <c r="H164"/>
  <c r="H163" s="1"/>
  <c r="H158" s="1"/>
  <c r="H157" s="1"/>
  <c r="G164"/>
  <c r="F164"/>
  <c r="G163"/>
  <c r="G158" s="1"/>
  <c r="G157" s="1"/>
  <c r="F163"/>
  <c r="H159"/>
  <c r="G159"/>
  <c r="F159"/>
  <c r="F158" s="1"/>
  <c r="F157" s="1"/>
  <c r="H155"/>
  <c r="G155"/>
  <c r="G154" s="1"/>
  <c r="G153" s="1"/>
  <c r="F155"/>
  <c r="H154"/>
  <c r="F154"/>
  <c r="F153" s="1"/>
  <c r="H153"/>
  <c r="H151"/>
  <c r="H150" s="1"/>
  <c r="G151"/>
  <c r="F151"/>
  <c r="G150"/>
  <c r="F150"/>
  <c r="H148"/>
  <c r="G148"/>
  <c r="F148"/>
  <c r="F145" s="1"/>
  <c r="F144" s="1"/>
  <c r="H146"/>
  <c r="G146"/>
  <c r="F146"/>
  <c r="H145"/>
  <c r="G145"/>
  <c r="G144"/>
  <c r="G143" s="1"/>
  <c r="H141"/>
  <c r="G141"/>
  <c r="F141"/>
  <c r="H140"/>
  <c r="G140"/>
  <c r="F140"/>
  <c r="H137"/>
  <c r="G137"/>
  <c r="G136" s="1"/>
  <c r="G135" s="1"/>
  <c r="F137"/>
  <c r="H136"/>
  <c r="F136"/>
  <c r="F135" s="1"/>
  <c r="H135"/>
  <c r="H133"/>
  <c r="H132" s="1"/>
  <c r="G133"/>
  <c r="F133"/>
  <c r="G132"/>
  <c r="F132"/>
  <c r="F131"/>
  <c r="H130"/>
  <c r="H129" s="1"/>
  <c r="H128" s="1"/>
  <c r="G130"/>
  <c r="G129" s="1"/>
  <c r="G128" s="1"/>
  <c r="F130"/>
  <c r="F129"/>
  <c r="F128" s="1"/>
  <c r="H126"/>
  <c r="H125" s="1"/>
  <c r="H124" s="1"/>
  <c r="H123" s="1"/>
  <c r="G126"/>
  <c r="F126"/>
  <c r="G125"/>
  <c r="G124" s="1"/>
  <c r="F125"/>
  <c r="F124"/>
  <c r="F123" s="1"/>
  <c r="F122"/>
  <c r="F121" s="1"/>
  <c r="F118" s="1"/>
  <c r="H121"/>
  <c r="H118" s="1"/>
  <c r="G121"/>
  <c r="H119"/>
  <c r="G119"/>
  <c r="F119"/>
  <c r="G118"/>
  <c r="H115"/>
  <c r="G115"/>
  <c r="F115"/>
  <c r="F114" s="1"/>
  <c r="H114"/>
  <c r="G114"/>
  <c r="F112"/>
  <c r="H111"/>
  <c r="H110" s="1"/>
  <c r="H109" s="1"/>
  <c r="G111"/>
  <c r="F111"/>
  <c r="G110"/>
  <c r="G109" s="1"/>
  <c r="F110"/>
  <c r="F109"/>
  <c r="H107"/>
  <c r="G107"/>
  <c r="F107"/>
  <c r="H106"/>
  <c r="H105" s="1"/>
  <c r="G106"/>
  <c r="F106"/>
  <c r="G105"/>
  <c r="F105"/>
  <c r="H103"/>
  <c r="G103"/>
  <c r="F103"/>
  <c r="F101"/>
  <c r="H100"/>
  <c r="G100"/>
  <c r="F100"/>
  <c r="F99" s="1"/>
  <c r="F98" s="1"/>
  <c r="F97" s="1"/>
  <c r="H99"/>
  <c r="H98" s="1"/>
  <c r="H97" s="1"/>
  <c r="H83" s="1"/>
  <c r="G99"/>
  <c r="G98"/>
  <c r="G97"/>
  <c r="H95"/>
  <c r="G95"/>
  <c r="F95"/>
  <c r="F94" s="1"/>
  <c r="F93" s="1"/>
  <c r="F92" s="1"/>
  <c r="H94"/>
  <c r="G94"/>
  <c r="H93"/>
  <c r="H92" s="1"/>
  <c r="G93"/>
  <c r="G92"/>
  <c r="H89"/>
  <c r="G89"/>
  <c r="F89"/>
  <c r="F88" s="1"/>
  <c r="F87" s="1"/>
  <c r="H88"/>
  <c r="G88"/>
  <c r="H87"/>
  <c r="G87"/>
  <c r="H85"/>
  <c r="G85"/>
  <c r="G84" s="1"/>
  <c r="F85"/>
  <c r="H84"/>
  <c r="F84"/>
  <c r="H81"/>
  <c r="H80" s="1"/>
  <c r="H79" s="1"/>
  <c r="G81"/>
  <c r="F81"/>
  <c r="G80"/>
  <c r="G79" s="1"/>
  <c r="F80"/>
  <c r="F79"/>
  <c r="F78"/>
  <c r="H77"/>
  <c r="G77"/>
  <c r="F77"/>
  <c r="F76" s="1"/>
  <c r="H76"/>
  <c r="G76"/>
  <c r="F75"/>
  <c r="F74" s="1"/>
  <c r="F73" s="1"/>
  <c r="F72" s="1"/>
  <c r="H74"/>
  <c r="H73" s="1"/>
  <c r="H72" s="1"/>
  <c r="G74"/>
  <c r="G73"/>
  <c r="G72"/>
  <c r="H69"/>
  <c r="G69"/>
  <c r="F69"/>
  <c r="F68" s="1"/>
  <c r="F67" s="1"/>
  <c r="H68"/>
  <c r="G68"/>
  <c r="H67"/>
  <c r="G67"/>
  <c r="H64"/>
  <c r="G64"/>
  <c r="G63" s="1"/>
  <c r="G62" s="1"/>
  <c r="G61" s="1"/>
  <c r="F64"/>
  <c r="H63"/>
  <c r="F63"/>
  <c r="F62" s="1"/>
  <c r="F61" s="1"/>
  <c r="H62"/>
  <c r="H61"/>
  <c r="H59"/>
  <c r="G59"/>
  <c r="G58" s="1"/>
  <c r="F59"/>
  <c r="H58"/>
  <c r="F58"/>
  <c r="H57"/>
  <c r="G57"/>
  <c r="F57"/>
  <c r="F56" s="1"/>
  <c r="H56"/>
  <c r="G56"/>
  <c r="H53"/>
  <c r="G53"/>
  <c r="F53"/>
  <c r="H51"/>
  <c r="G51"/>
  <c r="F51"/>
  <c r="H50"/>
  <c r="G50"/>
  <c r="F50"/>
  <c r="F49" s="1"/>
  <c r="F48" s="1"/>
  <c r="F47" s="1"/>
  <c r="F46" s="1"/>
  <c r="H49"/>
  <c r="H48" s="1"/>
  <c r="H47" s="1"/>
  <c r="H46" s="1"/>
  <c r="G49"/>
  <c r="G48"/>
  <c r="G47" s="1"/>
  <c r="G46" s="1"/>
  <c r="H43"/>
  <c r="H42" s="1"/>
  <c r="H41" s="1"/>
  <c r="H40" s="1"/>
  <c r="H36" s="1"/>
  <c r="G43"/>
  <c r="F43"/>
  <c r="G42"/>
  <c r="G41" s="1"/>
  <c r="G40" s="1"/>
  <c r="G36" s="1"/>
  <c r="F42"/>
  <c r="F41"/>
  <c r="F40" s="1"/>
  <c r="H38"/>
  <c r="H37" s="1"/>
  <c r="G38"/>
  <c r="F38"/>
  <c r="G37"/>
  <c r="F37"/>
  <c r="H34"/>
  <c r="G34"/>
  <c r="F34"/>
  <c r="H33"/>
  <c r="H32" s="1"/>
  <c r="H31" s="1"/>
  <c r="G33"/>
  <c r="F33"/>
  <c r="G32"/>
  <c r="G31" s="1"/>
  <c r="F32"/>
  <c r="F31"/>
  <c r="H26"/>
  <c r="H25" s="1"/>
  <c r="H24" s="1"/>
  <c r="G26"/>
  <c r="G25" s="1"/>
  <c r="G24" s="1"/>
  <c r="F26"/>
  <c r="F25" s="1"/>
  <c r="F24" s="1"/>
  <c r="H22"/>
  <c r="G22"/>
  <c r="F22"/>
  <c r="F21" s="1"/>
  <c r="F20" s="1"/>
  <c r="F19" s="1"/>
  <c r="H21"/>
  <c r="G21"/>
  <c r="H20"/>
  <c r="H19" s="1"/>
  <c r="G20"/>
  <c r="G19"/>
  <c r="H18"/>
  <c r="G18"/>
  <c r="F18"/>
  <c r="F17" s="1"/>
  <c r="F16" s="1"/>
  <c r="F15" s="1"/>
  <c r="F14" s="1"/>
  <c r="F13" s="1"/>
  <c r="H17"/>
  <c r="G17"/>
  <c r="H16"/>
  <c r="H15" s="1"/>
  <c r="H14" s="1"/>
  <c r="H13" s="1"/>
  <c r="G16"/>
  <c r="G15"/>
  <c r="G14" s="1"/>
  <c r="G13" s="1"/>
  <c r="H667" l="1"/>
  <c r="H666" s="1"/>
  <c r="H665"/>
  <c r="F36"/>
  <c r="G83"/>
  <c r="F83"/>
  <c r="G252"/>
  <c r="G251" s="1"/>
  <c r="G245" s="1"/>
  <c r="H458"/>
  <c r="H457" s="1"/>
  <c r="H456" s="1"/>
  <c r="H455" s="1"/>
  <c r="H473"/>
  <c r="H472" s="1"/>
  <c r="H471" s="1"/>
  <c r="H470" s="1"/>
  <c r="G567"/>
  <c r="G566" s="1"/>
  <c r="G555" s="1"/>
  <c r="G599"/>
  <c r="G598" s="1"/>
  <c r="G597" s="1"/>
  <c r="G123"/>
  <c r="H144"/>
  <c r="H143" s="1"/>
  <c r="H113" s="1"/>
  <c r="H12" s="1"/>
  <c r="F143"/>
  <c r="F113" s="1"/>
  <c r="H220"/>
  <c r="H219" s="1"/>
  <c r="H218" s="1"/>
  <c r="H217" s="1"/>
  <c r="F271"/>
  <c r="G325"/>
  <c r="G346"/>
  <c r="G336" s="1"/>
  <c r="G369"/>
  <c r="G360" s="1"/>
  <c r="H435"/>
  <c r="H434" s="1"/>
  <c r="H433" s="1"/>
  <c r="G522"/>
  <c r="G547"/>
  <c r="G546" s="1"/>
  <c r="G454" s="1"/>
  <c r="F620"/>
  <c r="F599" s="1"/>
  <c r="F598" s="1"/>
  <c r="F597" s="1"/>
  <c r="G721"/>
  <c r="H271"/>
  <c r="H304"/>
  <c r="H336"/>
  <c r="H522"/>
  <c r="G113"/>
  <c r="G12" s="1"/>
  <c r="G217"/>
  <c r="G304"/>
  <c r="G271" s="1"/>
  <c r="H387"/>
  <c r="H369" s="1"/>
  <c r="H360" s="1"/>
  <c r="F555"/>
  <c r="F454" s="1"/>
  <c r="H672"/>
  <c r="F721"/>
  <c r="G665"/>
  <c r="G664" s="1"/>
  <c r="F715"/>
  <c r="F714" s="1"/>
  <c r="F713" s="1"/>
  <c r="F664" s="1"/>
  <c r="G335" l="1"/>
  <c r="G759" s="1"/>
  <c r="F12"/>
  <c r="G757"/>
  <c r="H757"/>
  <c r="H335"/>
  <c r="H759" s="1"/>
  <c r="H664"/>
  <c r="H454"/>
  <c r="F759" l="1"/>
  <c r="F757"/>
</calcChain>
</file>

<file path=xl/comments1.xml><?xml version="1.0" encoding="utf-8"?>
<comments xmlns="http://schemas.openxmlformats.org/spreadsheetml/2006/main">
  <authors>
    <author>Администратор07</author>
  </authors>
  <commentList>
    <comment ref="F377" authorId="0">
      <text>
        <r>
          <rPr>
            <b/>
            <sz val="9"/>
            <color indexed="81"/>
            <rFont val="Tahoma"/>
            <family val="2"/>
            <charset val="204"/>
          </rPr>
          <t>Администратор07:</t>
        </r>
        <r>
          <rPr>
            <sz val="9"/>
            <color indexed="81"/>
            <rFont val="Tahoma"/>
            <family val="2"/>
            <charset val="204"/>
          </rPr>
          <t xml:space="preserve">
645,0 тр долг на 3 мес Газпромэнерго с февр по апрель
</t>
        </r>
      </text>
    </comment>
    <comment ref="F379" authorId="0">
      <text>
        <r>
          <rPr>
            <b/>
            <sz val="9"/>
            <color indexed="81"/>
            <rFont val="Tahoma"/>
            <family val="2"/>
            <charset val="204"/>
          </rPr>
          <t>Администратор07:</t>
        </r>
        <r>
          <rPr>
            <sz val="9"/>
            <color indexed="81"/>
            <rFont val="Tahoma"/>
            <family val="2"/>
            <charset val="204"/>
          </rPr>
          <t xml:space="preserve">
Пени + госпошлина Газпром энерго на 3 мес с февр по апрель
</t>
        </r>
      </text>
    </comment>
    <comment ref="F616" authorId="0">
      <text>
        <r>
          <rPr>
            <b/>
            <sz val="9"/>
            <color indexed="81"/>
            <rFont val="Tahoma"/>
            <family val="2"/>
            <charset val="204"/>
          </rPr>
          <t>Администратор07:</t>
        </r>
        <r>
          <rPr>
            <sz val="9"/>
            <color indexed="81"/>
            <rFont val="Tahoma"/>
            <family val="2"/>
            <charset val="204"/>
          </rPr>
          <t xml:space="preserve">
Проведение кап.ремонта кровли здания МБУКиТ "Нюксенский этнокультурный центр Пожарище" поручение Губернатора данное в ходе заседания Градостроительного совета (27.07.2023)</t>
        </r>
      </text>
    </comment>
    <comment ref="F630" authorId="0">
      <text>
        <r>
          <rPr>
            <b/>
            <sz val="9"/>
            <color indexed="81"/>
            <rFont val="Tahoma"/>
            <family val="2"/>
            <charset val="204"/>
          </rPr>
          <t>Администратор07:</t>
        </r>
        <r>
          <rPr>
            <sz val="9"/>
            <color indexed="81"/>
            <rFont val="Tahoma"/>
            <family val="2"/>
            <charset val="204"/>
          </rPr>
          <t xml:space="preserve">
Ремонт+обор-е Игмас ф-л+книж.фонды
</t>
        </r>
      </text>
    </comment>
    <comment ref="F642" authorId="0">
      <text>
        <r>
          <rPr>
            <b/>
            <sz val="9"/>
            <color indexed="81"/>
            <rFont val="Tahoma"/>
            <family val="2"/>
            <charset val="204"/>
          </rPr>
          <t>Администратор07:</t>
        </r>
        <r>
          <rPr>
            <sz val="9"/>
            <color indexed="81"/>
            <rFont val="Tahoma"/>
            <family val="2"/>
            <charset val="204"/>
          </rPr>
          <t xml:space="preserve">
Востровский клуб</t>
        </r>
      </text>
    </comment>
  </commentList>
</comments>
</file>

<file path=xl/sharedStrings.xml><?xml version="1.0" encoding="utf-8"?>
<sst xmlns="http://schemas.openxmlformats.org/spreadsheetml/2006/main" count="3190" uniqueCount="722">
  <si>
    <t>Приложение 3  
к решению Представительного Собрания Нюксенского муниципального округа Вологодской области  от ХХ.ХХ.2023 года № ХХ  "О бюджете Нюксенского муниципального округа Вологодской области на 2024 год и плановый период 2025 и 2026 годов"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</si>
  <si>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бюджета на 2024 год и плановый период 2025 и 2026 годов</t>
  </si>
  <si>
    <t>(тыс.рублей)</t>
  </si>
  <si>
    <t>Наименование</t>
  </si>
  <si>
    <t>РЗ</t>
  </si>
  <si>
    <t>ПР</t>
  </si>
  <si>
    <t>КЦСР</t>
  </si>
  <si>
    <t>КВР</t>
  </si>
  <si>
    <t>2024 год</t>
  </si>
  <si>
    <t>2025 год</t>
  </si>
  <si>
    <t>2026 год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</si>
  <si>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</si>
  <si>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</si>
  <si>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</si>
  <si>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</si>
  <si>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Муниципальная программа "Совершенствование муниципального управления в Нюксенском муниципальном округе"</t>
  </si>
  <si>
    <t>Подпрограмма "Обеспечение реализации муниципальной программы "Совершенствование муниципального управления в Нюксенском муниципальном округе"</t>
  </si>
  <si>
    <t>05 0 00 00000</t>
  </si>
  <si>
    <t>Основное мероприятие "Обеспечение деятельности администрации округа"</t>
  </si>
  <si>
    <t>05 4 00 00000</t>
  </si>
  <si>
    <t>Глава муниципального округа</t>
  </si>
  <si>
    <t>05 4 01 00000</t>
  </si>
  <si>
    <t>Расходы на выплаты персоналу государственных (муниципальных) органов</t>
  </si>
  <si>
    <t>05 4 01 00191</t>
  </si>
  <si>
    <t>120</t>
  </si>
  <si>
    <t>Муниципальная программа "Совершенствование муниципального управления в Нюксенском муниципальном районе на 2020-2024 годы"</t>
  </si>
  <si>
    <t>Подпрограмма "Обеспечение реализации муниципальной программы "Совершенствование муниципального управления в Нюксенском муниципальном районе на 2020-2024 годы"</t>
  </si>
  <si>
    <t>Основное мероприятие "Поощрение муниципальной управленческой команды Нюксенского муниципального района"</t>
  </si>
  <si>
    <t>05 4 02 00000</t>
  </si>
  <si>
    <t>Иные межбюджетные трансферты на поощрение за содействие достижению значений (уровней) показателей для оценки эффективности деятельности высших должностных лиц (руководителей высших исполнительных органов государственной власти) субъектов Российской Федерации и деятельности органов исполнительной власти субъектов Российской Федерации за счет средств дотации (гранта) в форме межбюджетного трансферта из федерального бюджета за достижение показателей деятельности органов исполнительной власти субъектов Российской Федерации</t>
  </si>
  <si>
    <t>05 4 02 55490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</si>
  <si>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</si>
  <si>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</si>
  <si>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Обеспечение деятельности представительных  органов муниципальной власти</t>
  </si>
  <si>
    <t>92 0 00 00000</t>
  </si>
  <si>
    <t>Расходы на обеспечение функций муниципальных органов</t>
  </si>
  <si>
    <t>92 0 00 00190</t>
  </si>
  <si>
    <t>Иные закупки товаров, работ и услуг для обеспечения государственных (муниципальных) нужд</t>
  </si>
  <si>
    <t>240</t>
  </si>
  <si>
    <t xml:space="preserve">Социальные выплаты гражданам, кроме публичных нормативных социальных выплат
</t>
  </si>
  <si>
    <t>320</t>
  </si>
  <si>
    <t>Уплата налогов, сборов и иных платежей</t>
  </si>
  <si>
    <t>850</t>
  </si>
  <si>
    <t>Функционирование Правительства Российской Федерации, высших исполнительных органов государственной власти субъектов РФ, местных администраций</t>
  </si>
  <si>
    <t>04</t>
  </si>
  <si>
    <t>Резервные фонды</t>
  </si>
  <si>
    <t>70 0 00 00000</t>
  </si>
  <si>
    <t>Резервные фонды местных администраций</t>
  </si>
  <si>
    <t>70 5 00 00000</t>
  </si>
  <si>
    <t>Иные закупки товаров, работ и услуг для государственных (муниципальных) нужд</t>
  </si>
  <si>
    <t>Муниципальная программа "Социальная поддержка граждан и социально ориентированных некоммерческих организаций Нюксенского муниципального округа на 2021-2030 годы"</t>
  </si>
  <si>
    <t>01 0 00 00000</t>
  </si>
  <si>
    <t>Подпрограмма "Социальная поддержка граждан Нюксенского муниципального округа на 2021-2030 годы"</t>
  </si>
  <si>
    <t>01 1 00 00000</t>
  </si>
  <si>
    <t>Основное мероприятие "Обеспечение организации и осуществления органами местного самоуправления деятельности по опеке и попечительству"</t>
  </si>
  <si>
    <t>01 1 01 00000</t>
  </si>
  <si>
    <t>Выполнение отдельных государственных полномочий по закону области от 17 декабря 2007 года №1720-ОЗ "О наделении органов местного самоуправления отдельными государственными полномочиями по организации и осуществлению деятельности по опеке и попечительству и по социальной поддержке детей-сирот и детей, оставшихся без попечения родителей (за исключением детей обучающихся в федеральных образовательных учреждениях), лиц из числа детей указанных категорий"</t>
  </si>
  <si>
    <t>01 1 01 72310</t>
  </si>
  <si>
    <t>Основное мероприятие "Обеспечение деятельности администрации муниципального округа"</t>
  </si>
  <si>
    <t>05 4 01 00190</t>
  </si>
  <si>
    <t>Реализация расходных обязательств в части обеспечения выплаты заработной платы работникам муниципальных учреждений</t>
  </si>
  <si>
    <t>05 4 01 70030</t>
  </si>
  <si>
    <t>Субвенция на осуществление отдельных государственных полномочий в соответствии с законом области от 28 апреля 2006 года № 1443-ОЗ "О наделении органов местного самоуправления муниципальных районов, муниципальных округов и городских округов Вологодской области отдельными полномочиями в сфере архивного дела"</t>
  </si>
  <si>
    <t>05 4 01 72190</t>
  </si>
  <si>
    <t>Муниципальная программа "Обеспечение профилактики правонарушений, безопасности населения и территории Нюксенского муниципального округа"</t>
  </si>
  <si>
    <t>09 0 00 00000</t>
  </si>
  <si>
    <t>Подпрограмма "Профилактика преступлений и иных правонарушений"</t>
  </si>
  <si>
    <t>09 1 00 00000</t>
  </si>
  <si>
    <t>Основное мероприятие "Осуществление отдельных государственных полномочий"</t>
  </si>
  <si>
    <t>09 1 05 00000</t>
  </si>
  <si>
    <t>Осуществление отдельных государственных полномочий в сфере административных отношений в соответствии с законом области от 28 ноября 2005 года №1369-ОЗ "О наделении органов местного самоуправления отдельными государственными полномочиями в сфере административных отношений"</t>
  </si>
  <si>
    <t>09 1 05 72310</t>
  </si>
  <si>
    <t>Муниципальная программа "Охрана окружающей среды и обеспечение экологической безопасности Нюксенского муниципального округа"</t>
  </si>
  <si>
    <t>10 0 00 00000</t>
  </si>
  <si>
    <t>Основное мероприятие "Предотвращение загрязнения окружающей среды отходами производства и потребления"</t>
  </si>
  <si>
    <t>10 2 00 00000</t>
  </si>
  <si>
    <t>Осуществление отдельных государственных полномочий в соответствии с законом области от 28 июня 2006 года № 1465-ОЗ "О наделении органов местного самоуправления отдельными государственными полномочиями в сфере охраны окружающей среды"</t>
  </si>
  <si>
    <t>10 2 00 72310</t>
  </si>
  <si>
    <t>Муниципальная программа "Информатизация Нюксенского муниципального округа"</t>
  </si>
  <si>
    <t>18 0 00 00000</t>
  </si>
  <si>
    <t>Основное мероприятие " Повышение открытости и доступности информации о деятельности органов местного самоуправления, предоставляемых государственных и муниципальных услугах"</t>
  </si>
  <si>
    <t>18 1 00 00000</t>
  </si>
  <si>
    <t>Реализация мероприятий по развитию информационного общества</t>
  </si>
  <si>
    <t>18 1 00 20320</t>
  </si>
  <si>
    <t>Основное мероприятие "Развитие сетевой и серверной инфраструктуры органов исполнительной муниципальной власти округа"</t>
  </si>
  <si>
    <t>18 2 00 00000</t>
  </si>
  <si>
    <t>Реализация мероприятий, направленных на развитие сетевой и серверной инфраструктуры органов исполнительной муниципальной власти округа</t>
  </si>
  <si>
    <t>18 2 00 20330</t>
  </si>
  <si>
    <t>Судебная система</t>
  </si>
  <si>
    <t>05</t>
  </si>
  <si>
    <t>Осуществление отдельных государственных полномочий</t>
  </si>
  <si>
    <t>78 0 00 00000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</si>
  <si>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</si>
  <si>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78 0 00 51200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</si>
  <si>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</si>
  <si>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</si>
  <si>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Осуществление отдельных государственных полномочий в соответствии с законом области от 5 октября 2006 года № 1501-ОЗ "О наделении органов местного самоуправления муниципальных районов и городских округов Вологодской области отдельными государственными полномочиями в сфере регулирования цен (тарифов)"</t>
  </si>
  <si>
    <t>78 0 00 72310</t>
  </si>
  <si>
    <t>Обеспечение деятельности органов муниципальной власти</t>
  </si>
  <si>
    <t>91 0 00 00000</t>
  </si>
  <si>
    <t>Обеспечение деятельности контрольно-счетной комиссии</t>
  </si>
  <si>
    <t>91 0 00 00190</t>
  </si>
  <si>
    <t>Муниципальная программа "Управление муниципальными финансами Нюксенского муниципального округа"</t>
  </si>
  <si>
    <t>15 0 00 00000</t>
  </si>
  <si>
    <t>Основное мероприятие "Обеспечение деятельности финансового управления администрации округа, как ответственного исполнителя муниципальной программы, организация и осуществление контроля за соблюдением законодательства Российской Федерации при использовании средств бюджета муниципального округа"</t>
  </si>
  <si>
    <t>15 4 00 00000</t>
  </si>
  <si>
    <t>15 4 00 00190</t>
  </si>
  <si>
    <t>Мероприятия, направленные на повышение квалификационного уровня муниципальных служащих</t>
  </si>
  <si>
    <t>15 4 00 20800</t>
  </si>
  <si>
    <t xml:space="preserve">Обеспечение проведения выборов и референдумов
</t>
  </si>
  <si>
    <t>07</t>
  </si>
  <si>
    <t>Проведение выборов и референдумов</t>
  </si>
  <si>
    <t>94 0 00 00000</t>
  </si>
  <si>
    <t>Проведение выборов депутатов представительного органа</t>
  </si>
  <si>
    <t>94 0 00 21080</t>
  </si>
  <si>
    <t>Специальные расходы</t>
  </si>
  <si>
    <t>880</t>
  </si>
  <si>
    <t>11</t>
  </si>
  <si>
    <t>Резервные средства</t>
  </si>
  <si>
    <t>870</t>
  </si>
  <si>
    <t>Другие общегосударственные вопросы</t>
  </si>
  <si>
    <t>13</t>
  </si>
  <si>
    <t xml:space="preserve">Иные выплаты населению </t>
  </si>
  <si>
    <t>360</t>
  </si>
  <si>
    <t>Реализация муниципальных функций, связанных с решением вопросов местного значения</t>
  </si>
  <si>
    <t>97 0 00 00000</t>
  </si>
  <si>
    <t>Мероприятия, связанные с градостроительной деятельностью округа</t>
  </si>
  <si>
    <t>97 0 00 21140</t>
  </si>
  <si>
    <t>Мероприятия, связанные с выполнением работ по мобилизационной подготовке</t>
  </si>
  <si>
    <t>97 0 00 21170</t>
  </si>
  <si>
    <t xml:space="preserve">Основное мероприятие "Обеспечение мер социальной поддержки отдельным категориям граждан и предоставление иных социальных выплат"
</t>
  </si>
  <si>
    <t>01 1 02 00000</t>
  </si>
  <si>
    <t>Ежемесячное денежное вознаграждение лицам, удостоенным звания "Почетный гражданин Нюксенского муниципального округа"</t>
  </si>
  <si>
    <t>01 1 02 80020</t>
  </si>
  <si>
    <t xml:space="preserve">Публичные нормативные выплаты гражданам несоциального характера
</t>
  </si>
  <si>
    <t>330</t>
  </si>
  <si>
    <t>Подпрограмма "Поддержка социально-ориентированных некоммерческих организаций Нюксенского муниципального округа на 2021-2030 годы"</t>
  </si>
  <si>
    <t>01 2 00 00000</t>
  </si>
  <si>
    <t>Основное мероприятие "Предоставление финансовой и имущественной поддержки социально ориентированным некоммерческим организациям"</t>
  </si>
  <si>
    <t>01 2 01 00000</t>
  </si>
  <si>
    <t xml:space="preserve">Предоставление субсидий социально ориентированным некоммерческим организациям </t>
  </si>
  <si>
    <t>01 2 01 25150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</si>
  <si>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</si>
  <si>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</si>
  <si>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Основное мероприятие "Организация свободного времени и культурного досуга и меры по укреплению здоровья граждан пожилого возраста"</t>
  </si>
  <si>
    <t>01 2 02 00000</t>
  </si>
  <si>
    <t>01 2 02 25150</t>
  </si>
  <si>
    <t xml:space="preserve"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
</t>
  </si>
  <si>
    <t>Муниципальная программа  "Здоровье нюксян"</t>
  </si>
  <si>
    <t>02 0 00 00000</t>
  </si>
  <si>
    <t>Основное мероприятие "Формирование здорового образа жизни населения"</t>
  </si>
  <si>
    <t>02 1 00 00000</t>
  </si>
  <si>
    <t>Реализация мероприятий, направленных на формирование здорового образа жизни населения</t>
  </si>
  <si>
    <t>02 1 00 29070</t>
  </si>
  <si>
    <t xml:space="preserve">Субсидии бюджетным учреждениям </t>
  </si>
  <si>
    <t>610</t>
  </si>
  <si>
    <t>Основное мероприятие "Реализация мероприятий, направленных на развитие кадрового потенциала в области здравоохранения"</t>
  </si>
  <si>
    <t>02 2 00 00000</t>
  </si>
  <si>
    <t>Реализация мероприятий, направленных на развитие кадрового потенциала</t>
  </si>
  <si>
    <t>02 2 00 29030</t>
  </si>
  <si>
    <t>Подпрограмма "Развитие кадрового потенциала в Нюксенском муниципальном округе"</t>
  </si>
  <si>
    <t>05 1 00 00000</t>
  </si>
  <si>
    <t>Основное мероприятие "Привлечение квалифицированных специалистов на территорию округа"</t>
  </si>
  <si>
    <t>05 1 01 00000</t>
  </si>
  <si>
    <t>Ежемесячная денежная выплата студентам, заключившим договора с администрацией округа</t>
  </si>
  <si>
    <t>05 1 01 80800</t>
  </si>
  <si>
    <t>Мероприятия, направленные на стимулирование кадров</t>
  </si>
  <si>
    <t>05 1 01 20810</t>
  </si>
  <si>
    <t>Основное мероприятие "Совершенствование и повышение профессионального уровня кадров"</t>
  </si>
  <si>
    <t>05 1 02 00000</t>
  </si>
  <si>
    <t xml:space="preserve">Мероприятия, направленные на повышение квалификационного уровня </t>
  </si>
  <si>
    <t>05 1 02 20800</t>
  </si>
  <si>
    <t>Подпрограмма "Обеспечение защиты прав и законных интересов граждан, общества от угроз, связанных с коррупцией"</t>
  </si>
  <si>
    <t>05 2 00 00000</t>
  </si>
  <si>
    <t>Основное мероприятие "Организация правового просвещения и правового информирования граждан по вопросам противодействия коррупции"</t>
  </si>
  <si>
    <t>05 2 01 00000</t>
  </si>
  <si>
    <t>Мероприятия по противодействию коррупции</t>
  </si>
  <si>
    <t>05 2 01 20240</t>
  </si>
  <si>
    <t>Подпрограмма "Совершенствование процессов предоставления государственных и муниципальных услуг, в том числе на базе многофункционального центра предоставления государственных и муниципальных услуг"</t>
  </si>
  <si>
    <t>05 3 00 00000</t>
  </si>
  <si>
    <t>Основное мероприятие "Организация деятельности по оказанию государственных и муниципальных услуг (выполнению работ) муниципальным учреждением  "МФЦ Нюксенского муниципального округа"</t>
  </si>
  <si>
    <t>05 3 01 00000</t>
  </si>
  <si>
    <t>Расходы на обеспечение деятельности (оказание услуг) муниципальных учреждений</t>
  </si>
  <si>
    <t>05 3 01 00590</t>
  </si>
  <si>
    <t>Расходы на выплаты персоналу казенных учреждений</t>
  </si>
  <si>
    <t>110</t>
  </si>
  <si>
    <t>Осуществление отдельных государственных полномочий в соответствии с законом области от 10 декабря 2014 года №3526-ОЗ "О наделении органов местного самоуправления отдельными государственными полномочиями в сфере организации деятельности многофункциональных центров предоставления государственных и муниципальных услуг"</t>
  </si>
  <si>
    <t>05 3 01 72250</t>
  </si>
  <si>
    <t>Членский взнос в ассоциацию муниципальных образований</t>
  </si>
  <si>
    <t>05 4 01 21010</t>
  </si>
  <si>
    <t>Членский взнос в ассоциацию "Здоровые города, районы и поселки"</t>
  </si>
  <si>
    <t>05 4 01 21020</t>
  </si>
  <si>
    <t>Муниципальная программа "Развитие культуры и туризма Нюксенского муниципального округа"</t>
  </si>
  <si>
    <t>06 0 00 00000</t>
  </si>
  <si>
    <t>Основное мероприятие "Организация и проведение культурных проектов, мероприятий, посвященных праздничным и памятным датам"</t>
  </si>
  <si>
    <t>06 5 00 00000</t>
  </si>
  <si>
    <t>Мероприятия в сфере культуры</t>
  </si>
  <si>
    <t>06 5 00 28010</t>
  </si>
  <si>
    <t>Основное мероприятие "Развитие туристического потенциала в Нюксенском муниципальном округе"</t>
  </si>
  <si>
    <t>06 6 00 00000</t>
  </si>
  <si>
    <t>Учреждения культуры</t>
  </si>
  <si>
    <t>06 6 00 01590</t>
  </si>
  <si>
    <t>Субсидии бюджетным учреждениям</t>
  </si>
  <si>
    <t>Подпрограмма "Противодействие незаконному обороту наркотиков, снижение масштабов злоупотребления алкогольной продукцией, профилактика алкоголизма и наркомании"</t>
  </si>
  <si>
    <t>09 3 00 00000</t>
  </si>
  <si>
    <t>Основное мероприятие "Профилактика незаконного оборота наркотиков, зависимости от психоактивных веществ, снижение масштабов злоупотребления алкогольной продукцией"</t>
  </si>
  <si>
    <t>09 3 01 00000</t>
  </si>
  <si>
    <t>Мероприятия по информационному обеспечению (публикация статей по проблемам подростковой преступности, наркомании и токсикомании среди молодежи, пропаганде здорового образа жизни подростков и молодежи, их ориентации на духовные ценности)</t>
  </si>
  <si>
    <t>09 3 01 23090</t>
  </si>
  <si>
    <t>Основное мероприятие "Обеспечение деятельности финансового управления администрации округа как ответственного исполнителя муниципальной программы, организация и осуществление контроля за соблюдением законодательства Российской Федерации при использовании средств бюджета муниципального округа"</t>
  </si>
  <si>
    <t>Членский взнос в НП "Сообщество финансистов России"</t>
  </si>
  <si>
    <t>15 4 00 20820</t>
  </si>
  <si>
    <t>Основное мероприятие "Организация работы казенного учреждения "Межведомственная централизованная бухгалтерия Нюксенского муниципального округа"</t>
  </si>
  <si>
    <t>15 5 00 00000</t>
  </si>
  <si>
    <t>15 5 00 00590</t>
  </si>
  <si>
    <t>15 5 00 70030</t>
  </si>
  <si>
    <t>Муниципальная программа "Совершенствование системы управления и распоряжения земельно-имущественным комплексом муниципального округа"</t>
  </si>
  <si>
    <t>16 0 00 00000</t>
  </si>
  <si>
    <t>Основное мероприятие "Содержание имущества, находящегося в муниципальной собственности"</t>
  </si>
  <si>
    <t>16 2 00 00000</t>
  </si>
  <si>
    <t>Мероприятия в сфере управления и распоряжения имуществом, земельными ресурсами</t>
  </si>
  <si>
    <t>16 2 00 20500</t>
  </si>
  <si>
    <t>Основное мероприятие "Комплекс работ в области управления земельными ресурсами"</t>
  </si>
  <si>
    <t>16 3 00 00000</t>
  </si>
  <si>
    <t>16 3 00 20500</t>
  </si>
  <si>
    <t xml:space="preserve">Исполнение судебных актов
</t>
  </si>
  <si>
    <t>830</t>
  </si>
  <si>
    <t>Мероприятия, направленные на подготовку проектов межевания земельных участков</t>
  </si>
  <si>
    <t>16 3 00 L5991</t>
  </si>
  <si>
    <t>Мероприятия, направленные на проведение кадастровых работ</t>
  </si>
  <si>
    <t>16 3 00 L5992</t>
  </si>
  <si>
    <t>Мероприятия, направленные на проведение комплексных кадастровых работ, за исключением расходов, предусмотренных на софинансирование субсидий из федерального бюджета</t>
  </si>
  <si>
    <t>16 3 00 S5110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</si>
  <si>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</si>
  <si>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</si>
  <si>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</si>
  <si>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05 4 01 51180</t>
  </si>
  <si>
    <t>НАЦИОНАЛЬНАЯ БЕЗОПАСНОСТЬ И ПРАВООХРАНИТЕЛЬНАЯ ДЕЯТЕЛЬНОСТЬ</t>
  </si>
  <si>
    <t>Гражданская оборона</t>
  </si>
  <si>
    <t>09</t>
  </si>
  <si>
    <t>Подпрограмма "Развитие системы комплексной безопасности жизнедеятельности населения округа"</t>
  </si>
  <si>
    <t>09 2 00 00000</t>
  </si>
  <si>
    <t>Основное мероприятие "Обеспечение деятельности ЕДДС"</t>
  </si>
  <si>
    <t>09 2 01 00000</t>
  </si>
  <si>
    <t>Мероприятия по снижению  рисков и смягчению последствий чрезвычайных ситуаций природного и техногенного характера</t>
  </si>
  <si>
    <t>09 2 01 23040</t>
  </si>
  <si>
    <t>Основное мероприятие "Обеспечение прогнозных данных для принятия предупредительных мер"</t>
  </si>
  <si>
    <t>09 2 02 00000</t>
  </si>
  <si>
    <t>09 2 02 23040</t>
  </si>
  <si>
    <t>Основное мероприятие "Обеспечение безопасности граждан труднодоступных населенных пунктов"</t>
  </si>
  <si>
    <t>09 2 03 00000</t>
  </si>
  <si>
    <t>09 2 03 23040</t>
  </si>
  <si>
    <t>Основное мероприятие "Ликвидация чрезвычайных ситуаций природного и техногенного характера"</t>
  </si>
  <si>
    <t>09 2 04 00000</t>
  </si>
  <si>
    <t>Создание и обслуживание системы оповещения населения, создание запасов и резервов материальных ресурсов, предназначенных в целях гражданской обороны и для предупреждения и ликвидации чрезвычайных ситуаций природного и техногенного характера</t>
  </si>
  <si>
    <t>09 2 04 23050</t>
  </si>
  <si>
    <t>Основное мероприятие "Обеспечение безопасности населения при чрезвычайных ситуациях природного и техногенного характера"</t>
  </si>
  <si>
    <t>09 2 05 00000</t>
  </si>
  <si>
    <t xml:space="preserve">Мероприятия по безопасности населения на водных объектах </t>
  </si>
  <si>
    <t>09 2 05 23100</t>
  </si>
  <si>
    <t>Мероприятия по поддержанию в готовности и совершенствованию системы оповещения населения</t>
  </si>
  <si>
    <t>09 2 05 23120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</si>
  <si>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</si>
  <si>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</si>
  <si>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Мероприятия по обеспечению пожарной безопасности населения</t>
  </si>
  <si>
    <t>09 2 05 23110</t>
  </si>
  <si>
    <t>Другие вопросы в области национальной безопасности и правоохранительной деятельности</t>
  </si>
  <si>
    <t>14</t>
  </si>
  <si>
    <t>Муниципальная программа "Формирование законопослушного поведения участников дорожного движения на территории Нюксенского муниципального округа на 2019-2030 годы"</t>
  </si>
  <si>
    <t>03 0 00 00000</t>
  </si>
  <si>
    <t>Основное мероприятие "Профилактика и предупреждение дорожно-транспортных происшествий с участием детей"</t>
  </si>
  <si>
    <t>03 1 00 00000</t>
  </si>
  <si>
    <t>Мероприятия по профилактике дорожно-транспортных происшествий</t>
  </si>
  <si>
    <t>03 1 00 23070</t>
  </si>
  <si>
    <t>Основное мероприятие "Воссоздание института социальной профилактики и вовлечение общественности в предупреждение правонарушений"</t>
  </si>
  <si>
    <t>09 1 01 00000</t>
  </si>
  <si>
    <t>Мероприятия по профилактики преступлений и иных правонарушений</t>
  </si>
  <si>
    <t>09 1 01 23060</t>
  </si>
  <si>
    <t>Иные выплаты населению</t>
  </si>
  <si>
    <t>Основное мероприятие "Профилактика правонарушений несовершеннолетних и молодежи"</t>
  </si>
  <si>
    <t>09 1 02 00000</t>
  </si>
  <si>
    <t>09 1 02 23060</t>
  </si>
  <si>
    <t>Основное мероприятие "Предупреждение терроризма и экстремизма"</t>
  </si>
  <si>
    <t>09 1 03 00000</t>
  </si>
  <si>
    <t>09 1 03 23060</t>
  </si>
  <si>
    <t>Мероприятия по обеспечению антитеррористической защищенности объектов</t>
  </si>
  <si>
    <t>09 1 03 23130</t>
  </si>
  <si>
    <t>Внедрение и (или) эксплуатация аппаратно-программного комплекса "Безопасный город"</t>
  </si>
  <si>
    <t>09 1 03 S1060</t>
  </si>
  <si>
    <t>Основное мероприятие "Обеспечение социальной адаптации и реабилитации лиц, отбывших наказание в местах лишения свободы"</t>
  </si>
  <si>
    <t>09 1 04 00000</t>
  </si>
  <si>
    <t>09 1 04 23060</t>
  </si>
  <si>
    <t>НАЦИОНАЛЬНАЯ ЭКОНОМИКА</t>
  </si>
  <si>
    <t>Общеэкономические вопросы</t>
  </si>
  <si>
    <t>Муниципальная программа "Содействие занятости населения Нюксенского муниципального округа"</t>
  </si>
  <si>
    <t>13 0 00 00000</t>
  </si>
  <si>
    <t>Основное мероприятие "Создание рабочих мест для организации временного трудоустройства несовершеннолетних граждан"</t>
  </si>
  <si>
    <t>13 1 00 00000</t>
  </si>
  <si>
    <t xml:space="preserve">Мероприятия по содействию занятости населения </t>
  </si>
  <si>
    <t>13 1 00 24010</t>
  </si>
  <si>
    <t>Транспорт</t>
  </si>
  <si>
    <t>08</t>
  </si>
  <si>
    <t>Муниципальная программа "Дорожная сеть и транспортное обслуживание"</t>
  </si>
  <si>
    <t>11 0 00 00000</t>
  </si>
  <si>
    <t>Подпрограмма "Транспортное обслуживание населения"</t>
  </si>
  <si>
    <t>11 2 00 00000</t>
  </si>
  <si>
    <t>Основное мероприятие "Муниципальная поддержка  транспортных организаций"</t>
  </si>
  <si>
    <t>11 2 01 00000</t>
  </si>
  <si>
    <t>Мероприятия в области автомобильного транспорта</t>
  </si>
  <si>
    <t>11 2 01 60620</t>
  </si>
  <si>
    <t xml:space="preserve"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
</t>
  </si>
  <si>
    <t>810</t>
  </si>
  <si>
    <t>Организация транспортного обслуживания населения на муниципальных маршрутах регулярных перевозок по регулируемым тарифам</t>
  </si>
  <si>
    <t>11 2 01 S1370</t>
  </si>
  <si>
    <t>Дорожное хозяйство (дорожные фонды)</t>
  </si>
  <si>
    <t>Основное мероприятие  "Безопасность дорожного движения"</t>
  </si>
  <si>
    <t>03 2 00 00000</t>
  </si>
  <si>
    <t>03 2 00 23070</t>
  </si>
  <si>
    <t>Подпрограмма "Автомобильные дороги"</t>
  </si>
  <si>
    <t>11 1 00 00000</t>
  </si>
  <si>
    <t>Основное мероприятие "Ремонт и капитальный ремонт автомобильных дорог и искусственных сооружений"</t>
  </si>
  <si>
    <t>11 1 01 00000</t>
  </si>
  <si>
    <t>Выполнение работ по ремонту и капитальному ремонту автомобильных дорог и искусственных сооружений</t>
  </si>
  <si>
    <t>11 1 01 41300</t>
  </si>
  <si>
    <t xml:space="preserve">Осуществление дорожной деятельности в отношении автомобильных дорог общего пользования местного значения </t>
  </si>
  <si>
    <t>11 1 01 S1350</t>
  </si>
  <si>
    <t>Осуществление дорожной деятельности в отношении автомобильных дорог общего пользования местного значения для обеспечения подъездов к земельным участкам, предоставляемым отдельным категориям граждан</t>
  </si>
  <si>
    <t>11 1 01 S1360</t>
  </si>
  <si>
    <t>Основное мероприятие "Содержание автомобильных дорог и искусственных сооружений"</t>
  </si>
  <si>
    <t>11 1 02 00000</t>
  </si>
  <si>
    <t xml:space="preserve">Выполнение работ по содержанию автомобильных дорог и  искусственных сооружений
</t>
  </si>
  <si>
    <t>11 1 02 41200</t>
  </si>
  <si>
    <t>Осуществление дорожной деятельности в отношении автомобильных дорог общего пользования местного значения за счет бюджетных ассигнований Дорожного фонда Вологодской области в рамках подпрограммы "Автомобильные дороги" государственной программы "Дорожная сеть и транспортное обслуживание в 2021-2025 годах"</t>
  </si>
  <si>
    <t>11 1 02 S1350</t>
  </si>
  <si>
    <t>Другие вопросы в области национальной экономики</t>
  </si>
  <si>
    <t>12</t>
  </si>
  <si>
    <t>Муниципальная программа "Развитие малого и среднего предпринимательства в Нюксенском муниципальном округе"</t>
  </si>
  <si>
    <t>14 0 00 00000</t>
  </si>
  <si>
    <t>Основное мероприятие "Создание условий для малого и среднего предпринимательства, направленных на формирование положительного образа предпринимателя, популяризации роли предпринимательства"</t>
  </si>
  <si>
    <t>14 1 00 00000</t>
  </si>
  <si>
    <t>Мероприятия по популяризации роли предпринимательства</t>
  </si>
  <si>
    <t>14 1 00 20450</t>
  </si>
  <si>
    <t>Основное мероприятие "Повышение инвестиционной привлекательности Нюксенского муниципального округа"</t>
  </si>
  <si>
    <t>14 2 00 00000</t>
  </si>
  <si>
    <t>Мероприятия, направленные на повышение инвестиционной привлекательности муниципального округа</t>
  </si>
  <si>
    <t>14 2 00 20460</t>
  </si>
  <si>
    <t>Основное мероприятие "Развитие малого  предпринимательства (грантовая поддержка)"</t>
  </si>
  <si>
    <t>14 3 00 00000</t>
  </si>
  <si>
    <t xml:space="preserve">Грантовая поддержка субъектов малого  предпринимательства </t>
  </si>
  <si>
    <t>14 3 00 20470</t>
  </si>
  <si>
    <t>Основное мероприятие "Создание условий для развития мобильной торговли в малонаселенных и труднодоступных населенных пунктах"</t>
  </si>
  <si>
    <t>14 4 00 00000</t>
  </si>
  <si>
    <t>Приобретение специализированного автотранспорта для развития мобильной  торговли в малонаселенных и труднодоступных населенных пунктах</t>
  </si>
  <si>
    <t>14 4 00</t>
  </si>
  <si>
    <t>Развитие мобильной торговли в малонаселенных и труднодоступных населенных пунктах</t>
  </si>
  <si>
    <t>14 4 00 S1250</t>
  </si>
  <si>
    <t>Основное мероприятие "Обеспечение деятельности комитета земельно-имущественных отношений администрации Нюксенского муниципального округа"</t>
  </si>
  <si>
    <t>16 1 00 00000</t>
  </si>
  <si>
    <t>16 1 00 00190</t>
  </si>
  <si>
    <t xml:space="preserve"> Мероприятия, направленные на реализацию регионального проекта "Финансовая поддержка семей при рождении детей"</t>
  </si>
  <si>
    <t>16 3 Р1 00000</t>
  </si>
  <si>
    <t>Осуществление отдельных государственных полномочий в соответствии с законом области  от 10 декабря 2018 года № 4463-ОЗ "О наделении органов местного самоуправления отдельными государственными полномочиями по предоставлению единовременной денежной выплаты взамен предоставления земельного участка гражданам, имеющим трех и более детей"</t>
  </si>
  <si>
    <t>16 3 Р1 72300</t>
  </si>
  <si>
    <t>ЖИЛИЩНО-КОММУНАЛЬНОЕ ХОЗЯЙСТВО</t>
  </si>
  <si>
    <t>Жилищное хозяйство</t>
  </si>
  <si>
    <t>Муниципальная программа "Развитие топливно-энергетического комплекса и коммунальной инфраструктуры на территории Нюксенского муниципального района на 2021-2025 годы"</t>
  </si>
  <si>
    <t>12 0 00 00000</t>
  </si>
  <si>
    <t>Подпрограмма "Энергосбережение и повышение энергетической эффективности на территории Нюксенского района"</t>
  </si>
  <si>
    <t>12 1 00 00000</t>
  </si>
  <si>
    <t>Основное мероприятие "Подготовка объектов теплоэнергетики к работе в осенне-зимний период"</t>
  </si>
  <si>
    <t>12 1 01 00000</t>
  </si>
  <si>
    <t>Мероприятия в области энергосбережения</t>
  </si>
  <si>
    <t>12 1 01 20560</t>
  </si>
  <si>
    <t>Муниципальная программа "Обеспечение населения Нюксенского муниципального округа доступным жильем и создание благоприятных условий проживания"</t>
  </si>
  <si>
    <t>19 0 00 00000</t>
  </si>
  <si>
    <t>Основное мероприятие "Капитальный и текущий ремонт объектов жилищного фонда"</t>
  </si>
  <si>
    <t>19 2 00 00000</t>
  </si>
  <si>
    <t>Мероприятия, связанные с капитальным и текущем ремонтом объектов жилищного фонда</t>
  </si>
  <si>
    <t>19 2 00 20570</t>
  </si>
  <si>
    <t>Основное мероприятие "Обеспечение устойчивого сокращения непригодного для проживания жилищного фонда"</t>
  </si>
  <si>
    <t>19 3 00 00000</t>
  </si>
  <si>
    <t>Мероприятия, направленные на демонтаж и снос аварийного и ветхого жилья на территории муниципального округа</t>
  </si>
  <si>
    <t>19 3 00 20580</t>
  </si>
  <si>
    <t>Реализация регионального проекта "Обеспечение устойчивого сокращения непригодного для проживания жилищного фонда"</t>
  </si>
  <si>
    <t>19 3 F3 00000</t>
  </si>
  <si>
    <t>Мероприятия, направленные на реализацию регионального проекта "Обеспечение устойчивого сокращения непригодного для проживания жилищного фонда"</t>
  </si>
  <si>
    <t>19 3 F3 20580</t>
  </si>
  <si>
    <t>Реализация мероприятий по переселению граждан из аварийного жилищного фонда счет средств, поступивших от государственной корпорации - Фонд содействия реформированию жилищно-коммунального хозяйства</t>
  </si>
  <si>
    <t>19 3 F3 67483</t>
  </si>
  <si>
    <t>Бюджетные инвестиции</t>
  </si>
  <si>
    <t>410</t>
  </si>
  <si>
    <t>Реализация мероприятий по переселению граждан из аварийного жилищного фонда за счет средств областного бюджета</t>
  </si>
  <si>
    <t>19 3 F3 67484</t>
  </si>
  <si>
    <t>Коммунальное хозяйство</t>
  </si>
  <si>
    <t>Мероприятия, связанные с поддержкой муниципальных предприятий в области ЖКХ</t>
  </si>
  <si>
    <t>97 0 00 21190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</si>
  <si>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</si>
  <si>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Финансовое обеспечение затрат в рамках мер по предупреждению банкротства и восстановлению платежеспособности муниципальных предприятий Нюксенского муниципального округа Вологодской области </t>
  </si>
  <si>
    <t>97 0 00 21200</t>
  </si>
  <si>
    <t>Муниципальная программа "Развитие топливно-энергетического комплекса и коммунальной инфраструктуры на территории Нюксенского муниципального округа"</t>
  </si>
  <si>
    <t>Подпрограмма "Энергосбережение и повышение энергетической эффективности на территории Нюксенского муниципального округа"</t>
  </si>
  <si>
    <t xml:space="preserve">Бюджетные инвестиции
</t>
  </si>
  <si>
    <t>Основное мероприятие "Ремонты систем водоснабжения и водоотведения на территории Нюксенского муниципального округа"</t>
  </si>
  <si>
    <t>12 1 02 00000</t>
  </si>
  <si>
    <t>12 1 02 20560</t>
  </si>
  <si>
    <t xml:space="preserve">Исполнение судебных актов Российской Федерации и мировых соглашений по возмещению причиненного вреда
</t>
  </si>
  <si>
    <t>Производственный контроль качества питьевой воды из источников водоснабжения</t>
  </si>
  <si>
    <t>12 1 02 20610</t>
  </si>
  <si>
    <t>Мероприятия, направленные на производственный контроль качества сточных вод</t>
  </si>
  <si>
    <t>12 1 02 20620</t>
  </si>
  <si>
    <t>Основное мероприятие "Реализация проекта "Народный бюджет"</t>
  </si>
  <si>
    <t>12 1 03 00000</t>
  </si>
  <si>
    <t>Мероприятия, связанные с реализацией проекта "Народный бюджет"</t>
  </si>
  <si>
    <t>12 1 03 S2270</t>
  </si>
  <si>
    <t>Подпрограмма"Развитие жилищно-коммунальной инфраструктуры муниципального округа"</t>
  </si>
  <si>
    <t>12 2 00 00000</t>
  </si>
  <si>
    <t>Основное мероприятие "Строительство, реконструкция и модернизация объектов жилищно-коммунальной инфраструктуры муниципального округа"</t>
  </si>
  <si>
    <t>12 2 01 00000</t>
  </si>
  <si>
    <t>12 2 01 20560</t>
  </si>
  <si>
    <t>Мероприятия по строительству, реконструкции и капитальному ремонту централизованных систем водоснабжения и водоотведения населенных пунктов</t>
  </si>
  <si>
    <t>12 2 01 S3040</t>
  </si>
  <si>
    <t>Мероприятия по модернизации систем коммунальной инфраструктуры за счет средств, поступивших от публично-правовой компании "Фонд развития территорий"</t>
  </si>
  <si>
    <t>12 2 01 09505</t>
  </si>
  <si>
    <t>Мероприятия по модернизации систем коммунальной инфраструктуры за счет средств областного бюджета</t>
  </si>
  <si>
    <t>12 2 01 S9605</t>
  </si>
  <si>
    <t>Основное мероприятие "Реализация регионального проекта "Чистая вода"</t>
  </si>
  <si>
    <t>12 2 F5 00000</t>
  </si>
  <si>
    <t>Мероприятия по строительству и реконструкции (модернизации) объектов питьевого водоснабжения в рамках регионального проекта "Чистая вода"</t>
  </si>
  <si>
    <t>12 2 F5 52430</t>
  </si>
  <si>
    <t>Муниципальная программа "Совершенствование системы управления и распоряжения земельно-имущественным комплексом Нюксенского муниципального округа"</t>
  </si>
  <si>
    <t>Благоустройство</t>
  </si>
  <si>
    <t>Муниципальная программа "Формирование современной городской среды и благоустройства Нюксенского муниципального округа"</t>
  </si>
  <si>
    <t>04 0 00 00000</t>
  </si>
  <si>
    <t>Подпрограмма "Формирование современной городской среды на территории Нюксенского муниципального округа"</t>
  </si>
  <si>
    <t>04 1 00 00000</t>
  </si>
  <si>
    <t>Реализация регионального проекта "Формирование комфортной городской среды" в части благоустройства общественных и дворовых территорий муниципальных образований области</t>
  </si>
  <si>
    <t>04 1 F2 00000</t>
  </si>
  <si>
    <t>Проведение мероприятий по благоустройству дворовых территорий</t>
  </si>
  <si>
    <t>04 1 F2 55551</t>
  </si>
  <si>
    <t>Проведение мероприятий по благоустройству дворовых территорий многоквартирных домов</t>
  </si>
  <si>
    <t>04 1 F2 71551</t>
  </si>
  <si>
    <t>Проведение мероприятий по благоустройству общественных пространств</t>
  </si>
  <si>
    <t>04 1 F2 71552</t>
  </si>
  <si>
    <t>Подпрограмма "Благоустройство территорий населенных пунктов Нюксенского муниципального округа"</t>
  </si>
  <si>
    <t>04 2 00 00000</t>
  </si>
  <si>
    <t>Основное мероприятие "Организация уличного освещения"</t>
  </si>
  <si>
    <t>04 2 01 00000</t>
  </si>
  <si>
    <t>Уличное освещение</t>
  </si>
  <si>
    <t>04 2 01 S1090</t>
  </si>
  <si>
    <t xml:space="preserve">Уплата налогов, сборов и иных платежей
</t>
  </si>
  <si>
    <t>Реализация проекта "Народный бюджет"</t>
  </si>
  <si>
    <t>04 2 01 S2270</t>
  </si>
  <si>
    <t>Основное мероприятие "Мероприятия в сфере благоустройства"</t>
  </si>
  <si>
    <t>04 2 02 00000</t>
  </si>
  <si>
    <t>Проведение мероприятий в сфере благоустройства</t>
  </si>
  <si>
    <t>04 2 02 23200</t>
  </si>
  <si>
    <t>04 2 02 S2270</t>
  </si>
  <si>
    <t>Основное мероприятие "Организация ритуальных услуг и содержание мест захоронения"</t>
  </si>
  <si>
    <t>04 2 03 00000</t>
  </si>
  <si>
    <t>Организация ритуальных услуг и содержание мест захоронения</t>
  </si>
  <si>
    <t>04 2 03 23300</t>
  </si>
  <si>
    <t>Муниципальная программа "Комплексное развитие сельских территорий Нюксенского муниципального округа Вологодской области"</t>
  </si>
  <si>
    <t>20 0 00 00000</t>
  </si>
  <si>
    <t>Основное мероприятие "Предотвращение распространения сорного растения борщевик Сосновского"</t>
  </si>
  <si>
    <t>20 4 00 00000</t>
  </si>
  <si>
    <t>Мероприятия по предотвращению распространения сорного растения борщевик Сосновского</t>
  </si>
  <si>
    <t>20 4 00 S1400</t>
  </si>
  <si>
    <t>ОХРАНА ОКРУЖАЮЩЕЙ СРЕДЫ</t>
  </si>
  <si>
    <t>Другие вопросы в области охраны окружающей среды</t>
  </si>
  <si>
    <t>Основное мероприятие "Охрана и рациональное использование водных ресурсов"</t>
  </si>
  <si>
    <t>10 1 00 00000</t>
  </si>
  <si>
    <t>Природоохранные мероприятия</t>
  </si>
  <si>
    <t>10 1 00 20110</t>
  </si>
  <si>
    <t>10 2 00 20110</t>
  </si>
  <si>
    <t>Мероприятия по разработке проекта рекультивации земельных участков, занятых несанкционированными свалками</t>
  </si>
  <si>
    <t>10 2 00 S3370</t>
  </si>
  <si>
    <t>Мероприятия, направленные на рекультивацию земельных участков, занятых несанкционированными свалками отходов</t>
  </si>
  <si>
    <t>10 2 00 S3390</t>
  </si>
  <si>
    <t>Основное мероприятие "Экологическое образование, просвещение и информирование населения"</t>
  </si>
  <si>
    <t>10 3 00 00000</t>
  </si>
  <si>
    <t>10 3 00 20110</t>
  </si>
  <si>
    <t>Основное мероприятие "Обустройство и охрана особо охраняемых природных территорий"</t>
  </si>
  <si>
    <t>10 4 00 00000</t>
  </si>
  <si>
    <t>10 4 00 20110</t>
  </si>
  <si>
    <t>ОБРАЗОВАНИЕ</t>
  </si>
  <si>
    <t>Дошкольное образование</t>
  </si>
  <si>
    <t>Муниципальная программа "Развитие образования Нюксенского муниципального округа"</t>
  </si>
  <si>
    <t>08 0 00 00000</t>
  </si>
  <si>
    <t>Подпрограмма "Развитие дошкольного, общего и дополнительного образования детей"</t>
  </si>
  <si>
    <t>08 1 00 00000</t>
  </si>
  <si>
    <t>Основное мероприятие "Организация предоставления дошкольного образования в бюджетном образовательном учреждении"</t>
  </si>
  <si>
    <t>08 1 01 00000</t>
  </si>
  <si>
    <t>Обеспечение дошкольного образования и общеобразовательного процесса в муниципальных образовательных организациях</t>
  </si>
  <si>
    <t>08 1 01 72010</t>
  </si>
  <si>
    <t>Дошкольные учреждения</t>
  </si>
  <si>
    <t>08 1 01 14590</t>
  </si>
  <si>
    <t>Мероприятия, направленные на приспособление зданий и помещений муниципальных дошкольных образовательных организаций и муниципальных общеобразовательных организаций для беспрепятственного доступа инвалидов (детей-инвалидов)</t>
  </si>
  <si>
    <t>08 1 01 S1180</t>
  </si>
  <si>
    <t>Мероприятия, направленные на обеспечение питанием обучающихся с ограниченными возможностями здоровья, не проживающих в организациях, осуществляющих образовательную деятельность по адаптированным основным общеобразовательным программам</t>
  </si>
  <si>
    <t>08 1 01 S1490</t>
  </si>
  <si>
    <t xml:space="preserve">Основное мероприятие "Организация методического сопровождения повышения профессиональной компетентности педагогических и руководящих кадров" </t>
  </si>
  <si>
    <t>08 1 05 00000</t>
  </si>
  <si>
    <t>08 1 05 14590</t>
  </si>
  <si>
    <t>Общее образование</t>
  </si>
  <si>
    <t>Основное мероприятие "Организация предоставления общедоступного и бесплатного начального общего, основного общего, среднего общего образования в бюджетных образовательных организациях"</t>
  </si>
  <si>
    <t>08 1 02 00000</t>
  </si>
  <si>
    <t>Обеспечение дошкольного образования в муниципальных образовательных организациях области,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части ежемесячного денежного вознаграждения за классное руководство педагогическим работникам муниципальных общеобразовательных организаций</t>
  </si>
  <si>
    <t>08 1 02 53031</t>
  </si>
  <si>
    <t>08 1 02 72010</t>
  </si>
  <si>
    <t xml:space="preserve">Школы - детские сады, школы начальные, неполные средние и средние </t>
  </si>
  <si>
    <t>08 1 02 13590</t>
  </si>
  <si>
    <t>460</t>
  </si>
  <si>
    <t>08 1 02 70030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</si>
  <si>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</si>
  <si>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08 1 02 L3041</t>
  </si>
  <si>
    <t>Мероприятия, направленные на модернизацию школьных систем образования</t>
  </si>
  <si>
    <t>08 1 02 L7500</t>
  </si>
  <si>
    <t xml:space="preserve">Мероприятия, направленные на модернизацию школьных систем образования (оснащение отремонтированных зданий и (или) помещений муниципальных общеобразовательных организаций современными средствами обучения и воспитания) за исключением расходов, предусмотренных на софинансирование субсидий из федерального бюджета </t>
  </si>
  <si>
    <t>08 1 02 A7501</t>
  </si>
  <si>
    <t>Мероприятия, направленные на модернизацию школьных систем образования (оснащение отремонтированных зданий и (или) помещений муниципальных общеобразовательных организаций современными средствами обучения и воспитания)</t>
  </si>
  <si>
    <t>08 1 02 L7501</t>
  </si>
  <si>
    <t>08 1 02 S1180</t>
  </si>
  <si>
    <t>Мероприятия, направленные на обеспечение условий для организации питания обучающихся в муниципальных общеобразовательных организациях</t>
  </si>
  <si>
    <t>08 1 02 S1440</t>
  </si>
  <si>
    <t>08 1 02 S1490</t>
  </si>
  <si>
    <t>Основное мероприятие "Обеспечение предоставления мер социальной поддержки отдельным категориям обучающихся в муниципальных образовательных организациях"</t>
  </si>
  <si>
    <t>08 1 04 00000</t>
  </si>
  <si>
    <t>Осуществление отдельных государственных полномочий в соответствии с законом области от 17 декабря 2007 года № 1719-ОЗ "О наделении органов местного самоуправления отдельными государственными полномочиями в сфере образования"</t>
  </si>
  <si>
    <t>08 1 04 72020</t>
  </si>
  <si>
    <t>08 1 05 13590</t>
  </si>
  <si>
    <t>Основное мероприятие "Развитие системы поддержки талантливых детей в образовательных учреждениях"</t>
  </si>
  <si>
    <t>08 1 06 00000</t>
  </si>
  <si>
    <t>08 1 06 13590</t>
  </si>
  <si>
    <t>Основное мероприятие "Строительство, реконструкция, капитальный ремонт и ремонт образовательных организаций"</t>
  </si>
  <si>
    <t>08 1 08 00000</t>
  </si>
  <si>
    <t>Мероприятия по разработке проектно-сметной документации на строительство, реконструкцию, капитальный ремонт и ремонт образовательных организаций муниципальной собственности</t>
  </si>
  <si>
    <t>08 1 08 13600</t>
  </si>
  <si>
    <t>Основное мероприятие "Реализация регионального проекта "Современная школа"</t>
  </si>
  <si>
    <t>08 1 Е1 00000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</si>
  <si>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</si>
  <si>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08 1 Е1 51720</t>
  </si>
  <si>
    <t>Основное мероприятие "Реализация регионального проекта "Успех каждого ребенка"</t>
  </si>
  <si>
    <t>08 1 E2 00000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</si>
  <si>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</si>
  <si>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08 1 E2 50970</t>
  </si>
  <si>
    <t>Основное мероприятие "Реализация регионального проекта "Цифровая образовательная среда"</t>
  </si>
  <si>
    <t>08 1 Е4 00000</t>
  </si>
  <si>
    <t>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</si>
  <si>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08 1 Е4 52130</t>
  </si>
  <si>
    <t>Основное мероприятие "Реализация регионального проекта "Патриотическое воспитание граждан Российской Федерации (Вологодская область)"</t>
  </si>
  <si>
    <t>08 1 ЕВ 00000</t>
  </si>
  <si>
    <t>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</si>
  <si>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08 1 ЕВ 51790</t>
  </si>
  <si>
    <t>Дополнительное образование детей</t>
  </si>
  <si>
    <t>Основное мероприятие "Организация предоставления дополнительного образования"</t>
  </si>
  <si>
    <t>06 4 00 00000</t>
  </si>
  <si>
    <t xml:space="preserve">Учреждения по внешкольной работе с детьми </t>
  </si>
  <si>
    <t>06 4 00 15590</t>
  </si>
  <si>
    <t>06 4 00 70030</t>
  </si>
  <si>
    <t>08 1 03 00000</t>
  </si>
  <si>
    <t>08 1 03 15590</t>
  </si>
  <si>
    <t>08 1 03 70030</t>
  </si>
  <si>
    <t>Мероприятия, направленные на реализацию проекта по обеспечению системы дополнительного образования детей посредством внедрения принципа персонифицированного финансирования</t>
  </si>
  <si>
    <t>08 1 03 12590</t>
  </si>
  <si>
    <t>Обеспечение персонифицированного финансирования дополнительного образования детей</t>
  </si>
  <si>
    <t xml:space="preserve">08 1 03 16590 </t>
  </si>
  <si>
    <t>08 1 05 15590</t>
  </si>
  <si>
    <t>08 1 06 15590</t>
  </si>
  <si>
    <t>Молодёжная политика</t>
  </si>
  <si>
    <t>Муниципальная программа "Развитие молодежной политики в Нюксенском муниципальном округе"</t>
  </si>
  <si>
    <t>17 0 00 00000</t>
  </si>
  <si>
    <t>Основное мероприятие "Вовлечение молодежи в общественно-политическую жизнь, повышение гражданской активности молодых граждан"</t>
  </si>
  <si>
    <t>17 1 00 00000</t>
  </si>
  <si>
    <t>Проведение мероприятий для детей и молодежи</t>
  </si>
  <si>
    <t>17 1 00 20590</t>
  </si>
  <si>
    <t>Основное мероприятие "Формирование системы информирования подростков и молодежи об общественных движениях, социальных инициативах в сфере молодежной политики"</t>
  </si>
  <si>
    <t>17 2 00 00000</t>
  </si>
  <si>
    <t>17 2 00 20590</t>
  </si>
  <si>
    <t>Другие вопросы в области образования</t>
  </si>
  <si>
    <t>Муниципальная программа "Формирование законопослушного поведения участников дорожного движения на территории Нюксенского муниципального района на 2019-2030 годы"</t>
  </si>
  <si>
    <t>Реализация мероприятий по обеспечению безопасности жизни и здоровья детей, обучающихся в общеобразовательных организациях района</t>
  </si>
  <si>
    <t>03 1 00 23080</t>
  </si>
  <si>
    <t>Социальные выплаты гражданам, кроме публичных нормативных социальных выплат</t>
  </si>
  <si>
    <t>08 1 05 00190</t>
  </si>
  <si>
    <t xml:space="preserve">Расходы на обеспечение функций муниципальных органов </t>
  </si>
  <si>
    <t>08 1 06 00190</t>
  </si>
  <si>
    <t>Основное мероприятие "Организация содержательного досуга детей в каникулярное время"</t>
  </si>
  <si>
    <t>08 1 07 00000</t>
  </si>
  <si>
    <t>08 1 07 13590</t>
  </si>
  <si>
    <t>08 1 07 14590</t>
  </si>
  <si>
    <t>08 1 07 15590</t>
  </si>
  <si>
    <t>Подпрограмма "Обеспечение создания условий для реализации программы"</t>
  </si>
  <si>
    <t>08 2 00 00000</t>
  </si>
  <si>
    <t>Основное мероприятие "Обеспечение деятельности управления образования"</t>
  </si>
  <si>
    <t>08 2 01 00000</t>
  </si>
  <si>
    <t>08 2 01 00190</t>
  </si>
  <si>
    <t>Основное мероприятие "Приобретение услуг распределительно-логистического центра"</t>
  </si>
  <si>
    <t>08 2 02 00000</t>
  </si>
  <si>
    <t>Мероприятия, направленные на приобретение услуг распределительно-логистического центра на поставку продовольственных товаров для муниципальных общеобразовательных организаций</t>
  </si>
  <si>
    <t>08 2 02 S1460</t>
  </si>
  <si>
    <t xml:space="preserve">КУЛЬТУРА, КИНЕМАТОГРАФИЯ </t>
  </si>
  <si>
    <t>Культура</t>
  </si>
  <si>
    <t>Основное мероприятие "Сохранение, пополнение и популяризация музейных предметов и музейных коллекций"</t>
  </si>
  <si>
    <t>06 1 00 00000</t>
  </si>
  <si>
    <t>06 1 00 01590</t>
  </si>
  <si>
    <t>06 1 00 70030</t>
  </si>
  <si>
    <t>Мероприятия, направленные на реализацию регионального проекта "Творческие люди"</t>
  </si>
  <si>
    <t>06 1 A2 00000</t>
  </si>
  <si>
    <t>Мероприятия, направленные на государственную поддержку лучших сельских учреждений культуры и лучших работников сельских учреждений культуры</t>
  </si>
  <si>
    <t>06 1 A2 55192</t>
  </si>
  <si>
    <t>Мероприятия, направленные на государственную поддержку лучших работников сельских учреждений культуры и лучших сельских учреждений культуры</t>
  </si>
  <si>
    <t>Основное мероприятие "Выявление, изучение, сохранение, развитие и популяризация объектов нематериального культурного наследия Нюксенского муниципального округа в области традиционной народной культуры"</t>
  </si>
  <si>
    <t>06 2 00 00000</t>
  </si>
  <si>
    <t>06 2 00 01590</t>
  </si>
  <si>
    <t>06 2 00 70030</t>
  </si>
  <si>
    <t>Мероприятия, направленные на капитальный ремонт и ремонт объектов культуры</t>
  </si>
  <si>
    <t>06 2 00 S1270</t>
  </si>
  <si>
    <t>06 2 A2 00000</t>
  </si>
  <si>
    <t>06 2 A2 55192</t>
  </si>
  <si>
    <t>Основное мероприятие "Развитие библиотечного дела"</t>
  </si>
  <si>
    <t>06 3 00 00000</t>
  </si>
  <si>
    <t>06 3 00 01590</t>
  </si>
  <si>
    <t>06 3 00 70030</t>
  </si>
  <si>
    <t>Мероприятия по модернизации библиотек в части комплектования книжных фондов библиотек муниципальных образований</t>
  </si>
  <si>
    <t>06 3 00 L5193</t>
  </si>
  <si>
    <t>Мероприятия, направленные на обеспечение развития и укрепление материально-технической базы муниципальных учреждений отрасли культуры</t>
  </si>
  <si>
    <t>06 3 00 S1960</t>
  </si>
  <si>
    <t>Мероприятия, направленные на комплектование книжных фондов муниципальных библиотек</t>
  </si>
  <si>
    <t>06 3 00 S1980</t>
  </si>
  <si>
    <t>06 5 00 01590</t>
  </si>
  <si>
    <t>06 5 00 70030</t>
  </si>
  <si>
    <t>06 5 00 S1960</t>
  </si>
  <si>
    <t>06 5 00 S2270</t>
  </si>
  <si>
    <t>Основное мероприятие "Создание и модернизация учреждений культурно-досугового типа в сельской местности"</t>
  </si>
  <si>
    <t>06 7 00 00000</t>
  </si>
  <si>
    <t>Мероприятия по обеспечению проведения капитальных ремонтов домов культуры в сельских населенных пунктах, за исключением домов культуры, расположенных на территориях административных центров муниципальных районов</t>
  </si>
  <si>
    <t>06 7 00 S1800</t>
  </si>
  <si>
    <t>Реализация регионального проекта "Культурная среда"</t>
  </si>
  <si>
    <t>06 7 А1 00000</t>
  </si>
  <si>
    <t>Мероприятия по развитию сети учреждений культурно-досугового типа</t>
  </si>
  <si>
    <t>06 7 A1 55130</t>
  </si>
  <si>
    <t>Другие вопросы в области культуры, кинематографии</t>
  </si>
  <si>
    <t>Муниципальная программа "Развитие культуры и туризма Нюксенского муниципального района"</t>
  </si>
  <si>
    <t>Основное мероприятие "Строительство культурно-досуговых учреждений"</t>
  </si>
  <si>
    <t>06 8 00 00000</t>
  </si>
  <si>
    <t>06 8 00 28010</t>
  </si>
  <si>
    <t>Строительство культурно-досугового центра в с.Нюксеница</t>
  </si>
  <si>
    <t>06 8 00 S3280</t>
  </si>
  <si>
    <t>ЗДРАВООХРАНЕНИЕ</t>
  </si>
  <si>
    <t>Санитарно-эпидемиологическое благополучие</t>
  </si>
  <si>
    <t>Осуществление отдельных государственных полномочий в соответствии с законом области от 15 января 2013 года № 2966-ОЗ "О наделении органов местного самоуправления отдельными государственными полномочиями по организации мероприятий при осуществлении деятельности по обращению с животными без владельцев"</t>
  </si>
  <si>
    <t>78 0 00 72230</t>
  </si>
  <si>
    <t>СОЦИАЛЬНАЯ ПОЛИТИКА</t>
  </si>
  <si>
    <t>Пенсионное обеспечение</t>
  </si>
  <si>
    <t xml:space="preserve">Доплаты к пенсиям </t>
  </si>
  <si>
    <t>01 1 02 80010</t>
  </si>
  <si>
    <t xml:space="preserve">Публичные нормативные социальные выплаты гражданам
</t>
  </si>
  <si>
    <t>310</t>
  </si>
  <si>
    <t>Социальное обеспечение населения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</si>
  <si>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</si>
  <si>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78 0 00 51350</t>
  </si>
  <si>
    <t>Мероприятия в области социальной политики</t>
  </si>
  <si>
    <t>01 1 02 25140</t>
  </si>
  <si>
    <t>Реализация мер социальной поддержки граждан, призванных на военную службу по мобилизации, по контракту и членов их семей</t>
  </si>
  <si>
    <t>01 1 02 25160</t>
  </si>
  <si>
    <t>Публичные нормативные социальные выплаты гражданам</t>
  </si>
  <si>
    <t>Основное мероприятие "Оказание поддержки отдельным категориям граждан в приобретении жилья"</t>
  </si>
  <si>
    <t>19 1 00 00000</t>
  </si>
  <si>
    <t>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</si>
  <si>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19 1 00 51760</t>
  </si>
  <si>
    <t>Предоставление социальных выплат молодым семьям – участникам основного мероприятия "Оказание государственной поддержки отдельным категориям граждан на приобретение жилья" подпрограммы "Создание условий для обеспечения доступным жильем граждан области" государственной программы Вологодской области "Наследие Вологодчины"</t>
  </si>
  <si>
    <t>19 1 00 L4970</t>
  </si>
  <si>
    <t>Основное мероприятие "Оказание содействия в обеспечении сельского населения доступным и комфортным жильем"</t>
  </si>
  <si>
    <t>20 1 00 00000</t>
  </si>
  <si>
    <t>Улучшение жилищных условий граждан, проживающих на сельских территориях</t>
  </si>
  <si>
    <t>20 1 00 L5764</t>
  </si>
  <si>
    <t>Охрана семьи и детства</t>
  </si>
  <si>
    <t>Муниципальная программа "Развитие образования Нюксенского муниципального округа на 2021-2025 годы"</t>
  </si>
  <si>
    <t>Другие вопросы в области социальной политики</t>
  </si>
  <si>
    <t>Основное мероприятие "Обеспечение мер социальной поддержки отдельным категориям граждан и предоставление иных социальных выплат"</t>
  </si>
  <si>
    <t>Реализация мер социальной поддержки граждан, призванных на военную службу по мобилизации, по контракту, и членов их семей</t>
  </si>
  <si>
    <t>ФИЗИЧЕСКАЯ КУЛЬТУРА И СПОРТ</t>
  </si>
  <si>
    <t xml:space="preserve">Физическая культура </t>
  </si>
  <si>
    <t>Муниципальная программа "Развитие физической культуры и спорта в Нюксенском муниципальном округе"</t>
  </si>
  <si>
    <t>07 0 00 00000</t>
  </si>
  <si>
    <t>Основное мероприятие "Физическое воспитание и обеспечение организации проведения физкультурных мероприятий и массовых спортивных мероприятий"</t>
  </si>
  <si>
    <t>07 1 00 00000</t>
  </si>
  <si>
    <t>07 1 00 00590</t>
  </si>
  <si>
    <t xml:space="preserve">Субсидии автономным учреждениям
</t>
  </si>
  <si>
    <t>620</t>
  </si>
  <si>
    <t xml:space="preserve"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
</t>
  </si>
  <si>
    <t>07 1 00 70030</t>
  </si>
  <si>
    <t>Мероприятия в области физической культуры и спорта</t>
  </si>
  <si>
    <t>07 1 00 20600</t>
  </si>
  <si>
    <t>Мероприятия, направленные на создание условий для занятий инвалидов, лиц с ограниченными возможностями здоровья физической культурой и спортом</t>
  </si>
  <si>
    <t>07 1 00 S1610</t>
  </si>
  <si>
    <t>Мероприятия по организации и проведению на территории муниципального образования по месту жительства и (или) по месту отдыха организованных занятий граждан физической культурой</t>
  </si>
  <si>
    <t>07 1 00 S1760</t>
  </si>
  <si>
    <t>Другие вопросы в области физической культуры и спорта</t>
  </si>
  <si>
    <t>Муниципальная программа  "Развитие физической культуры и спорта в Нюксенском муниципальном округе на 2021-2025 годы"</t>
  </si>
  <si>
    <t>07 1 00 S2270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</si>
  <si>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</si>
  <si>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</si>
  <si>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Муниципальная программа "Управление муниципальными финансами Нюксенского муниципального района на 2021-2025 годы"</t>
  </si>
  <si>
    <t>Основное мероприятие "Выравнивание бюджетной обеспеченности муниципальных образований района"</t>
  </si>
  <si>
    <t>15 1 00 00000</t>
  </si>
  <si>
    <t>Осуществление отдельных государственных полномочий в сфере межбюджетных отношений в соответствии с законом области от 6 декабря 2013 года №3223-ОЗ "О наделении органов местного самоуправления отдельными государственными полномочиями области по расчету и предоставлению дотаций на выравнивание бюджетной обеспеченности поселений бюджетам поселений за счет средств областного бюджета"</t>
  </si>
  <si>
    <t>15 1 00 72220</t>
  </si>
  <si>
    <t xml:space="preserve">Дотации </t>
  </si>
  <si>
    <t>510</t>
  </si>
  <si>
    <t xml:space="preserve">Дотации на выравнивание бюджетной обеспеченности сельских поселений </t>
  </si>
  <si>
    <t>15 1 00 70010</t>
  </si>
  <si>
    <t>Прочие межбюджетные трансферты общего характера</t>
  </si>
  <si>
    <t>Основное мероприятие "Финансовая поддержка  сельских поселений района"</t>
  </si>
  <si>
    <t>15 2 00 00000</t>
  </si>
  <si>
    <t>Иной межбюджетный трансферт на обеспечение сбалансированности бюджетов сельских поселений</t>
  </si>
  <si>
    <t>15 2 00 70020</t>
  </si>
  <si>
    <t>Иные межбюджетные трансферты</t>
  </si>
  <si>
    <t>540</t>
  </si>
  <si>
    <t>Итого расходов</t>
  </si>
  <si>
    <t>Условно утверждаемые расходы</t>
  </si>
  <si>
    <t>Всего расходов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</si>
</sst>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#,##0.0"/>
    <numFmt numFmtId="165" formatCode="0.0"/>
  </numFmts>
  <fonts count="17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theme="1"/>
      <name val="Times New Roman"/>
      <family val="1"/>
      <charset val="204"/>
    </font>
    <font>
      <sz val="10"/>
      <color rgb="FFFF0000"/>
      <name val="Arial Cyr"/>
      <charset val="204"/>
    </font>
    <font>
      <b/>
      <sz val="10"/>
      <color rgb="FFFF0000"/>
      <name val="Arial Cyr"/>
      <charset val="204"/>
    </font>
    <font>
      <b/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8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7">
    <xf numFmtId="0" fontId="0" fillId="0" borderId="0"/>
    <xf numFmtId="0" fontId="6" fillId="0" borderId="0"/>
    <xf numFmtId="0" fontId="16" fillId="0" borderId="0"/>
    <xf numFmtId="0" fontId="6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4" borderId="13" applyNumberFormat="0" applyFont="0" applyAlignment="0" applyProtection="0"/>
    <xf numFmtId="0" fontId="2" fillId="4" borderId="13" applyNumberFormat="0" applyFon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53">
    <xf numFmtId="0" fontId="0" fillId="0" borderId="0" xfId="0"/>
    <xf numFmtId="0" fontId="3" fillId="0" borderId="0" xfId="0" applyFont="1" applyFill="1" applyAlignment="1">
      <alignment vertical="distributed" shrinkToFit="1"/>
    </xf>
    <xf numFmtId="0" fontId="0" fillId="0" borderId="0" xfId="0" applyFill="1" applyAlignment="1"/>
    <xf numFmtId="0" fontId="0" fillId="0" borderId="0" xfId="0" applyFill="1"/>
    <xf numFmtId="0" fontId="3" fillId="0" borderId="0" xfId="0" applyFont="1" applyFill="1" applyAlignment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right" vertical="distributed" shrinkToFit="1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right"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 vertical="distributed" shrinkToFit="1"/>
    </xf>
    <xf numFmtId="0" fontId="3" fillId="0" borderId="0" xfId="0" applyFont="1" applyFill="1" applyAlignment="1">
      <alignment horizontal="right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8" xfId="1" applyNumberFormat="1" applyFont="1" applyFill="1" applyBorder="1" applyAlignment="1" applyProtection="1">
      <alignment horizontal="center" wrapText="1"/>
      <protection hidden="1"/>
    </xf>
    <xf numFmtId="0" fontId="4" fillId="0" borderId="8" xfId="0" applyFont="1" applyFill="1" applyBorder="1" applyAlignment="1">
      <alignment horizontal="center" vertical="distributed" shrinkToFit="1"/>
    </xf>
    <xf numFmtId="0" fontId="4" fillId="0" borderId="8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5" fillId="0" borderId="8" xfId="0" applyNumberFormat="1" applyFont="1" applyFill="1" applyBorder="1" applyAlignment="1" applyProtection="1">
      <alignment horizontal="justify" vertical="distributed" shrinkToFit="1"/>
    </xf>
    <xf numFmtId="49" fontId="5" fillId="0" borderId="8" xfId="0" applyNumberFormat="1" applyFont="1" applyFill="1" applyBorder="1" applyAlignment="1" applyProtection="1">
      <alignment horizontal="center"/>
    </xf>
    <xf numFmtId="164" fontId="5" fillId="0" borderId="8" xfId="0" applyNumberFormat="1" applyFont="1" applyFill="1" applyBorder="1" applyAlignment="1" applyProtection="1">
      <alignment horizontal="right"/>
    </xf>
    <xf numFmtId="0" fontId="8" fillId="0" borderId="0" xfId="0" applyFont="1" applyFill="1"/>
    <xf numFmtId="0" fontId="3" fillId="0" borderId="8" xfId="0" applyFont="1" applyFill="1" applyBorder="1" applyAlignment="1">
      <alignment vertical="distributed" wrapText="1"/>
    </xf>
    <xf numFmtId="164" fontId="3" fillId="0" borderId="8" xfId="0" applyNumberFormat="1" applyFont="1" applyFill="1" applyBorder="1" applyAlignment="1" applyProtection="1">
      <alignment horizontal="right"/>
    </xf>
    <xf numFmtId="0" fontId="3" fillId="0" borderId="9" xfId="1" applyNumberFormat="1" applyFont="1" applyFill="1" applyBorder="1" applyAlignment="1" applyProtection="1">
      <alignment horizontal="left" wrapText="1"/>
      <protection hidden="1"/>
    </xf>
    <xf numFmtId="49" fontId="3" fillId="0" borderId="8" xfId="0" applyNumberFormat="1" applyFont="1" applyFill="1" applyBorder="1" applyAlignment="1" applyProtection="1">
      <alignment horizontal="center"/>
    </xf>
    <xf numFmtId="49" fontId="3" fillId="0" borderId="8" xfId="0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wrapText="1"/>
    </xf>
    <xf numFmtId="164" fontId="3" fillId="0" borderId="8" xfId="0" applyNumberFormat="1" applyFont="1" applyFill="1" applyBorder="1" applyAlignment="1"/>
    <xf numFmtId="0" fontId="0" fillId="0" borderId="0" xfId="0" applyFont="1" applyFill="1"/>
    <xf numFmtId="164" fontId="0" fillId="0" borderId="0" xfId="0" applyNumberFormat="1" applyFont="1" applyFill="1"/>
    <xf numFmtId="0" fontId="3" fillId="0" borderId="8" xfId="0" applyNumberFormat="1" applyFont="1" applyFill="1" applyBorder="1" applyAlignment="1" applyProtection="1">
      <alignment horizontal="left" vertical="distributed"/>
    </xf>
    <xf numFmtId="0" fontId="3" fillId="0" borderId="8" xfId="0" applyFont="1" applyFill="1" applyBorder="1" applyAlignment="1">
      <alignment vertical="justify" wrapText="1"/>
    </xf>
    <xf numFmtId="0" fontId="3" fillId="0" borderId="8" xfId="0" applyNumberFormat="1" applyFont="1" applyFill="1" applyBorder="1" applyAlignment="1" applyProtection="1">
      <alignment horizontal="left" vertical="distributed" shrinkToFit="1"/>
    </xf>
    <xf numFmtId="0" fontId="5" fillId="0" borderId="8" xfId="0" applyNumberFormat="1" applyFont="1" applyFill="1" applyBorder="1" applyAlignment="1" applyProtection="1">
      <alignment horizontal="left" vertical="distributed" shrinkToFit="1"/>
    </xf>
    <xf numFmtId="0" fontId="3" fillId="0" borderId="8" xfId="0" applyNumberFormat="1" applyFont="1" applyFill="1" applyBorder="1" applyAlignment="1" applyProtection="1">
      <alignment horizontal="justify" vertical="distributed" shrinkToFit="1"/>
    </xf>
    <xf numFmtId="0" fontId="3" fillId="0" borderId="8" xfId="0" applyFont="1" applyFill="1" applyBorder="1" applyAlignment="1">
      <alignment vertical="distributed" shrinkToFit="1"/>
    </xf>
    <xf numFmtId="0" fontId="3" fillId="0" borderId="8" xfId="0" applyFont="1" applyFill="1" applyBorder="1" applyAlignment="1">
      <alignment vertical="distributed" wrapText="1" shrinkToFit="1"/>
    </xf>
    <xf numFmtId="0" fontId="5" fillId="0" borderId="8" xfId="0" applyFont="1" applyFill="1" applyBorder="1" applyAlignment="1">
      <alignment vertical="distributed" shrinkToFit="1"/>
    </xf>
    <xf numFmtId="0" fontId="3" fillId="0" borderId="8" xfId="0" applyFont="1" applyFill="1" applyBorder="1" applyAlignment="1">
      <alignment horizontal="left" vertical="top" wrapText="1"/>
    </xf>
    <xf numFmtId="0" fontId="3" fillId="0" borderId="9" xfId="1" applyNumberFormat="1" applyFont="1" applyFill="1" applyBorder="1" applyAlignment="1" applyProtection="1">
      <alignment horizontal="left" vertical="center" wrapText="1"/>
      <protection hidden="1"/>
    </xf>
    <xf numFmtId="0" fontId="3" fillId="0" borderId="8" xfId="0" applyNumberFormat="1" applyFont="1" applyFill="1" applyBorder="1" applyAlignment="1" applyProtection="1">
      <alignment vertical="distributed" shrinkToFit="1"/>
    </xf>
    <xf numFmtId="0" fontId="9" fillId="0" borderId="8" xfId="0" applyFont="1" applyFill="1" applyBorder="1" applyAlignment="1">
      <alignment horizontal="center" wrapText="1"/>
    </xf>
    <xf numFmtId="0" fontId="3" fillId="0" borderId="10" xfId="0" applyFont="1" applyFill="1" applyBorder="1" applyAlignment="1">
      <alignment vertical="distributed" shrinkToFit="1"/>
    </xf>
    <xf numFmtId="0" fontId="3" fillId="0" borderId="9" xfId="1" applyNumberFormat="1" applyFont="1" applyFill="1" applyBorder="1" applyAlignment="1" applyProtection="1">
      <alignment horizontal="left" vertical="distributed" shrinkToFit="1"/>
      <protection hidden="1"/>
    </xf>
    <xf numFmtId="0" fontId="10" fillId="0" borderId="0" xfId="0" applyFont="1" applyFill="1" applyAlignment="1"/>
    <xf numFmtId="164" fontId="0" fillId="0" borderId="0" xfId="0" applyNumberFormat="1"/>
    <xf numFmtId="0" fontId="9" fillId="0" borderId="8" xfId="0" applyFont="1" applyFill="1" applyBorder="1" applyAlignment="1">
      <alignment vertical="distributed" shrinkToFit="1"/>
    </xf>
    <xf numFmtId="0" fontId="3" fillId="0" borderId="8" xfId="0" applyNumberFormat="1" applyFont="1" applyFill="1" applyBorder="1" applyAlignment="1" applyProtection="1">
      <alignment vertical="center" wrapText="1" shrinkToFit="1"/>
    </xf>
    <xf numFmtId="0" fontId="3" fillId="0" borderId="1" xfId="0" applyFont="1" applyFill="1" applyBorder="1" applyAlignment="1">
      <alignment vertical="distributed" shrinkToFit="1"/>
    </xf>
    <xf numFmtId="0" fontId="9" fillId="0" borderId="10" xfId="0" applyFont="1" applyFill="1" applyBorder="1" applyAlignment="1">
      <alignment vertical="distributed" shrinkToFit="1"/>
    </xf>
    <xf numFmtId="0" fontId="5" fillId="0" borderId="10" xfId="1" applyNumberFormat="1" applyFont="1" applyFill="1" applyBorder="1" applyAlignment="1" applyProtection="1">
      <alignment horizontal="left" vertical="distributed" shrinkToFit="1"/>
      <protection hidden="1"/>
    </xf>
    <xf numFmtId="0" fontId="2" fillId="0" borderId="0" xfId="0" applyFont="1" applyFill="1"/>
    <xf numFmtId="0" fontId="11" fillId="0" borderId="0" xfId="0" applyFont="1" applyFill="1"/>
    <xf numFmtId="0" fontId="3" fillId="0" borderId="8" xfId="0" applyNumberFormat="1" applyFont="1" applyFill="1" applyBorder="1" applyAlignment="1">
      <alignment horizontal="left" vertical="center" wrapText="1" shrinkToFit="1"/>
    </xf>
    <xf numFmtId="0" fontId="3" fillId="0" borderId="8" xfId="0" applyFont="1" applyFill="1" applyBorder="1" applyAlignment="1">
      <alignment vertical="top" wrapText="1"/>
    </xf>
    <xf numFmtId="0" fontId="10" fillId="0" borderId="0" xfId="0" applyFont="1" applyFill="1"/>
    <xf numFmtId="0" fontId="3" fillId="0" borderId="10" xfId="1" applyNumberFormat="1" applyFont="1" applyFill="1" applyBorder="1" applyAlignment="1" applyProtection="1">
      <alignment horizontal="left" wrapText="1"/>
      <protection hidden="1"/>
    </xf>
    <xf numFmtId="0" fontId="5" fillId="0" borderId="8" xfId="0" applyFont="1" applyFill="1" applyBorder="1" applyAlignment="1">
      <alignment vertical="distributed" wrapText="1" shrinkToFit="1"/>
    </xf>
    <xf numFmtId="164" fontId="5" fillId="0" borderId="8" xfId="0" applyNumberFormat="1" applyFont="1" applyFill="1" applyBorder="1" applyAlignment="1"/>
    <xf numFmtId="49" fontId="5" fillId="0" borderId="8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vertical="distributed" shrinkToFit="1"/>
    </xf>
    <xf numFmtId="0" fontId="3" fillId="0" borderId="8" xfId="0" applyFont="1" applyFill="1" applyBorder="1" applyAlignment="1">
      <alignment horizontal="left" vertical="distributed" wrapText="1"/>
    </xf>
    <xf numFmtId="0" fontId="3" fillId="0" borderId="10" xfId="1" applyNumberFormat="1" applyFont="1" applyFill="1" applyBorder="1" applyAlignment="1" applyProtection="1">
      <alignment horizontal="left" vertical="top" wrapText="1"/>
      <protection hidden="1"/>
    </xf>
    <xf numFmtId="0" fontId="3" fillId="0" borderId="7" xfId="0" applyFont="1" applyFill="1" applyBorder="1" applyAlignment="1">
      <alignment vertical="top" wrapText="1"/>
    </xf>
    <xf numFmtId="164" fontId="9" fillId="0" borderId="8" xfId="0" applyNumberFormat="1" applyFont="1" applyFill="1" applyBorder="1" applyAlignment="1"/>
    <xf numFmtId="0" fontId="3" fillId="0" borderId="1" xfId="0" applyFont="1" applyFill="1" applyBorder="1" applyAlignment="1">
      <alignment horizontal="left" vertical="distributed" shrinkToFit="1"/>
    </xf>
    <xf numFmtId="0" fontId="3" fillId="0" borderId="10" xfId="1" applyNumberFormat="1" applyFont="1" applyFill="1" applyBorder="1" applyAlignment="1" applyProtection="1">
      <alignment horizontal="left" vertical="distributed" shrinkToFit="1"/>
      <protection hidden="1"/>
    </xf>
    <xf numFmtId="0" fontId="3" fillId="0" borderId="9" xfId="1" applyNumberFormat="1" applyFont="1" applyFill="1" applyBorder="1" applyAlignment="1" applyProtection="1">
      <alignment vertical="distributed" shrinkToFit="1"/>
      <protection hidden="1"/>
    </xf>
    <xf numFmtId="0" fontId="3" fillId="0" borderId="10" xfId="1" applyNumberFormat="1" applyFont="1" applyFill="1" applyBorder="1" applyAlignment="1" applyProtection="1">
      <alignment vertical="distributed" shrinkToFit="1"/>
      <protection hidden="1"/>
    </xf>
    <xf numFmtId="49" fontId="3" fillId="0" borderId="8" xfId="0" applyNumberFormat="1" applyFont="1" applyFill="1" applyBorder="1" applyAlignment="1" applyProtection="1">
      <alignment vertical="distributed" shrinkToFit="1"/>
    </xf>
    <xf numFmtId="0" fontId="3" fillId="0" borderId="1" xfId="0" applyFont="1" applyFill="1" applyBorder="1" applyAlignment="1">
      <alignment horizontal="left" vertical="justify" wrapText="1"/>
    </xf>
    <xf numFmtId="49" fontId="3" fillId="0" borderId="1" xfId="0" applyNumberFormat="1" applyFont="1" applyFill="1" applyBorder="1" applyAlignment="1" applyProtection="1">
      <alignment vertical="distributed" shrinkToFit="1"/>
    </xf>
    <xf numFmtId="0" fontId="9" fillId="0" borderId="8" xfId="0" applyFont="1" applyFill="1" applyBorder="1" applyAlignment="1">
      <alignment vertical="justify" wrapText="1"/>
    </xf>
    <xf numFmtId="2" fontId="10" fillId="0" borderId="0" xfId="0" applyNumberFormat="1" applyFont="1" applyFill="1"/>
    <xf numFmtId="0" fontId="3" fillId="0" borderId="8" xfId="1" applyNumberFormat="1" applyFont="1" applyFill="1" applyBorder="1" applyAlignment="1" applyProtection="1">
      <alignment horizontal="left" vertical="distributed" shrinkToFit="1"/>
      <protection hidden="1"/>
    </xf>
    <xf numFmtId="49" fontId="3" fillId="0" borderId="8" xfId="0" applyNumberFormat="1" applyFont="1" applyFill="1" applyBorder="1" applyAlignment="1" applyProtection="1">
      <alignment horizontal="justify" vertical="distributed" shrinkToFit="1"/>
    </xf>
    <xf numFmtId="0" fontId="5" fillId="0" borderId="8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5" fillId="0" borderId="8" xfId="0" applyNumberFormat="1" applyFont="1" applyFill="1" applyBorder="1" applyAlignment="1" applyProtection="1">
      <alignment vertical="distributed" shrinkToFit="1"/>
    </xf>
    <xf numFmtId="0" fontId="3" fillId="0" borderId="8" xfId="0" applyFont="1" applyFill="1" applyBorder="1" applyAlignment="1">
      <alignment wrapText="1"/>
    </xf>
    <xf numFmtId="0" fontId="3" fillId="0" borderId="8" xfId="0" applyNumberFormat="1" applyFont="1" applyFill="1" applyBorder="1" applyAlignment="1" applyProtection="1">
      <alignment vertical="top" wrapText="1"/>
    </xf>
    <xf numFmtId="0" fontId="12" fillId="0" borderId="8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center" wrapText="1"/>
    </xf>
    <xf numFmtId="0" fontId="10" fillId="2" borderId="0" xfId="0" applyFont="1" applyFill="1"/>
    <xf numFmtId="0" fontId="3" fillId="0" borderId="8" xfId="1" applyNumberFormat="1" applyFont="1" applyFill="1" applyBorder="1" applyAlignment="1" applyProtection="1">
      <alignment horizontal="left" wrapText="1"/>
      <protection hidden="1"/>
    </xf>
    <xf numFmtId="0" fontId="9" fillId="0" borderId="8" xfId="0" applyNumberFormat="1" applyFont="1" applyFill="1" applyBorder="1" applyAlignment="1" applyProtection="1">
      <alignment vertical="distributed" shrinkToFit="1"/>
    </xf>
    <xf numFmtId="0" fontId="3" fillId="0" borderId="8" xfId="0" applyFont="1" applyFill="1" applyBorder="1" applyAlignment="1">
      <alignment horizontal="left" vertical="distributed" shrinkToFit="1"/>
    </xf>
    <xf numFmtId="0" fontId="3" fillId="0" borderId="8" xfId="0" applyFont="1" applyFill="1" applyBorder="1" applyAlignment="1">
      <alignment vertical="top" wrapText="1" shrinkToFit="1"/>
    </xf>
    <xf numFmtId="49" fontId="3" fillId="0" borderId="8" xfId="0" applyNumberFormat="1" applyFont="1" applyFill="1" applyBorder="1" applyAlignment="1" applyProtection="1">
      <alignment horizontal="justify" vertical="justify" wrapText="1"/>
    </xf>
    <xf numFmtId="0" fontId="3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vertical="justify" wrapText="1"/>
    </xf>
    <xf numFmtId="0" fontId="3" fillId="0" borderId="8" xfId="0" applyFont="1" applyFill="1" applyBorder="1" applyAlignment="1">
      <alignment vertical="center" wrapText="1" shrinkToFit="1"/>
    </xf>
    <xf numFmtId="0" fontId="3" fillId="0" borderId="9" xfId="0" applyFont="1" applyFill="1" applyBorder="1" applyAlignment="1">
      <alignment horizontal="left" vertical="justify" wrapText="1"/>
    </xf>
    <xf numFmtId="0" fontId="3" fillId="0" borderId="9" xfId="0" applyFont="1" applyFill="1" applyBorder="1" applyAlignment="1">
      <alignment vertical="justify" wrapText="1"/>
    </xf>
    <xf numFmtId="0" fontId="3" fillId="0" borderId="9" xfId="1" applyNumberFormat="1" applyFont="1" applyFill="1" applyBorder="1" applyAlignment="1" applyProtection="1">
      <alignment horizontal="left" vertical="top" wrapText="1"/>
      <protection hidden="1"/>
    </xf>
    <xf numFmtId="0" fontId="3" fillId="0" borderId="1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13" fillId="0" borderId="11" xfId="0" applyNumberFormat="1" applyFont="1" applyFill="1" applyBorder="1" applyAlignment="1" applyProtection="1">
      <alignment horizontal="left" wrapText="1"/>
    </xf>
    <xf numFmtId="0" fontId="3" fillId="0" borderId="8" xfId="0" applyFont="1" applyFill="1" applyBorder="1" applyAlignment="1">
      <alignment horizontal="left" vertical="justify" wrapText="1"/>
    </xf>
    <xf numFmtId="0" fontId="3" fillId="0" borderId="8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wrapText="1"/>
    </xf>
    <xf numFmtId="0" fontId="13" fillId="0" borderId="12" xfId="0" applyNumberFormat="1" applyFont="1" applyFill="1" applyBorder="1" applyAlignment="1" applyProtection="1">
      <alignment horizontal="left" wrapText="1"/>
    </xf>
    <xf numFmtId="49" fontId="3" fillId="0" borderId="8" xfId="0" applyNumberFormat="1" applyFont="1" applyFill="1" applyBorder="1" applyAlignment="1" applyProtection="1">
      <alignment horizontal="justify" vertical="center"/>
    </xf>
    <xf numFmtId="0" fontId="3" fillId="0" borderId="1" xfId="0" applyFont="1" applyFill="1" applyBorder="1" applyAlignment="1">
      <alignment vertical="center" wrapText="1"/>
    </xf>
    <xf numFmtId="49" fontId="5" fillId="0" borderId="8" xfId="0" applyNumberFormat="1" applyFont="1" applyFill="1" applyBorder="1" applyAlignment="1" applyProtection="1">
      <alignment horizontal="center" wrapText="1"/>
    </xf>
    <xf numFmtId="0" fontId="5" fillId="0" borderId="8" xfId="0" applyNumberFormat="1" applyFont="1" applyFill="1" applyBorder="1" applyAlignment="1" applyProtection="1">
      <alignment horizontal="center"/>
    </xf>
    <xf numFmtId="49" fontId="3" fillId="0" borderId="8" xfId="0" applyNumberFormat="1" applyFont="1" applyFill="1" applyBorder="1" applyAlignment="1" applyProtection="1">
      <alignment horizontal="center" wrapText="1"/>
    </xf>
    <xf numFmtId="0" fontId="10" fillId="3" borderId="0" xfId="0" applyFont="1" applyFill="1"/>
    <xf numFmtId="0" fontId="3" fillId="0" borderId="1" xfId="0" applyFont="1" applyFill="1" applyBorder="1" applyAlignment="1">
      <alignment wrapText="1"/>
    </xf>
    <xf numFmtId="0" fontId="3" fillId="0" borderId="8" xfId="0" applyFont="1" applyFill="1" applyBorder="1" applyAlignment="1">
      <alignment horizontal="left" vertical="top" wrapText="1" shrinkToFit="1"/>
    </xf>
    <xf numFmtId="164" fontId="10" fillId="0" borderId="0" xfId="0" applyNumberFormat="1" applyFont="1" applyFill="1"/>
    <xf numFmtId="0" fontId="3" fillId="0" borderId="6" xfId="0" applyFont="1" applyFill="1" applyBorder="1" applyAlignment="1">
      <alignment horizontal="left" vertical="justify" wrapText="1"/>
    </xf>
    <xf numFmtId="0" fontId="3" fillId="0" borderId="6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distributed" shrinkToFit="1"/>
    </xf>
    <xf numFmtId="0" fontId="3" fillId="0" borderId="9" xfId="0" applyFont="1" applyFill="1" applyBorder="1" applyAlignment="1">
      <alignment horizontal="left" vertical="distributed" shrinkToFit="1"/>
    </xf>
    <xf numFmtId="0" fontId="3" fillId="0" borderId="9" xfId="0" applyFont="1" applyFill="1" applyBorder="1" applyAlignment="1">
      <alignment horizontal="left" vertical="distributed" wrapText="1" shrinkToFit="1"/>
    </xf>
    <xf numFmtId="164" fontId="3" fillId="0" borderId="8" xfId="0" applyNumberFormat="1" applyFont="1" applyFill="1" applyBorder="1"/>
    <xf numFmtId="0" fontId="3" fillId="0" borderId="8" xfId="0" applyNumberFormat="1" applyFont="1" applyFill="1" applyBorder="1" applyAlignment="1" applyProtection="1">
      <alignment horizontal="center"/>
    </xf>
    <xf numFmtId="49" fontId="5" fillId="0" borderId="1" xfId="0" applyNumberFormat="1" applyFont="1" applyFill="1" applyBorder="1" applyAlignment="1">
      <alignment horizontal="left" vertical="distributed" shrinkToFit="1"/>
    </xf>
    <xf numFmtId="49" fontId="5" fillId="0" borderId="8" xfId="0" applyNumberFormat="1" applyFont="1" applyFill="1" applyBorder="1" applyAlignment="1" applyProtection="1">
      <alignment horizontal="left" vertical="distributed" shrinkToFit="1"/>
    </xf>
    <xf numFmtId="49" fontId="3" fillId="0" borderId="8" xfId="0" applyNumberFormat="1" applyFont="1" applyFill="1" applyBorder="1" applyAlignment="1" applyProtection="1">
      <alignment horizontal="left" vertical="distributed" shrinkToFit="1"/>
    </xf>
    <xf numFmtId="49" fontId="5" fillId="0" borderId="8" xfId="0" applyNumberFormat="1" applyFont="1" applyFill="1" applyBorder="1" applyAlignment="1" applyProtection="1">
      <alignment vertical="distributed" shrinkToFit="1"/>
    </xf>
    <xf numFmtId="49" fontId="3" fillId="0" borderId="8" xfId="0" applyNumberFormat="1" applyFont="1" applyFill="1" applyBorder="1" applyAlignment="1" applyProtection="1">
      <alignment vertical="justify" wrapText="1"/>
    </xf>
    <xf numFmtId="49" fontId="9" fillId="0" borderId="8" xfId="0" applyNumberFormat="1" applyFont="1" applyFill="1" applyBorder="1" applyAlignment="1">
      <alignment horizontal="center" wrapText="1"/>
    </xf>
    <xf numFmtId="0" fontId="10" fillId="0" borderId="0" xfId="0" applyFont="1"/>
    <xf numFmtId="0" fontId="5" fillId="0" borderId="8" xfId="0" applyFont="1" applyFill="1" applyBorder="1" applyAlignment="1">
      <alignment horizontal="left" vertical="distributed" shrinkToFit="1"/>
    </xf>
    <xf numFmtId="0" fontId="3" fillId="0" borderId="8" xfId="1" applyNumberFormat="1" applyFont="1" applyFill="1" applyBorder="1" applyAlignment="1" applyProtection="1">
      <alignment horizontal="left" vertical="top" wrapText="1"/>
      <protection hidden="1"/>
    </xf>
    <xf numFmtId="0" fontId="3" fillId="0" borderId="1" xfId="0" applyFont="1" applyFill="1" applyBorder="1" applyAlignment="1">
      <alignment horizontal="left" vertical="distributed" wrapText="1" shrinkToFit="1"/>
    </xf>
    <xf numFmtId="0" fontId="12" fillId="0" borderId="10" xfId="1" applyNumberFormat="1" applyFont="1" applyFill="1" applyBorder="1" applyAlignment="1" applyProtection="1">
      <alignment horizontal="left" vertical="distributed" shrinkToFit="1"/>
      <protection hidden="1"/>
    </xf>
    <xf numFmtId="165" fontId="0" fillId="0" borderId="0" xfId="0" applyNumberFormat="1" applyFill="1" applyAlignment="1"/>
    <xf numFmtId="49" fontId="0" fillId="0" borderId="0" xfId="0" applyNumberFormat="1" applyFill="1" applyAlignment="1">
      <alignment horizontal="right"/>
    </xf>
    <xf numFmtId="164" fontId="3" fillId="0" borderId="0" xfId="0" applyNumberFormat="1" applyFont="1" applyFill="1" applyAlignment="1">
      <alignment vertical="distributed" shrinkToFit="1"/>
    </xf>
    <xf numFmtId="165" fontId="0" fillId="0" borderId="0" xfId="0" applyNumberFormat="1" applyFill="1" applyAlignment="1">
      <alignment horizontal="right"/>
    </xf>
    <xf numFmtId="165" fontId="3" fillId="0" borderId="0" xfId="0" applyNumberFormat="1" applyFont="1" applyFill="1" applyAlignment="1">
      <alignment horizontal="left"/>
    </xf>
    <xf numFmtId="0" fontId="5" fillId="0" borderId="0" xfId="0" applyFont="1" applyFill="1" applyAlignment="1">
      <alignment vertical="distributed" shrinkToFit="1"/>
    </xf>
    <xf numFmtId="0" fontId="5" fillId="0" borderId="0" xfId="0" applyFont="1" applyFill="1" applyAlignment="1"/>
    <xf numFmtId="0" fontId="5" fillId="0" borderId="0" xfId="0" applyFont="1" applyFill="1" applyAlignment="1">
      <alignment horizontal="right"/>
    </xf>
    <xf numFmtId="165" fontId="8" fillId="0" borderId="0" xfId="0" applyNumberFormat="1" applyFont="1" applyFill="1" applyAlignment="1"/>
    <xf numFmtId="165" fontId="3" fillId="0" borderId="0" xfId="0" applyNumberFormat="1" applyFont="1" applyFill="1" applyAlignment="1">
      <alignment horizontal="left"/>
    </xf>
    <xf numFmtId="164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right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distributed" shrinkToFit="1"/>
    </xf>
    <xf numFmtId="0" fontId="4" fillId="0" borderId="4" xfId="0" applyFont="1" applyFill="1" applyBorder="1" applyAlignment="1">
      <alignment horizontal="center" vertical="distributed" shrinkToFit="1"/>
    </xf>
    <xf numFmtId="0" fontId="4" fillId="0" borderId="7" xfId="0" applyFont="1" applyFill="1" applyBorder="1" applyAlignment="1">
      <alignment horizontal="center" vertical="distributed" shrinkToFit="1"/>
    </xf>
    <xf numFmtId="0" fontId="4" fillId="0" borderId="1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</cellXfs>
  <cellStyles count="17">
    <cellStyle name="Обычный" xfId="0" builtinId="0"/>
    <cellStyle name="Обычный 2" xfId="1"/>
    <cellStyle name="Обычный 2 2" xfId="2"/>
    <cellStyle name="Обычный 2 2 2" xfId="3"/>
    <cellStyle name="Обычный 3" xfId="4"/>
    <cellStyle name="Обычный 3 2" xfId="5"/>
    <cellStyle name="Обычный 3 2 2" xfId="6"/>
    <cellStyle name="Обычный 3 2 2 2" xfId="7"/>
    <cellStyle name="Обычный 3 2_4 " xfId="8"/>
    <cellStyle name="Обычный 3 3" xfId="9"/>
    <cellStyle name="Обычный 3 4" xfId="10"/>
    <cellStyle name="Обычный 3 5" xfId="11"/>
    <cellStyle name="Обычный 3_4 " xfId="12"/>
    <cellStyle name="Примечание 2" xfId="13"/>
    <cellStyle name="Примечание 3" xfId="14"/>
    <cellStyle name="Финансовый 2" xfId="15"/>
    <cellStyle name="Финансовый 3" xfId="1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796"/>
  <sheetViews>
    <sheetView tabSelected="1" view="pageBreakPreview" topLeftCell="A722" zoomScale="90" zoomScaleSheetLayoutView="90" workbookViewId="0">
      <selection activeCell="N26" sqref="N26"/>
    </sheetView>
  </sheetViews>
  <sheetFormatPr defaultRowHeight="12.75"/>
  <cols>
    <col min="1" max="1" width="58" style="1" customWidth="1"/>
    <col min="2" max="2" width="7" style="4" customWidth="1"/>
    <col min="3" max="3" width="6.28515625" style="4" customWidth="1"/>
    <col min="4" max="4" width="14.140625" style="5" customWidth="1"/>
    <col min="5" max="5" width="7.28515625" style="5" customWidth="1"/>
    <col min="6" max="6" width="11.5703125" style="2" customWidth="1"/>
    <col min="7" max="8" width="13.42578125" style="2" customWidth="1"/>
    <col min="9" max="16384" width="9.140625" style="3"/>
  </cols>
  <sheetData>
    <row r="1" spans="1:11" ht="3" customHeight="1">
      <c r="B1" s="145"/>
      <c r="C1" s="145"/>
      <c r="D1" s="145"/>
      <c r="E1" s="145"/>
    </row>
    <row r="2" spans="1:11" hidden="1"/>
    <row r="3" spans="1:11" ht="60.75" customHeight="1">
      <c r="A3" s="145" t="s">
        <v>0</v>
      </c>
      <c r="B3" s="145"/>
      <c r="C3" s="145"/>
      <c r="D3" s="145"/>
      <c r="E3" s="145"/>
      <c r="F3" s="145"/>
      <c r="G3" s="145"/>
      <c r="H3" s="145"/>
    </row>
    <row r="4" spans="1:11" ht="1.9" customHeight="1">
      <c r="A4" s="6"/>
      <c r="B4" s="7"/>
      <c r="C4" s="8"/>
      <c r="D4" s="9"/>
      <c r="E4" s="9"/>
    </row>
    <row r="5" spans="1:11" ht="35.25" customHeight="1">
      <c r="A5" s="146" t="s">
        <v>1</v>
      </c>
      <c r="B5" s="146"/>
      <c r="C5" s="146"/>
      <c r="D5" s="146"/>
      <c r="E5" s="146"/>
      <c r="F5" s="146"/>
      <c r="G5" s="146"/>
      <c r="H5" s="146"/>
    </row>
    <row r="6" spans="1:11" ht="6" customHeight="1">
      <c r="A6" s="10"/>
      <c r="B6" s="5"/>
      <c r="C6" s="5"/>
    </row>
    <row r="7" spans="1:11" ht="15.75" customHeight="1">
      <c r="A7" s="10"/>
      <c r="B7" s="5"/>
      <c r="C7" s="5"/>
      <c r="H7" s="11" t="s">
        <v>2</v>
      </c>
    </row>
    <row r="8" spans="1:11" ht="21" customHeight="1">
      <c r="A8" s="147" t="s">
        <v>3</v>
      </c>
      <c r="B8" s="150" t="s">
        <v>4</v>
      </c>
      <c r="C8" s="150" t="s">
        <v>5</v>
      </c>
      <c r="D8" s="150" t="s">
        <v>6</v>
      </c>
      <c r="E8" s="150" t="s">
        <v>7</v>
      </c>
      <c r="F8" s="12"/>
      <c r="G8" s="12"/>
      <c r="H8" s="13"/>
    </row>
    <row r="9" spans="1:11" ht="24.75" hidden="1" customHeight="1">
      <c r="A9" s="148"/>
      <c r="B9" s="151"/>
      <c r="C9" s="151"/>
      <c r="D9" s="151"/>
      <c r="E9" s="151"/>
      <c r="F9" s="14"/>
      <c r="G9" s="14"/>
      <c r="H9" s="15"/>
    </row>
    <row r="10" spans="1:11" ht="24.75" customHeight="1">
      <c r="A10" s="149"/>
      <c r="B10" s="152"/>
      <c r="C10" s="152"/>
      <c r="D10" s="152"/>
      <c r="E10" s="152"/>
      <c r="F10" s="16" t="s">
        <v>8</v>
      </c>
      <c r="G10" s="16" t="s">
        <v>9</v>
      </c>
      <c r="H10" s="16" t="s">
        <v>10</v>
      </c>
    </row>
    <row r="11" spans="1:11" s="20" customFormat="1" ht="24.75" customHeight="1">
      <c r="A11" s="17">
        <v>1</v>
      </c>
      <c r="B11" s="18">
        <v>2</v>
      </c>
      <c r="C11" s="18">
        <v>3</v>
      </c>
      <c r="D11" s="18">
        <v>4</v>
      </c>
      <c r="E11" s="18">
        <v>5</v>
      </c>
      <c r="F11" s="19">
        <v>6</v>
      </c>
      <c r="G11" s="19">
        <v>7</v>
      </c>
      <c r="H11" s="19">
        <v>8</v>
      </c>
    </row>
    <row r="12" spans="1:11" s="24" customFormat="1" ht="14.25" customHeight="1">
      <c r="A12" s="21" t="s">
        <v>11</v>
      </c>
      <c r="B12" s="22" t="s">
        <v>12</v>
      </c>
      <c r="C12" s="22"/>
      <c r="D12" s="22"/>
      <c r="E12" s="22"/>
      <c r="F12" s="23">
        <f>F13+F24+F36+F79+F83+F109+F113+F105</f>
        <v>88688.8</v>
      </c>
      <c r="G12" s="23">
        <f>G13+G24+G36+G79+G83+G109+G113+G105</f>
        <v>87186.10000000002</v>
      </c>
      <c r="H12" s="23">
        <f>H13+H24+H36+H79+H83+H109+H113+H105</f>
        <v>87207.700000000012</v>
      </c>
    </row>
    <row r="13" spans="1:11" s="24" customFormat="1" ht="25.5" customHeight="1">
      <c r="A13" s="21" t="s">
        <v>13</v>
      </c>
      <c r="B13" s="22" t="s">
        <v>12</v>
      </c>
      <c r="C13" s="22" t="s">
        <v>14</v>
      </c>
      <c r="D13" s="22"/>
      <c r="E13" s="22"/>
      <c r="F13" s="23">
        <f t="shared" ref="F13:H17" si="0">F14</f>
        <v>2859.8</v>
      </c>
      <c r="G13" s="23">
        <f t="shared" si="0"/>
        <v>2859.8</v>
      </c>
      <c r="H13" s="23">
        <f t="shared" si="0"/>
        <v>2859.8</v>
      </c>
    </row>
    <row r="14" spans="1:11" s="24" customFormat="1" ht="26.25" customHeight="1">
      <c r="A14" s="25" t="s">
        <v>15</v>
      </c>
      <c r="B14" s="22"/>
      <c r="C14" s="22"/>
      <c r="D14" s="22"/>
      <c r="E14" s="22"/>
      <c r="F14" s="26">
        <f t="shared" si="0"/>
        <v>2859.8</v>
      </c>
      <c r="G14" s="26">
        <f t="shared" si="0"/>
        <v>2859.8</v>
      </c>
      <c r="H14" s="26">
        <f t="shared" si="0"/>
        <v>2859.8</v>
      </c>
    </row>
    <row r="15" spans="1:11" s="24" customFormat="1" ht="38.25" customHeight="1">
      <c r="A15" s="27" t="s">
        <v>16</v>
      </c>
      <c r="B15" s="28" t="s">
        <v>12</v>
      </c>
      <c r="C15" s="28" t="s">
        <v>14</v>
      </c>
      <c r="D15" s="29" t="s">
        <v>17</v>
      </c>
      <c r="E15" s="22"/>
      <c r="F15" s="26">
        <f t="shared" si="0"/>
        <v>2859.8</v>
      </c>
      <c r="G15" s="26">
        <f t="shared" si="0"/>
        <v>2859.8</v>
      </c>
      <c r="H15" s="26">
        <f t="shared" si="0"/>
        <v>2859.8</v>
      </c>
    </row>
    <row r="16" spans="1:11" s="32" customFormat="1" ht="24.75" customHeight="1">
      <c r="A16" s="27" t="s">
        <v>18</v>
      </c>
      <c r="B16" s="28" t="s">
        <v>12</v>
      </c>
      <c r="C16" s="28" t="s">
        <v>14</v>
      </c>
      <c r="D16" s="30" t="s">
        <v>19</v>
      </c>
      <c r="E16" s="28"/>
      <c r="F16" s="31">
        <f t="shared" si="0"/>
        <v>2859.8</v>
      </c>
      <c r="G16" s="31">
        <f t="shared" si="0"/>
        <v>2859.8</v>
      </c>
      <c r="H16" s="31">
        <f t="shared" si="0"/>
        <v>2859.8</v>
      </c>
      <c r="K16" s="33"/>
    </row>
    <row r="17" spans="1:10" s="32" customFormat="1" ht="16.5" customHeight="1">
      <c r="A17" s="25" t="s">
        <v>20</v>
      </c>
      <c r="B17" s="28" t="s">
        <v>12</v>
      </c>
      <c r="C17" s="28" t="s">
        <v>14</v>
      </c>
      <c r="D17" s="28" t="s">
        <v>21</v>
      </c>
      <c r="E17" s="28"/>
      <c r="F17" s="31">
        <f t="shared" si="0"/>
        <v>2859.8</v>
      </c>
      <c r="G17" s="31">
        <f t="shared" si="0"/>
        <v>2859.8</v>
      </c>
      <c r="H17" s="31">
        <f t="shared" si="0"/>
        <v>2859.8</v>
      </c>
    </row>
    <row r="18" spans="1:10" s="32" customFormat="1" ht="27" customHeight="1">
      <c r="A18" s="34" t="s">
        <v>22</v>
      </c>
      <c r="B18" s="28" t="s">
        <v>12</v>
      </c>
      <c r="C18" s="28" t="s">
        <v>14</v>
      </c>
      <c r="D18" s="30" t="s">
        <v>23</v>
      </c>
      <c r="E18" s="28" t="s">
        <v>24</v>
      </c>
      <c r="F18" s="31">
        <f>2859.8</f>
        <v>2859.8</v>
      </c>
      <c r="G18" s="31">
        <f>2859.8</f>
        <v>2859.8</v>
      </c>
      <c r="H18" s="31">
        <f>2859.8</f>
        <v>2859.8</v>
      </c>
      <c r="J18" s="33"/>
    </row>
    <row r="19" spans="1:10" s="32" customFormat="1" ht="24.75" hidden="1" customHeight="1">
      <c r="A19" s="34" t="s">
        <v>25</v>
      </c>
      <c r="B19" s="28" t="s">
        <v>12</v>
      </c>
      <c r="C19" s="28" t="s">
        <v>14</v>
      </c>
      <c r="D19" s="30" t="s">
        <v>23</v>
      </c>
      <c r="E19" s="28"/>
      <c r="F19" s="31">
        <f t="shared" ref="F19:H22" si="1">F20</f>
        <v>0</v>
      </c>
      <c r="G19" s="31">
        <f t="shared" si="1"/>
        <v>0</v>
      </c>
      <c r="H19" s="31">
        <f t="shared" si="1"/>
        <v>0</v>
      </c>
    </row>
    <row r="20" spans="1:10" s="32" customFormat="1" ht="41.25" hidden="1" customHeight="1">
      <c r="A20" s="34" t="s">
        <v>26</v>
      </c>
      <c r="B20" s="28" t="s">
        <v>12</v>
      </c>
      <c r="C20" s="28" t="s">
        <v>14</v>
      </c>
      <c r="D20" s="28" t="s">
        <v>19</v>
      </c>
      <c r="E20" s="28"/>
      <c r="F20" s="31">
        <f t="shared" si="1"/>
        <v>0</v>
      </c>
      <c r="G20" s="31">
        <f t="shared" si="1"/>
        <v>0</v>
      </c>
      <c r="H20" s="31">
        <f t="shared" si="1"/>
        <v>0</v>
      </c>
    </row>
    <row r="21" spans="1:10" s="32" customFormat="1" ht="27" hidden="1" customHeight="1">
      <c r="A21" s="35" t="s">
        <v>27</v>
      </c>
      <c r="B21" s="28" t="s">
        <v>12</v>
      </c>
      <c r="C21" s="28" t="s">
        <v>14</v>
      </c>
      <c r="D21" s="28" t="s">
        <v>28</v>
      </c>
      <c r="E21" s="28"/>
      <c r="F21" s="31">
        <f t="shared" si="1"/>
        <v>0</v>
      </c>
      <c r="G21" s="31">
        <f t="shared" si="1"/>
        <v>0</v>
      </c>
      <c r="H21" s="31">
        <f t="shared" si="1"/>
        <v>0</v>
      </c>
    </row>
    <row r="22" spans="1:10" s="32" customFormat="1" ht="125.25" hidden="1" customHeight="1">
      <c r="A22" s="36" t="s">
        <v>29</v>
      </c>
      <c r="B22" s="28" t="s">
        <v>12</v>
      </c>
      <c r="C22" s="28" t="s">
        <v>14</v>
      </c>
      <c r="D22" s="30" t="s">
        <v>30</v>
      </c>
      <c r="E22" s="28"/>
      <c r="F22" s="31">
        <f t="shared" si="1"/>
        <v>0</v>
      </c>
      <c r="G22" s="31">
        <f t="shared" si="1"/>
        <v>0</v>
      </c>
      <c r="H22" s="31">
        <f t="shared" si="1"/>
        <v>0</v>
      </c>
    </row>
    <row r="23" spans="1:10" s="32" customFormat="1" ht="27" hidden="1" customHeight="1">
      <c r="A23" s="36" t="s">
        <v>22</v>
      </c>
      <c r="B23" s="28" t="s">
        <v>12</v>
      </c>
      <c r="C23" s="28" t="s">
        <v>14</v>
      </c>
      <c r="D23" s="30" t="s">
        <v>30</v>
      </c>
      <c r="E23" s="28" t="s">
        <v>24</v>
      </c>
      <c r="F23" s="31"/>
      <c r="G23" s="31">
        <v>0</v>
      </c>
      <c r="H23" s="31">
        <v>0</v>
      </c>
    </row>
    <row r="24" spans="1:10" s="24" customFormat="1" ht="37.5" customHeight="1">
      <c r="A24" s="37" t="s">
        <v>31</v>
      </c>
      <c r="B24" s="22" t="s">
        <v>12</v>
      </c>
      <c r="C24" s="22" t="s">
        <v>32</v>
      </c>
      <c r="D24" s="22"/>
      <c r="E24" s="22"/>
      <c r="F24" s="23">
        <f>F25+F31</f>
        <v>750</v>
      </c>
      <c r="G24" s="23">
        <f>G25+G31</f>
        <v>750</v>
      </c>
      <c r="H24" s="23">
        <f>H25+H31</f>
        <v>750</v>
      </c>
    </row>
    <row r="25" spans="1:10" s="32" customFormat="1" ht="23.25" customHeight="1">
      <c r="A25" s="38" t="s">
        <v>33</v>
      </c>
      <c r="B25" s="28" t="s">
        <v>12</v>
      </c>
      <c r="C25" s="28" t="s">
        <v>32</v>
      </c>
      <c r="D25" s="28" t="s">
        <v>34</v>
      </c>
      <c r="E25" s="28"/>
      <c r="F25" s="31">
        <f>F26</f>
        <v>750</v>
      </c>
      <c r="G25" s="31">
        <f>G26</f>
        <v>750</v>
      </c>
      <c r="H25" s="31">
        <f>H26</f>
        <v>750</v>
      </c>
    </row>
    <row r="26" spans="1:10" s="32" customFormat="1" ht="17.25" customHeight="1">
      <c r="A26" s="39" t="s">
        <v>35</v>
      </c>
      <c r="B26" s="28" t="s">
        <v>12</v>
      </c>
      <c r="C26" s="28" t="s">
        <v>32</v>
      </c>
      <c r="D26" s="28" t="s">
        <v>36</v>
      </c>
      <c r="E26" s="28"/>
      <c r="F26" s="31">
        <f>F27+F28+F30+F29</f>
        <v>750</v>
      </c>
      <c r="G26" s="31">
        <f>G27+G28+G30+G29</f>
        <v>750</v>
      </c>
      <c r="H26" s="31">
        <f>H27+H28+H30+H29</f>
        <v>750</v>
      </c>
    </row>
    <row r="27" spans="1:10" s="32" customFormat="1" ht="23.25" hidden="1" customHeight="1">
      <c r="A27" s="36" t="s">
        <v>22</v>
      </c>
      <c r="B27" s="28" t="s">
        <v>12</v>
      </c>
      <c r="C27" s="28" t="s">
        <v>32</v>
      </c>
      <c r="D27" s="28" t="s">
        <v>36</v>
      </c>
      <c r="E27" s="28" t="s">
        <v>24</v>
      </c>
      <c r="F27" s="31">
        <v>0</v>
      </c>
      <c r="G27" s="31">
        <v>0</v>
      </c>
      <c r="H27" s="31">
        <v>0</v>
      </c>
    </row>
    <row r="28" spans="1:10" s="32" customFormat="1" ht="25.5" customHeight="1">
      <c r="A28" s="39" t="s">
        <v>37</v>
      </c>
      <c r="B28" s="28" t="s">
        <v>12</v>
      </c>
      <c r="C28" s="28" t="s">
        <v>32</v>
      </c>
      <c r="D28" s="28" t="s">
        <v>36</v>
      </c>
      <c r="E28" s="28" t="s">
        <v>38</v>
      </c>
      <c r="F28" s="31">
        <v>750</v>
      </c>
      <c r="G28" s="31">
        <v>750</v>
      </c>
      <c r="H28" s="31">
        <v>750</v>
      </c>
    </row>
    <row r="29" spans="1:10" s="32" customFormat="1" ht="25.5" hidden="1" customHeight="1">
      <c r="A29" s="40" t="s">
        <v>39</v>
      </c>
      <c r="B29" s="28" t="s">
        <v>12</v>
      </c>
      <c r="C29" s="28" t="s">
        <v>32</v>
      </c>
      <c r="D29" s="28" t="s">
        <v>36</v>
      </c>
      <c r="E29" s="28" t="s">
        <v>40</v>
      </c>
      <c r="F29" s="31"/>
      <c r="G29" s="31"/>
      <c r="H29" s="31"/>
    </row>
    <row r="30" spans="1:10" s="32" customFormat="1" ht="14.25" hidden="1" customHeight="1">
      <c r="A30" s="36" t="s">
        <v>41</v>
      </c>
      <c r="B30" s="28" t="s">
        <v>12</v>
      </c>
      <c r="C30" s="28" t="s">
        <v>32</v>
      </c>
      <c r="D30" s="28" t="s">
        <v>36</v>
      </c>
      <c r="E30" s="28" t="s">
        <v>42</v>
      </c>
      <c r="F30" s="31"/>
      <c r="G30" s="31"/>
      <c r="H30" s="31"/>
    </row>
    <row r="31" spans="1:10" s="32" customFormat="1" ht="24.75" hidden="1" customHeight="1">
      <c r="A31" s="34" t="s">
        <v>25</v>
      </c>
      <c r="B31" s="28" t="s">
        <v>12</v>
      </c>
      <c r="C31" s="28" t="s">
        <v>32</v>
      </c>
      <c r="D31" s="28" t="s">
        <v>17</v>
      </c>
      <c r="E31" s="28"/>
      <c r="F31" s="31">
        <f t="shared" ref="F31:H34" si="2">F32</f>
        <v>0</v>
      </c>
      <c r="G31" s="31">
        <f t="shared" si="2"/>
        <v>0</v>
      </c>
      <c r="H31" s="31">
        <f t="shared" si="2"/>
        <v>0</v>
      </c>
    </row>
    <row r="32" spans="1:10" s="32" customFormat="1" ht="40.5" hidden="1" customHeight="1">
      <c r="A32" s="34" t="s">
        <v>26</v>
      </c>
      <c r="B32" s="28" t="s">
        <v>12</v>
      </c>
      <c r="C32" s="28" t="s">
        <v>32</v>
      </c>
      <c r="D32" s="28" t="s">
        <v>19</v>
      </c>
      <c r="E32" s="28"/>
      <c r="F32" s="31">
        <f t="shared" si="2"/>
        <v>0</v>
      </c>
      <c r="G32" s="31">
        <f t="shared" si="2"/>
        <v>0</v>
      </c>
      <c r="H32" s="31">
        <f t="shared" si="2"/>
        <v>0</v>
      </c>
    </row>
    <row r="33" spans="1:9" s="32" customFormat="1" ht="26.25" hidden="1" customHeight="1">
      <c r="A33" s="35" t="s">
        <v>27</v>
      </c>
      <c r="B33" s="28" t="s">
        <v>12</v>
      </c>
      <c r="C33" s="28" t="s">
        <v>32</v>
      </c>
      <c r="D33" s="28" t="s">
        <v>28</v>
      </c>
      <c r="E33" s="28"/>
      <c r="F33" s="31">
        <f t="shared" si="2"/>
        <v>0</v>
      </c>
      <c r="G33" s="31">
        <f t="shared" si="2"/>
        <v>0</v>
      </c>
      <c r="H33" s="31">
        <f t="shared" si="2"/>
        <v>0</v>
      </c>
    </row>
    <row r="34" spans="1:9" s="32" customFormat="1" ht="118.5" hidden="1" customHeight="1">
      <c r="A34" s="36" t="s">
        <v>29</v>
      </c>
      <c r="B34" s="28" t="s">
        <v>12</v>
      </c>
      <c r="C34" s="28" t="s">
        <v>32</v>
      </c>
      <c r="D34" s="30" t="s">
        <v>30</v>
      </c>
      <c r="E34" s="28"/>
      <c r="F34" s="31">
        <f t="shared" si="2"/>
        <v>0</v>
      </c>
      <c r="G34" s="31">
        <f t="shared" si="2"/>
        <v>0</v>
      </c>
      <c r="H34" s="31">
        <f t="shared" si="2"/>
        <v>0</v>
      </c>
    </row>
    <row r="35" spans="1:9" s="32" customFormat="1" ht="24" hidden="1" customHeight="1">
      <c r="A35" s="36" t="s">
        <v>22</v>
      </c>
      <c r="B35" s="28" t="s">
        <v>12</v>
      </c>
      <c r="C35" s="28" t="s">
        <v>32</v>
      </c>
      <c r="D35" s="30" t="s">
        <v>30</v>
      </c>
      <c r="E35" s="28" t="s">
        <v>24</v>
      </c>
      <c r="F35" s="31"/>
      <c r="G35" s="31">
        <v>0</v>
      </c>
      <c r="H35" s="31">
        <v>0</v>
      </c>
    </row>
    <row r="36" spans="1:9" s="24" customFormat="1" ht="37.5" customHeight="1">
      <c r="A36" s="41" t="s">
        <v>43</v>
      </c>
      <c r="B36" s="22" t="s">
        <v>12</v>
      </c>
      <c r="C36" s="22" t="s">
        <v>44</v>
      </c>
      <c r="D36" s="22"/>
      <c r="E36" s="22"/>
      <c r="F36" s="23">
        <f>F40+F46+F61+F72+F67+F37</f>
        <v>50660.500000000007</v>
      </c>
      <c r="G36" s="23">
        <f>G40+G46+G61+G72+G67+G37</f>
        <v>52088.600000000013</v>
      </c>
      <c r="H36" s="23">
        <f>H40+H46+H61+H72+H67+H37</f>
        <v>52100.30000000001</v>
      </c>
    </row>
    <row r="37" spans="1:9" s="24" customFormat="1" ht="16.5" hidden="1" customHeight="1">
      <c r="A37" s="35" t="s">
        <v>45</v>
      </c>
      <c r="B37" s="28" t="s">
        <v>12</v>
      </c>
      <c r="C37" s="28" t="s">
        <v>44</v>
      </c>
      <c r="D37" s="29" t="s">
        <v>46</v>
      </c>
      <c r="E37" s="28"/>
      <c r="F37" s="26">
        <f t="shared" ref="F37:H38" si="3">F38</f>
        <v>0</v>
      </c>
      <c r="G37" s="26">
        <f t="shared" si="3"/>
        <v>0</v>
      </c>
      <c r="H37" s="26">
        <f t="shared" si="3"/>
        <v>0</v>
      </c>
    </row>
    <row r="38" spans="1:9" s="24" customFormat="1" ht="18" hidden="1" customHeight="1">
      <c r="A38" s="35" t="s">
        <v>47</v>
      </c>
      <c r="B38" s="28" t="s">
        <v>12</v>
      </c>
      <c r="C38" s="28" t="s">
        <v>44</v>
      </c>
      <c r="D38" s="29" t="s">
        <v>48</v>
      </c>
      <c r="E38" s="28"/>
      <c r="F38" s="26">
        <f t="shared" si="3"/>
        <v>0</v>
      </c>
      <c r="G38" s="26">
        <f t="shared" si="3"/>
        <v>0</v>
      </c>
      <c r="H38" s="26">
        <f t="shared" si="3"/>
        <v>0</v>
      </c>
    </row>
    <row r="39" spans="1:9" s="24" customFormat="1" ht="28.5" hidden="1" customHeight="1">
      <c r="A39" s="35" t="s">
        <v>49</v>
      </c>
      <c r="B39" s="28" t="s">
        <v>12</v>
      </c>
      <c r="C39" s="28" t="s">
        <v>44</v>
      </c>
      <c r="D39" s="29" t="s">
        <v>48</v>
      </c>
      <c r="E39" s="28" t="s">
        <v>38</v>
      </c>
      <c r="F39" s="26">
        <v>0</v>
      </c>
      <c r="G39" s="26">
        <v>0</v>
      </c>
      <c r="H39" s="26">
        <v>0</v>
      </c>
    </row>
    <row r="40" spans="1:9" s="32" customFormat="1" ht="38.25" customHeight="1">
      <c r="A40" s="42" t="s">
        <v>50</v>
      </c>
      <c r="B40" s="28" t="s">
        <v>12</v>
      </c>
      <c r="C40" s="28" t="s">
        <v>44</v>
      </c>
      <c r="D40" s="29" t="s">
        <v>51</v>
      </c>
      <c r="E40" s="28"/>
      <c r="F40" s="31">
        <f t="shared" ref="F40:H42" si="4">F41</f>
        <v>994.8</v>
      </c>
      <c r="G40" s="31">
        <f t="shared" si="4"/>
        <v>994.8</v>
      </c>
      <c r="H40" s="31">
        <f t="shared" si="4"/>
        <v>994.8</v>
      </c>
    </row>
    <row r="41" spans="1:9" s="32" customFormat="1" ht="24.75" customHeight="1">
      <c r="A41" s="43" t="s">
        <v>52</v>
      </c>
      <c r="B41" s="28" t="s">
        <v>12</v>
      </c>
      <c r="C41" s="28" t="s">
        <v>44</v>
      </c>
      <c r="D41" s="29" t="s">
        <v>53</v>
      </c>
      <c r="E41" s="28"/>
      <c r="F41" s="31">
        <f t="shared" si="4"/>
        <v>994.8</v>
      </c>
      <c r="G41" s="31">
        <f t="shared" si="4"/>
        <v>994.8</v>
      </c>
      <c r="H41" s="31">
        <f t="shared" si="4"/>
        <v>994.8</v>
      </c>
    </row>
    <row r="42" spans="1:9" s="32" customFormat="1" ht="38.25" customHeight="1">
      <c r="A42" s="43" t="s">
        <v>54</v>
      </c>
      <c r="B42" s="28" t="s">
        <v>12</v>
      </c>
      <c r="C42" s="28" t="s">
        <v>44</v>
      </c>
      <c r="D42" s="29" t="s">
        <v>55</v>
      </c>
      <c r="E42" s="28"/>
      <c r="F42" s="31">
        <f t="shared" si="4"/>
        <v>994.8</v>
      </c>
      <c r="G42" s="31">
        <f t="shared" si="4"/>
        <v>994.8</v>
      </c>
      <c r="H42" s="31">
        <f t="shared" si="4"/>
        <v>994.8</v>
      </c>
    </row>
    <row r="43" spans="1:9" s="32" customFormat="1" ht="103.5" customHeight="1">
      <c r="A43" s="44" t="s">
        <v>56</v>
      </c>
      <c r="B43" s="28" t="s">
        <v>12</v>
      </c>
      <c r="C43" s="28" t="s">
        <v>44</v>
      </c>
      <c r="D43" s="45" t="s">
        <v>57</v>
      </c>
      <c r="E43" s="28"/>
      <c r="F43" s="31">
        <f>F45+F44</f>
        <v>994.8</v>
      </c>
      <c r="G43" s="31">
        <f>G45+G44</f>
        <v>994.8</v>
      </c>
      <c r="H43" s="31">
        <f>H45+H44</f>
        <v>994.8</v>
      </c>
    </row>
    <row r="44" spans="1:9" s="32" customFormat="1" ht="27.75" customHeight="1">
      <c r="A44" s="39" t="s">
        <v>22</v>
      </c>
      <c r="B44" s="28" t="s">
        <v>12</v>
      </c>
      <c r="C44" s="28" t="s">
        <v>44</v>
      </c>
      <c r="D44" s="45" t="s">
        <v>57</v>
      </c>
      <c r="E44" s="28" t="s">
        <v>24</v>
      </c>
      <c r="F44" s="31">
        <v>710.6</v>
      </c>
      <c r="G44" s="31">
        <v>710.6</v>
      </c>
      <c r="H44" s="31">
        <v>710.6</v>
      </c>
      <c r="I44"/>
    </row>
    <row r="45" spans="1:9" s="32" customFormat="1" ht="24.75" customHeight="1">
      <c r="A45" s="39" t="s">
        <v>37</v>
      </c>
      <c r="B45" s="28" t="s">
        <v>12</v>
      </c>
      <c r="C45" s="28" t="s">
        <v>44</v>
      </c>
      <c r="D45" s="45" t="s">
        <v>57</v>
      </c>
      <c r="E45" s="28" t="s">
        <v>38</v>
      </c>
      <c r="F45" s="31">
        <v>284.2</v>
      </c>
      <c r="G45" s="31">
        <v>284.2</v>
      </c>
      <c r="H45" s="31">
        <v>284.2</v>
      </c>
    </row>
    <row r="46" spans="1:9" s="32" customFormat="1" ht="24.75" customHeight="1">
      <c r="A46" s="46" t="s">
        <v>15</v>
      </c>
      <c r="B46" s="28" t="s">
        <v>12</v>
      </c>
      <c r="C46" s="28" t="s">
        <v>44</v>
      </c>
      <c r="D46" s="45" t="s">
        <v>17</v>
      </c>
      <c r="E46" s="28"/>
      <c r="F46" s="31">
        <f>F47</f>
        <v>47350.9</v>
      </c>
      <c r="G46" s="31">
        <f>G47</f>
        <v>48632.900000000009</v>
      </c>
      <c r="H46" s="31">
        <f>H47</f>
        <v>48646.000000000007</v>
      </c>
      <c r="I46" s="33"/>
    </row>
    <row r="47" spans="1:9" s="32" customFormat="1" ht="39.75" customHeight="1">
      <c r="A47" s="47" t="s">
        <v>16</v>
      </c>
      <c r="B47" s="28" t="s">
        <v>12</v>
      </c>
      <c r="C47" s="28" t="s">
        <v>44</v>
      </c>
      <c r="D47" s="30" t="s">
        <v>19</v>
      </c>
      <c r="E47" s="28"/>
      <c r="F47" s="31">
        <f>F48+F58</f>
        <v>47350.9</v>
      </c>
      <c r="G47" s="31">
        <f>G48+G58</f>
        <v>48632.900000000009</v>
      </c>
      <c r="H47" s="31">
        <f>H48+H58</f>
        <v>48646.000000000007</v>
      </c>
    </row>
    <row r="48" spans="1:9" s="32" customFormat="1" ht="25.5">
      <c r="A48" s="47" t="s">
        <v>58</v>
      </c>
      <c r="B48" s="28" t="s">
        <v>12</v>
      </c>
      <c r="C48" s="28" t="s">
        <v>44</v>
      </c>
      <c r="D48" s="45" t="s">
        <v>21</v>
      </c>
      <c r="E48" s="28"/>
      <c r="F48" s="31">
        <f>F49+F56+F53</f>
        <v>47350.9</v>
      </c>
      <c r="G48" s="31">
        <f>G49+G56+G53</f>
        <v>48632.900000000009</v>
      </c>
      <c r="H48" s="31">
        <f>H49+H56+H53</f>
        <v>48646.000000000007</v>
      </c>
    </row>
    <row r="49" spans="1:12" s="32" customFormat="1" ht="16.5" customHeight="1">
      <c r="A49" s="39" t="s">
        <v>35</v>
      </c>
      <c r="B49" s="28" t="s">
        <v>12</v>
      </c>
      <c r="C49" s="28" t="s">
        <v>44</v>
      </c>
      <c r="D49" s="30" t="s">
        <v>59</v>
      </c>
      <c r="E49" s="28"/>
      <c r="F49" s="31">
        <f>F50+F51+F52</f>
        <v>36270.200000000004</v>
      </c>
      <c r="G49" s="31">
        <f>G50+G51+G52</f>
        <v>37551.600000000006</v>
      </c>
      <c r="H49" s="31">
        <f>H50+H51+H52</f>
        <v>37564.200000000004</v>
      </c>
    </row>
    <row r="50" spans="1:12" s="32" customFormat="1" ht="24.75" customHeight="1">
      <c r="A50" s="39" t="s">
        <v>22</v>
      </c>
      <c r="B50" s="28" t="s">
        <v>12</v>
      </c>
      <c r="C50" s="28" t="s">
        <v>44</v>
      </c>
      <c r="D50" s="30" t="s">
        <v>59</v>
      </c>
      <c r="E50" s="28" t="s">
        <v>24</v>
      </c>
      <c r="F50" s="31">
        <f>22322.9+6188.2+1169.7+181-252.5-221.7-710.6-673.7-10859+975.5+3327+975.5+3337.6+14.1+10.3-500-500</f>
        <v>24784.3</v>
      </c>
      <c r="G50" s="31">
        <f>22322.9+6188.2+1169.7+181-252.6-222.3-710.6-673.7-10859+975.5+3327+975.5+3337.6</f>
        <v>25759.200000000004</v>
      </c>
      <c r="H50" s="31">
        <f>22322.9+6188.2+1169.7+181-251.5-222.8-710.6-673.7-10859+975.5+3327+975.5+3337.6</f>
        <v>25759.800000000003</v>
      </c>
      <c r="I50" s="48"/>
      <c r="L50" s="33"/>
    </row>
    <row r="51" spans="1:12" s="32" customFormat="1" ht="24.75" customHeight="1">
      <c r="A51" s="39" t="s">
        <v>37</v>
      </c>
      <c r="B51" s="28" t="s">
        <v>12</v>
      </c>
      <c r="C51" s="28" t="s">
        <v>44</v>
      </c>
      <c r="D51" s="30" t="s">
        <v>59</v>
      </c>
      <c r="E51" s="28" t="s">
        <v>38</v>
      </c>
      <c r="F51" s="31">
        <f>11018.6+2825.5+884-150-3363.1</f>
        <v>11215</v>
      </c>
      <c r="G51" s="31">
        <f>11018.6+2825.5+884-906.6-2000-300</f>
        <v>11521.5</v>
      </c>
      <c r="H51" s="31">
        <f>11018.6+2825.5+884-1894.6-1000-300</f>
        <v>11533.5</v>
      </c>
      <c r="I51" s="49"/>
    </row>
    <row r="52" spans="1:12" s="32" customFormat="1" ht="18.75" customHeight="1">
      <c r="A52" s="39" t="s">
        <v>41</v>
      </c>
      <c r="B52" s="28" t="s">
        <v>12</v>
      </c>
      <c r="C52" s="28" t="s">
        <v>44</v>
      </c>
      <c r="D52" s="30" t="s">
        <v>59</v>
      </c>
      <c r="E52" s="28" t="s">
        <v>42</v>
      </c>
      <c r="F52" s="31">
        <v>270.89999999999998</v>
      </c>
      <c r="G52" s="26">
        <v>270.89999999999998</v>
      </c>
      <c r="H52" s="26">
        <v>270.89999999999998</v>
      </c>
    </row>
    <row r="53" spans="1:12" s="32" customFormat="1" ht="24.75" customHeight="1">
      <c r="A53" s="39" t="s">
        <v>60</v>
      </c>
      <c r="B53" s="28" t="s">
        <v>12</v>
      </c>
      <c r="C53" s="28" t="s">
        <v>44</v>
      </c>
      <c r="D53" s="30" t="s">
        <v>61</v>
      </c>
      <c r="E53" s="28"/>
      <c r="F53" s="31">
        <f>F54+F55</f>
        <v>10859</v>
      </c>
      <c r="G53" s="31">
        <f>G54+G55</f>
        <v>10859</v>
      </c>
      <c r="H53" s="31">
        <f>H54+H55</f>
        <v>10859</v>
      </c>
    </row>
    <row r="54" spans="1:12" s="32" customFormat="1" ht="27.75" customHeight="1">
      <c r="A54" s="39" t="s">
        <v>22</v>
      </c>
      <c r="B54" s="28" t="s">
        <v>12</v>
      </c>
      <c r="C54" s="28" t="s">
        <v>44</v>
      </c>
      <c r="D54" s="30" t="s">
        <v>61</v>
      </c>
      <c r="E54" s="28" t="s">
        <v>24</v>
      </c>
      <c r="F54" s="31">
        <v>10859</v>
      </c>
      <c r="G54" s="31">
        <v>10859</v>
      </c>
      <c r="H54" s="31">
        <v>10859</v>
      </c>
    </row>
    <row r="55" spans="1:12" s="32" customFormat="1" ht="27.75" hidden="1" customHeight="1">
      <c r="A55" s="40" t="s">
        <v>39</v>
      </c>
      <c r="B55" s="28" t="s">
        <v>12</v>
      </c>
      <c r="C55" s="28" t="s">
        <v>44</v>
      </c>
      <c r="D55" s="30" t="s">
        <v>61</v>
      </c>
      <c r="E55" s="28" t="s">
        <v>40</v>
      </c>
      <c r="F55" s="31"/>
      <c r="G55" s="31"/>
      <c r="H55" s="31"/>
    </row>
    <row r="56" spans="1:12" s="32" customFormat="1" ht="74.25" customHeight="1">
      <c r="A56" s="39" t="s">
        <v>62</v>
      </c>
      <c r="B56" s="28" t="s">
        <v>12</v>
      </c>
      <c r="C56" s="28" t="s">
        <v>44</v>
      </c>
      <c r="D56" s="30" t="s">
        <v>63</v>
      </c>
      <c r="E56" s="28"/>
      <c r="F56" s="31">
        <f>F57</f>
        <v>221.7</v>
      </c>
      <c r="G56" s="31">
        <f>G57</f>
        <v>222.3</v>
      </c>
      <c r="H56" s="31">
        <f>H57</f>
        <v>222.8</v>
      </c>
    </row>
    <row r="57" spans="1:12" s="32" customFormat="1" ht="24.75" customHeight="1">
      <c r="A57" s="39" t="s">
        <v>22</v>
      </c>
      <c r="B57" s="28" t="s">
        <v>12</v>
      </c>
      <c r="C57" s="28" t="s">
        <v>44</v>
      </c>
      <c r="D57" s="30" t="s">
        <v>63</v>
      </c>
      <c r="E57" s="28" t="s">
        <v>24</v>
      </c>
      <c r="F57" s="31">
        <f>221.7</f>
        <v>221.7</v>
      </c>
      <c r="G57" s="31">
        <f>222.3</f>
        <v>222.3</v>
      </c>
      <c r="H57" s="31">
        <f>222.8</f>
        <v>222.8</v>
      </c>
    </row>
    <row r="58" spans="1:12" s="32" customFormat="1" ht="24" hidden="1" customHeight="1">
      <c r="A58" s="35" t="s">
        <v>27</v>
      </c>
      <c r="B58" s="28" t="s">
        <v>12</v>
      </c>
      <c r="C58" s="28" t="s">
        <v>44</v>
      </c>
      <c r="D58" s="30" t="s">
        <v>28</v>
      </c>
      <c r="E58" s="28"/>
      <c r="F58" s="31">
        <f t="shared" ref="F58:H59" si="5">F59</f>
        <v>0</v>
      </c>
      <c r="G58" s="31">
        <f t="shared" si="5"/>
        <v>0</v>
      </c>
      <c r="H58" s="31">
        <f t="shared" si="5"/>
        <v>0</v>
      </c>
    </row>
    <row r="59" spans="1:12" s="32" customFormat="1" ht="121.5" hidden="1" customHeight="1">
      <c r="A59" s="36" t="s">
        <v>29</v>
      </c>
      <c r="B59" s="28" t="s">
        <v>12</v>
      </c>
      <c r="C59" s="28" t="s">
        <v>44</v>
      </c>
      <c r="D59" s="30" t="s">
        <v>30</v>
      </c>
      <c r="E59" s="28"/>
      <c r="F59" s="31">
        <f t="shared" si="5"/>
        <v>0</v>
      </c>
      <c r="G59" s="31">
        <f t="shared" si="5"/>
        <v>0</v>
      </c>
      <c r="H59" s="31">
        <f t="shared" si="5"/>
        <v>0</v>
      </c>
    </row>
    <row r="60" spans="1:12" s="32" customFormat="1" ht="26.25" hidden="1" customHeight="1">
      <c r="A60" s="36" t="s">
        <v>22</v>
      </c>
      <c r="B60" s="28" t="s">
        <v>12</v>
      </c>
      <c r="C60" s="28" t="s">
        <v>44</v>
      </c>
      <c r="D60" s="30" t="s">
        <v>30</v>
      </c>
      <c r="E60" s="28" t="s">
        <v>24</v>
      </c>
      <c r="F60" s="31"/>
      <c r="G60" s="26">
        <v>0</v>
      </c>
      <c r="H60" s="26">
        <v>0</v>
      </c>
    </row>
    <row r="61" spans="1:12" s="32" customFormat="1" ht="39.75" customHeight="1">
      <c r="A61" s="46" t="s">
        <v>64</v>
      </c>
      <c r="B61" s="28" t="s">
        <v>12</v>
      </c>
      <c r="C61" s="28" t="s">
        <v>44</v>
      </c>
      <c r="D61" s="45" t="s">
        <v>65</v>
      </c>
      <c r="E61" s="28"/>
      <c r="F61" s="31">
        <f t="shared" ref="F61:H63" si="6">F62</f>
        <v>852.80000000000007</v>
      </c>
      <c r="G61" s="31">
        <f t="shared" si="6"/>
        <v>852.80000000000007</v>
      </c>
      <c r="H61" s="31">
        <f t="shared" si="6"/>
        <v>852.80000000000007</v>
      </c>
    </row>
    <row r="62" spans="1:12" s="32" customFormat="1" ht="24.75" customHeight="1">
      <c r="A62" s="44" t="s">
        <v>66</v>
      </c>
      <c r="B62" s="28" t="s">
        <v>12</v>
      </c>
      <c r="C62" s="28" t="s">
        <v>44</v>
      </c>
      <c r="D62" s="45" t="s">
        <v>67</v>
      </c>
      <c r="E62" s="28"/>
      <c r="F62" s="31">
        <f t="shared" si="6"/>
        <v>852.80000000000007</v>
      </c>
      <c r="G62" s="31">
        <f t="shared" si="6"/>
        <v>852.80000000000007</v>
      </c>
      <c r="H62" s="31">
        <f t="shared" si="6"/>
        <v>852.80000000000007</v>
      </c>
    </row>
    <row r="63" spans="1:12" s="32" customFormat="1" ht="24.75" customHeight="1">
      <c r="A63" s="50" t="s">
        <v>68</v>
      </c>
      <c r="B63" s="28" t="s">
        <v>12</v>
      </c>
      <c r="C63" s="28" t="s">
        <v>44</v>
      </c>
      <c r="D63" s="45" t="s">
        <v>69</v>
      </c>
      <c r="E63" s="28"/>
      <c r="F63" s="31">
        <f t="shared" si="6"/>
        <v>852.80000000000007</v>
      </c>
      <c r="G63" s="31">
        <f t="shared" si="6"/>
        <v>852.80000000000007</v>
      </c>
      <c r="H63" s="31">
        <f t="shared" si="6"/>
        <v>852.80000000000007</v>
      </c>
    </row>
    <row r="64" spans="1:12" s="32" customFormat="1" ht="67.5" customHeight="1">
      <c r="A64" s="50" t="s">
        <v>70</v>
      </c>
      <c r="B64" s="28" t="s">
        <v>12</v>
      </c>
      <c r="C64" s="28" t="s">
        <v>44</v>
      </c>
      <c r="D64" s="45" t="s">
        <v>71</v>
      </c>
      <c r="E64" s="28"/>
      <c r="F64" s="31">
        <f>F65+F66</f>
        <v>852.80000000000007</v>
      </c>
      <c r="G64" s="31">
        <f>G65+G66</f>
        <v>852.80000000000007</v>
      </c>
      <c r="H64" s="31">
        <f>H65+H66</f>
        <v>852.80000000000007</v>
      </c>
    </row>
    <row r="65" spans="1:9" s="32" customFormat="1" ht="24.75" customHeight="1">
      <c r="A65" s="50" t="s">
        <v>22</v>
      </c>
      <c r="B65" s="28" t="s">
        <v>12</v>
      </c>
      <c r="C65" s="28" t="s">
        <v>44</v>
      </c>
      <c r="D65" s="45" t="s">
        <v>71</v>
      </c>
      <c r="E65" s="28" t="s">
        <v>24</v>
      </c>
      <c r="F65" s="31">
        <v>673.7</v>
      </c>
      <c r="G65" s="31">
        <v>673.7</v>
      </c>
      <c r="H65" s="31">
        <v>673.7</v>
      </c>
      <c r="I65"/>
    </row>
    <row r="66" spans="1:9" s="32" customFormat="1" ht="24.75" customHeight="1">
      <c r="A66" s="50" t="s">
        <v>37</v>
      </c>
      <c r="B66" s="28" t="s">
        <v>12</v>
      </c>
      <c r="C66" s="28" t="s">
        <v>44</v>
      </c>
      <c r="D66" s="45" t="s">
        <v>71</v>
      </c>
      <c r="E66" s="28" t="s">
        <v>38</v>
      </c>
      <c r="F66" s="31">
        <v>179.1</v>
      </c>
      <c r="G66" s="31">
        <v>179.1</v>
      </c>
      <c r="H66" s="31">
        <v>179.1</v>
      </c>
    </row>
    <row r="67" spans="1:9" s="32" customFormat="1" ht="36" customHeight="1">
      <c r="A67" s="51" t="s">
        <v>72</v>
      </c>
      <c r="B67" s="28" t="s">
        <v>12</v>
      </c>
      <c r="C67" s="28" t="s">
        <v>44</v>
      </c>
      <c r="D67" s="45" t="s">
        <v>73</v>
      </c>
      <c r="E67" s="28"/>
      <c r="F67" s="31">
        <f t="shared" ref="F67:H68" si="7">F68</f>
        <v>307.89999999999998</v>
      </c>
      <c r="G67" s="31">
        <f t="shared" si="7"/>
        <v>308.10000000000002</v>
      </c>
      <c r="H67" s="31">
        <f t="shared" si="7"/>
        <v>306.7</v>
      </c>
    </row>
    <row r="68" spans="1:9" s="32" customFormat="1" ht="24.75" customHeight="1">
      <c r="A68" s="39" t="s">
        <v>74</v>
      </c>
      <c r="B68" s="28" t="s">
        <v>12</v>
      </c>
      <c r="C68" s="28" t="s">
        <v>44</v>
      </c>
      <c r="D68" s="30" t="s">
        <v>75</v>
      </c>
      <c r="E68" s="28"/>
      <c r="F68" s="31">
        <f t="shared" si="7"/>
        <v>307.89999999999998</v>
      </c>
      <c r="G68" s="31">
        <f t="shared" si="7"/>
        <v>308.10000000000002</v>
      </c>
      <c r="H68" s="31">
        <f t="shared" si="7"/>
        <v>306.7</v>
      </c>
    </row>
    <row r="69" spans="1:9" s="32" customFormat="1" ht="63.75" customHeight="1">
      <c r="A69" s="52" t="s">
        <v>76</v>
      </c>
      <c r="B69" s="28" t="s">
        <v>12</v>
      </c>
      <c r="C69" s="28" t="s">
        <v>44</v>
      </c>
      <c r="D69" s="30" t="s">
        <v>77</v>
      </c>
      <c r="E69" s="28"/>
      <c r="F69" s="31">
        <f>F70+F71</f>
        <v>307.89999999999998</v>
      </c>
      <c r="G69" s="31">
        <f>G70+G71</f>
        <v>308.10000000000002</v>
      </c>
      <c r="H69" s="31">
        <f>H70+H71</f>
        <v>306.7</v>
      </c>
    </row>
    <row r="70" spans="1:9" s="32" customFormat="1" ht="24.75" customHeight="1">
      <c r="A70" s="39" t="s">
        <v>22</v>
      </c>
      <c r="B70" s="28" t="s">
        <v>12</v>
      </c>
      <c r="C70" s="28" t="s">
        <v>44</v>
      </c>
      <c r="D70" s="30" t="s">
        <v>77</v>
      </c>
      <c r="E70" s="28" t="s">
        <v>24</v>
      </c>
      <c r="F70" s="31">
        <v>252.5</v>
      </c>
      <c r="G70" s="31">
        <v>252.6</v>
      </c>
      <c r="H70" s="31">
        <v>251.5</v>
      </c>
      <c r="I70"/>
    </row>
    <row r="71" spans="1:9" s="32" customFormat="1" ht="24.75" customHeight="1">
      <c r="A71" s="39" t="s">
        <v>37</v>
      </c>
      <c r="B71" s="28" t="s">
        <v>12</v>
      </c>
      <c r="C71" s="28" t="s">
        <v>44</v>
      </c>
      <c r="D71" s="30" t="s">
        <v>77</v>
      </c>
      <c r="E71" s="28" t="s">
        <v>38</v>
      </c>
      <c r="F71" s="31">
        <v>55.4</v>
      </c>
      <c r="G71" s="31">
        <v>55.5</v>
      </c>
      <c r="H71" s="31">
        <v>55.2</v>
      </c>
    </row>
    <row r="72" spans="1:9" s="32" customFormat="1" ht="24.75" customHeight="1">
      <c r="A72" s="53" t="s">
        <v>78</v>
      </c>
      <c r="B72" s="28" t="s">
        <v>12</v>
      </c>
      <c r="C72" s="28" t="s">
        <v>44</v>
      </c>
      <c r="D72" s="45" t="s">
        <v>79</v>
      </c>
      <c r="E72" s="28"/>
      <c r="F72" s="31">
        <f>F73+F76</f>
        <v>1154.0999999999999</v>
      </c>
      <c r="G72" s="31">
        <f>G73+G76</f>
        <v>1300</v>
      </c>
      <c r="H72" s="31">
        <f>H73+H76</f>
        <v>1300</v>
      </c>
    </row>
    <row r="73" spans="1:9" s="32" customFormat="1" ht="39.75" customHeight="1">
      <c r="A73" s="39" t="s">
        <v>80</v>
      </c>
      <c r="B73" s="28" t="s">
        <v>12</v>
      </c>
      <c r="C73" s="28" t="s">
        <v>44</v>
      </c>
      <c r="D73" s="30" t="s">
        <v>81</v>
      </c>
      <c r="E73" s="28"/>
      <c r="F73" s="31">
        <f t="shared" ref="F73:H74" si="8">F74</f>
        <v>353</v>
      </c>
      <c r="G73" s="31">
        <f t="shared" si="8"/>
        <v>500</v>
      </c>
      <c r="H73" s="31">
        <f t="shared" si="8"/>
        <v>500</v>
      </c>
    </row>
    <row r="74" spans="1:9" s="32" customFormat="1" ht="19.5" customHeight="1">
      <c r="A74" s="39" t="s">
        <v>82</v>
      </c>
      <c r="B74" s="28" t="s">
        <v>12</v>
      </c>
      <c r="C74" s="28" t="s">
        <v>44</v>
      </c>
      <c r="D74" s="30" t="s">
        <v>83</v>
      </c>
      <c r="E74" s="28"/>
      <c r="F74" s="31">
        <f t="shared" si="8"/>
        <v>353</v>
      </c>
      <c r="G74" s="31">
        <f t="shared" si="8"/>
        <v>500</v>
      </c>
      <c r="H74" s="31">
        <f t="shared" si="8"/>
        <v>500</v>
      </c>
    </row>
    <row r="75" spans="1:9" s="32" customFormat="1" ht="24.75" customHeight="1">
      <c r="A75" s="39" t="s">
        <v>37</v>
      </c>
      <c r="B75" s="28" t="s">
        <v>12</v>
      </c>
      <c r="C75" s="28" t="s">
        <v>44</v>
      </c>
      <c r="D75" s="30" t="s">
        <v>83</v>
      </c>
      <c r="E75" s="28" t="s">
        <v>38</v>
      </c>
      <c r="F75" s="31">
        <f>813-460</f>
        <v>353</v>
      </c>
      <c r="G75" s="31">
        <v>500</v>
      </c>
      <c r="H75" s="31">
        <v>500</v>
      </c>
    </row>
    <row r="76" spans="1:9" s="32" customFormat="1" ht="39.75" customHeight="1">
      <c r="A76" s="39" t="s">
        <v>84</v>
      </c>
      <c r="B76" s="28" t="s">
        <v>12</v>
      </c>
      <c r="C76" s="28" t="s">
        <v>44</v>
      </c>
      <c r="D76" s="30" t="s">
        <v>85</v>
      </c>
      <c r="E76" s="28"/>
      <c r="F76" s="31">
        <f t="shared" ref="F76:H77" si="9">F77</f>
        <v>801.09999999999991</v>
      </c>
      <c r="G76" s="31">
        <f t="shared" si="9"/>
        <v>800</v>
      </c>
      <c r="H76" s="31">
        <f t="shared" si="9"/>
        <v>800</v>
      </c>
    </row>
    <row r="77" spans="1:9" s="32" customFormat="1" ht="37.5" customHeight="1">
      <c r="A77" s="39" t="s">
        <v>86</v>
      </c>
      <c r="B77" s="28" t="s">
        <v>12</v>
      </c>
      <c r="C77" s="28" t="s">
        <v>44</v>
      </c>
      <c r="D77" s="30" t="s">
        <v>87</v>
      </c>
      <c r="E77" s="28"/>
      <c r="F77" s="31">
        <f t="shared" si="9"/>
        <v>801.09999999999991</v>
      </c>
      <c r="G77" s="31">
        <f t="shared" si="9"/>
        <v>800</v>
      </c>
      <c r="H77" s="31">
        <f t="shared" si="9"/>
        <v>800</v>
      </c>
    </row>
    <row r="78" spans="1:9" s="32" customFormat="1" ht="24.75" customHeight="1">
      <c r="A78" s="39" t="s">
        <v>37</v>
      </c>
      <c r="B78" s="28" t="s">
        <v>12</v>
      </c>
      <c r="C78" s="28" t="s">
        <v>44</v>
      </c>
      <c r="D78" s="30" t="s">
        <v>87</v>
      </c>
      <c r="E78" s="28" t="s">
        <v>38</v>
      </c>
      <c r="F78" s="31">
        <f>2301.1-1500</f>
        <v>801.09999999999991</v>
      </c>
      <c r="G78" s="31">
        <v>800</v>
      </c>
      <c r="H78" s="31">
        <v>800</v>
      </c>
    </row>
    <row r="79" spans="1:9" s="55" customFormat="1" ht="14.25" customHeight="1">
      <c r="A79" s="54" t="s">
        <v>88</v>
      </c>
      <c r="B79" s="22" t="s">
        <v>12</v>
      </c>
      <c r="C79" s="22" t="s">
        <v>89</v>
      </c>
      <c r="D79" s="29"/>
      <c r="E79" s="28"/>
      <c r="F79" s="31">
        <f t="shared" ref="F79:H81" si="10">F80</f>
        <v>1.7</v>
      </c>
      <c r="G79" s="31">
        <f t="shared" si="10"/>
        <v>1.8</v>
      </c>
      <c r="H79" s="31">
        <f t="shared" si="10"/>
        <v>11.7</v>
      </c>
    </row>
    <row r="80" spans="1:9" s="32" customFormat="1" ht="14.25" customHeight="1">
      <c r="A80" s="39" t="s">
        <v>90</v>
      </c>
      <c r="B80" s="28" t="s">
        <v>12</v>
      </c>
      <c r="C80" s="28" t="s">
        <v>89</v>
      </c>
      <c r="D80" s="28" t="s">
        <v>91</v>
      </c>
      <c r="E80" s="28"/>
      <c r="F80" s="31">
        <f t="shared" si="10"/>
        <v>1.7</v>
      </c>
      <c r="G80" s="31">
        <f t="shared" si="10"/>
        <v>1.8</v>
      </c>
      <c r="H80" s="31">
        <f>H81</f>
        <v>11.7</v>
      </c>
    </row>
    <row r="81" spans="1:8" s="32" customFormat="1" ht="37.5" customHeight="1">
      <c r="A81" s="39" t="s">
        <v>92</v>
      </c>
      <c r="B81" s="28" t="s">
        <v>12</v>
      </c>
      <c r="C81" s="28" t="s">
        <v>89</v>
      </c>
      <c r="D81" s="29" t="s">
        <v>93</v>
      </c>
      <c r="E81" s="28"/>
      <c r="F81" s="31">
        <f t="shared" si="10"/>
        <v>1.7</v>
      </c>
      <c r="G81" s="31">
        <f t="shared" si="10"/>
        <v>1.8</v>
      </c>
      <c r="H81" s="31">
        <f t="shared" si="10"/>
        <v>11.7</v>
      </c>
    </row>
    <row r="82" spans="1:8" s="32" customFormat="1" ht="24.75" customHeight="1">
      <c r="A82" s="39" t="s">
        <v>37</v>
      </c>
      <c r="B82" s="28" t="s">
        <v>12</v>
      </c>
      <c r="C82" s="28" t="s">
        <v>89</v>
      </c>
      <c r="D82" s="29" t="s">
        <v>93</v>
      </c>
      <c r="E82" s="28" t="s">
        <v>38</v>
      </c>
      <c r="F82" s="31">
        <v>1.7</v>
      </c>
      <c r="G82" s="31">
        <v>1.8</v>
      </c>
      <c r="H82" s="31">
        <v>11.7</v>
      </c>
    </row>
    <row r="83" spans="1:8" s="24" customFormat="1" ht="37.5" customHeight="1">
      <c r="A83" s="41" t="s">
        <v>94</v>
      </c>
      <c r="B83" s="22" t="s">
        <v>12</v>
      </c>
      <c r="C83" s="22" t="s">
        <v>95</v>
      </c>
      <c r="D83" s="22"/>
      <c r="E83" s="22"/>
      <c r="F83" s="23">
        <f>F87+F84+F97+F92</f>
        <v>10445.199999999999</v>
      </c>
      <c r="G83" s="23">
        <f>G87+G84+G97+G92</f>
        <v>10485.199999999999</v>
      </c>
      <c r="H83" s="23">
        <f>H87+H84+H97+H92</f>
        <v>10485.199999999999</v>
      </c>
    </row>
    <row r="84" spans="1:8" s="32" customFormat="1" ht="15" hidden="1" customHeight="1">
      <c r="A84" s="39" t="s">
        <v>90</v>
      </c>
      <c r="B84" s="28" t="s">
        <v>12</v>
      </c>
      <c r="C84" s="28" t="s">
        <v>95</v>
      </c>
      <c r="D84" s="28" t="s">
        <v>91</v>
      </c>
      <c r="E84" s="28"/>
      <c r="F84" s="26">
        <f t="shared" ref="F84:H85" si="11">F85</f>
        <v>0</v>
      </c>
      <c r="G84" s="26">
        <f t="shared" si="11"/>
        <v>0</v>
      </c>
      <c r="H84" s="26">
        <f t="shared" si="11"/>
        <v>0</v>
      </c>
    </row>
    <row r="85" spans="1:8" s="32" customFormat="1" ht="76.5" hidden="1" customHeight="1">
      <c r="A85" s="39" t="s">
        <v>96</v>
      </c>
      <c r="B85" s="28" t="s">
        <v>12</v>
      </c>
      <c r="C85" s="28" t="s">
        <v>95</v>
      </c>
      <c r="D85" s="29" t="s">
        <v>97</v>
      </c>
      <c r="E85" s="28"/>
      <c r="F85" s="31">
        <f t="shared" si="11"/>
        <v>0</v>
      </c>
      <c r="G85" s="31">
        <f t="shared" si="11"/>
        <v>0</v>
      </c>
      <c r="H85" s="31">
        <f t="shared" si="11"/>
        <v>0</v>
      </c>
    </row>
    <row r="86" spans="1:8" s="32" customFormat="1" ht="25.5" hidden="1" customHeight="1">
      <c r="A86" s="39" t="s">
        <v>22</v>
      </c>
      <c r="B86" s="28" t="s">
        <v>12</v>
      </c>
      <c r="C86" s="28" t="s">
        <v>95</v>
      </c>
      <c r="D86" s="29" t="s">
        <v>97</v>
      </c>
      <c r="E86" s="28" t="s">
        <v>38</v>
      </c>
      <c r="F86" s="31">
        <v>0</v>
      </c>
      <c r="G86" s="31">
        <v>0</v>
      </c>
      <c r="H86" s="31">
        <v>0</v>
      </c>
    </row>
    <row r="87" spans="1:8" s="56" customFormat="1" ht="12.75" customHeight="1">
      <c r="A87" s="38" t="s">
        <v>98</v>
      </c>
      <c r="B87" s="28" t="s">
        <v>12</v>
      </c>
      <c r="C87" s="28" t="s">
        <v>95</v>
      </c>
      <c r="D87" s="28" t="s">
        <v>99</v>
      </c>
      <c r="E87" s="28"/>
      <c r="F87" s="26">
        <f>F88</f>
        <v>1115.2</v>
      </c>
      <c r="G87" s="26">
        <f>G88</f>
        <v>1115.2</v>
      </c>
      <c r="H87" s="26">
        <f>H88</f>
        <v>1115.2</v>
      </c>
    </row>
    <row r="88" spans="1:8" s="56" customFormat="1" ht="18.75" customHeight="1">
      <c r="A88" s="57" t="s">
        <v>100</v>
      </c>
      <c r="B88" s="28" t="s">
        <v>12</v>
      </c>
      <c r="C88" s="28" t="s">
        <v>95</v>
      </c>
      <c r="D88" s="28" t="s">
        <v>101</v>
      </c>
      <c r="E88" s="28"/>
      <c r="F88" s="26">
        <f>F89+F90+F91</f>
        <v>1115.2</v>
      </c>
      <c r="G88" s="26">
        <f>G89+G90+G91</f>
        <v>1115.2</v>
      </c>
      <c r="H88" s="26">
        <f>H89+H90+H91</f>
        <v>1115.2</v>
      </c>
    </row>
    <row r="89" spans="1:8" s="56" customFormat="1" ht="25.5" customHeight="1">
      <c r="A89" s="39" t="s">
        <v>22</v>
      </c>
      <c r="B89" s="28" t="s">
        <v>12</v>
      </c>
      <c r="C89" s="28" t="s">
        <v>95</v>
      </c>
      <c r="D89" s="28" t="s">
        <v>101</v>
      </c>
      <c r="E89" s="28" t="s">
        <v>24</v>
      </c>
      <c r="F89" s="26">
        <f>862.9+8</f>
        <v>870.9</v>
      </c>
      <c r="G89" s="26">
        <f>862.9+8</f>
        <v>870.9</v>
      </c>
      <c r="H89" s="26">
        <f>862.9+8</f>
        <v>870.9</v>
      </c>
    </row>
    <row r="90" spans="1:8" s="56" customFormat="1" ht="25.5" customHeight="1">
      <c r="A90" s="39" t="s">
        <v>37</v>
      </c>
      <c r="B90" s="28" t="s">
        <v>12</v>
      </c>
      <c r="C90" s="28" t="s">
        <v>95</v>
      </c>
      <c r="D90" s="28" t="s">
        <v>101</v>
      </c>
      <c r="E90" s="28" t="s">
        <v>38</v>
      </c>
      <c r="F90" s="26">
        <v>244.3</v>
      </c>
      <c r="G90" s="26">
        <v>244.3</v>
      </c>
      <c r="H90" s="26">
        <v>244.3</v>
      </c>
    </row>
    <row r="91" spans="1:8" s="56" customFormat="1" ht="12.75" hidden="1" customHeight="1">
      <c r="A91" s="39" t="s">
        <v>41</v>
      </c>
      <c r="B91" s="28" t="s">
        <v>12</v>
      </c>
      <c r="C91" s="28" t="s">
        <v>95</v>
      </c>
      <c r="D91" s="28" t="s">
        <v>101</v>
      </c>
      <c r="E91" s="28" t="s">
        <v>42</v>
      </c>
      <c r="F91" s="26"/>
      <c r="G91" s="26"/>
      <c r="H91" s="26"/>
    </row>
    <row r="92" spans="1:8" s="56" customFormat="1" ht="25.5" hidden="1" customHeight="1">
      <c r="A92" s="34" t="s">
        <v>25</v>
      </c>
      <c r="B92" s="28" t="s">
        <v>12</v>
      </c>
      <c r="C92" s="28" t="s">
        <v>95</v>
      </c>
      <c r="D92" s="28" t="s">
        <v>17</v>
      </c>
      <c r="E92" s="28"/>
      <c r="F92" s="31">
        <f t="shared" ref="F92:H95" si="12">F93</f>
        <v>0</v>
      </c>
      <c r="G92" s="31">
        <f t="shared" si="12"/>
        <v>0</v>
      </c>
      <c r="H92" s="31">
        <f t="shared" si="12"/>
        <v>0</v>
      </c>
    </row>
    <row r="93" spans="1:8" s="56" customFormat="1" ht="38.25" hidden="1" customHeight="1">
      <c r="A93" s="34" t="s">
        <v>26</v>
      </c>
      <c r="B93" s="28" t="s">
        <v>12</v>
      </c>
      <c r="C93" s="28" t="s">
        <v>95</v>
      </c>
      <c r="D93" s="28" t="s">
        <v>19</v>
      </c>
      <c r="E93" s="28"/>
      <c r="F93" s="31">
        <f t="shared" si="12"/>
        <v>0</v>
      </c>
      <c r="G93" s="31">
        <f t="shared" si="12"/>
        <v>0</v>
      </c>
      <c r="H93" s="31">
        <f t="shared" si="12"/>
        <v>0</v>
      </c>
    </row>
    <row r="94" spans="1:8" s="56" customFormat="1" ht="25.5" hidden="1" customHeight="1">
      <c r="A94" s="35" t="s">
        <v>27</v>
      </c>
      <c r="B94" s="28" t="s">
        <v>12</v>
      </c>
      <c r="C94" s="28" t="s">
        <v>95</v>
      </c>
      <c r="D94" s="28" t="s">
        <v>28</v>
      </c>
      <c r="E94" s="28"/>
      <c r="F94" s="31">
        <f t="shared" si="12"/>
        <v>0</v>
      </c>
      <c r="G94" s="31">
        <f t="shared" si="12"/>
        <v>0</v>
      </c>
      <c r="H94" s="31">
        <f t="shared" si="12"/>
        <v>0</v>
      </c>
    </row>
    <row r="95" spans="1:8" s="56" customFormat="1" ht="114.75" hidden="1" customHeight="1">
      <c r="A95" s="36" t="s">
        <v>29</v>
      </c>
      <c r="B95" s="28" t="s">
        <v>12</v>
      </c>
      <c r="C95" s="28" t="s">
        <v>95</v>
      </c>
      <c r="D95" s="30" t="s">
        <v>30</v>
      </c>
      <c r="E95" s="28"/>
      <c r="F95" s="31">
        <f t="shared" si="12"/>
        <v>0</v>
      </c>
      <c r="G95" s="31">
        <f t="shared" si="12"/>
        <v>0</v>
      </c>
      <c r="H95" s="31">
        <f t="shared" si="12"/>
        <v>0</v>
      </c>
    </row>
    <row r="96" spans="1:8" s="56" customFormat="1" ht="25.5" hidden="1" customHeight="1">
      <c r="A96" s="36" t="s">
        <v>22</v>
      </c>
      <c r="B96" s="28" t="s">
        <v>12</v>
      </c>
      <c r="C96" s="28" t="s">
        <v>95</v>
      </c>
      <c r="D96" s="30" t="s">
        <v>30</v>
      </c>
      <c r="E96" s="28" t="s">
        <v>24</v>
      </c>
      <c r="F96" s="31"/>
      <c r="G96" s="26">
        <v>0</v>
      </c>
      <c r="H96" s="26">
        <v>0</v>
      </c>
    </row>
    <row r="97" spans="1:9" s="59" customFormat="1" ht="26.25" customHeight="1">
      <c r="A97" s="58" t="s">
        <v>102</v>
      </c>
      <c r="B97" s="28" t="s">
        <v>12</v>
      </c>
      <c r="C97" s="28" t="s">
        <v>95</v>
      </c>
      <c r="D97" s="30" t="s">
        <v>103</v>
      </c>
      <c r="E97" s="29"/>
      <c r="F97" s="31">
        <f>F98</f>
        <v>9329.9999999999982</v>
      </c>
      <c r="G97" s="31">
        <f>G98</f>
        <v>9369.9999999999982</v>
      </c>
      <c r="H97" s="31">
        <f>H98</f>
        <v>9369.9999999999982</v>
      </c>
    </row>
    <row r="98" spans="1:9" s="59" customFormat="1" ht="63.75" customHeight="1">
      <c r="A98" s="60" t="s">
        <v>104</v>
      </c>
      <c r="B98" s="28" t="s">
        <v>12</v>
      </c>
      <c r="C98" s="28" t="s">
        <v>95</v>
      </c>
      <c r="D98" s="30" t="s">
        <v>105</v>
      </c>
      <c r="E98" s="29"/>
      <c r="F98" s="31">
        <f>F99+F103</f>
        <v>9329.9999999999982</v>
      </c>
      <c r="G98" s="31">
        <f>G99+G103</f>
        <v>9369.9999999999982</v>
      </c>
      <c r="H98" s="31">
        <f>H99+H103</f>
        <v>9369.9999999999982</v>
      </c>
    </row>
    <row r="99" spans="1:9" s="59" customFormat="1" ht="15" customHeight="1">
      <c r="A99" s="44" t="s">
        <v>35</v>
      </c>
      <c r="B99" s="28" t="s">
        <v>12</v>
      </c>
      <c r="C99" s="28" t="s">
        <v>95</v>
      </c>
      <c r="D99" s="30" t="s">
        <v>106</v>
      </c>
      <c r="E99" s="29"/>
      <c r="F99" s="31">
        <f>F100+F101+F102</f>
        <v>9304.9999999999982</v>
      </c>
      <c r="G99" s="31">
        <f>G100+G101+G102</f>
        <v>9344.9999999999982</v>
      </c>
      <c r="H99" s="31">
        <f>H100+H101+H102</f>
        <v>9344.9999999999982</v>
      </c>
    </row>
    <row r="100" spans="1:9" s="59" customFormat="1" ht="25.5" customHeight="1">
      <c r="A100" s="39" t="s">
        <v>22</v>
      </c>
      <c r="B100" s="28" t="s">
        <v>12</v>
      </c>
      <c r="C100" s="28" t="s">
        <v>95</v>
      </c>
      <c r="D100" s="30" t="s">
        <v>106</v>
      </c>
      <c r="E100" s="29" t="s">
        <v>24</v>
      </c>
      <c r="F100" s="31">
        <f>8419.3+222.8+47</f>
        <v>8689.0999999999985</v>
      </c>
      <c r="G100" s="31">
        <f>8419.3+222.8+47</f>
        <v>8689.0999999999985</v>
      </c>
      <c r="H100" s="31">
        <f>8419.3+222.8+47</f>
        <v>8689.0999999999985</v>
      </c>
    </row>
    <row r="101" spans="1:9" s="59" customFormat="1" ht="25.5" customHeight="1">
      <c r="A101" s="39" t="s">
        <v>37</v>
      </c>
      <c r="B101" s="28" t="s">
        <v>12</v>
      </c>
      <c r="C101" s="28" t="s">
        <v>95</v>
      </c>
      <c r="D101" s="30" t="s">
        <v>106</v>
      </c>
      <c r="E101" s="29" t="s">
        <v>38</v>
      </c>
      <c r="F101" s="31">
        <f>657.9-43</f>
        <v>614.9</v>
      </c>
      <c r="G101" s="31">
        <v>655.9</v>
      </c>
      <c r="H101" s="31">
        <v>655.9</v>
      </c>
      <c r="I101"/>
    </row>
    <row r="102" spans="1:9" s="59" customFormat="1" ht="12.75" customHeight="1">
      <c r="A102" s="39" t="s">
        <v>41</v>
      </c>
      <c r="B102" s="28" t="s">
        <v>12</v>
      </c>
      <c r="C102" s="28" t="s">
        <v>95</v>
      </c>
      <c r="D102" s="30" t="s">
        <v>106</v>
      </c>
      <c r="E102" s="29" t="s">
        <v>42</v>
      </c>
      <c r="F102" s="31">
        <v>1</v>
      </c>
      <c r="G102" s="31">
        <v>0</v>
      </c>
      <c r="H102" s="31">
        <v>0</v>
      </c>
    </row>
    <row r="103" spans="1:9" s="59" customFormat="1" ht="25.5" customHeight="1">
      <c r="A103" s="39" t="s">
        <v>107</v>
      </c>
      <c r="B103" s="28" t="s">
        <v>12</v>
      </c>
      <c r="C103" s="28" t="s">
        <v>95</v>
      </c>
      <c r="D103" s="30" t="s">
        <v>108</v>
      </c>
      <c r="E103" s="29"/>
      <c r="F103" s="31">
        <f>F104</f>
        <v>25</v>
      </c>
      <c r="G103" s="31">
        <f>G104</f>
        <v>25</v>
      </c>
      <c r="H103" s="31">
        <f>H104</f>
        <v>25</v>
      </c>
    </row>
    <row r="104" spans="1:9" s="59" customFormat="1" ht="25.5" customHeight="1">
      <c r="A104" s="39" t="s">
        <v>37</v>
      </c>
      <c r="B104" s="28" t="s">
        <v>12</v>
      </c>
      <c r="C104" s="28" t="s">
        <v>95</v>
      </c>
      <c r="D104" s="30" t="s">
        <v>108</v>
      </c>
      <c r="E104" s="29" t="s">
        <v>38</v>
      </c>
      <c r="F104" s="31">
        <v>25</v>
      </c>
      <c r="G104" s="31">
        <v>25</v>
      </c>
      <c r="H104" s="31">
        <v>25</v>
      </c>
    </row>
    <row r="105" spans="1:9" s="59" customFormat="1" ht="15.75" hidden="1" customHeight="1">
      <c r="A105" s="61" t="s">
        <v>109</v>
      </c>
      <c r="B105" s="22" t="s">
        <v>12</v>
      </c>
      <c r="C105" s="22" t="s">
        <v>110</v>
      </c>
      <c r="D105" s="30"/>
      <c r="E105" s="29"/>
      <c r="F105" s="62">
        <f t="shared" ref="F105:H107" si="13">F106</f>
        <v>0</v>
      </c>
      <c r="G105" s="62">
        <f t="shared" si="13"/>
        <v>0</v>
      </c>
      <c r="H105" s="62">
        <f t="shared" si="13"/>
        <v>0</v>
      </c>
    </row>
    <row r="106" spans="1:9" s="59" customFormat="1" ht="12.75" hidden="1" customHeight="1">
      <c r="A106" s="39" t="s">
        <v>111</v>
      </c>
      <c r="B106" s="28" t="s">
        <v>12</v>
      </c>
      <c r="C106" s="28" t="s">
        <v>110</v>
      </c>
      <c r="D106" s="30" t="s">
        <v>112</v>
      </c>
      <c r="E106" s="29"/>
      <c r="F106" s="31">
        <f t="shared" si="13"/>
        <v>0</v>
      </c>
      <c r="G106" s="31">
        <f t="shared" si="13"/>
        <v>0</v>
      </c>
      <c r="H106" s="31">
        <f t="shared" si="13"/>
        <v>0</v>
      </c>
    </row>
    <row r="107" spans="1:9" s="59" customFormat="1" ht="12.75" hidden="1" customHeight="1">
      <c r="A107" s="39" t="s">
        <v>113</v>
      </c>
      <c r="B107" s="28" t="s">
        <v>12</v>
      </c>
      <c r="C107" s="28" t="s">
        <v>110</v>
      </c>
      <c r="D107" s="30" t="s">
        <v>114</v>
      </c>
      <c r="E107" s="29"/>
      <c r="F107" s="31">
        <f t="shared" si="13"/>
        <v>0</v>
      </c>
      <c r="G107" s="31">
        <f t="shared" si="13"/>
        <v>0</v>
      </c>
      <c r="H107" s="31">
        <f t="shared" si="13"/>
        <v>0</v>
      </c>
    </row>
    <row r="108" spans="1:9" s="59" customFormat="1" ht="12.75" hidden="1" customHeight="1">
      <c r="A108" s="39" t="s">
        <v>115</v>
      </c>
      <c r="B108" s="28" t="s">
        <v>12</v>
      </c>
      <c r="C108" s="28" t="s">
        <v>110</v>
      </c>
      <c r="D108" s="30" t="s">
        <v>114</v>
      </c>
      <c r="E108" s="29" t="s">
        <v>116</v>
      </c>
      <c r="F108" s="31"/>
      <c r="G108" s="31">
        <v>0</v>
      </c>
      <c r="H108" s="31">
        <v>0</v>
      </c>
    </row>
    <row r="109" spans="1:9" s="24" customFormat="1" ht="15" customHeight="1">
      <c r="A109" s="41" t="s">
        <v>45</v>
      </c>
      <c r="B109" s="63" t="s">
        <v>12</v>
      </c>
      <c r="C109" s="63" t="s">
        <v>117</v>
      </c>
      <c r="D109" s="63"/>
      <c r="E109" s="63"/>
      <c r="F109" s="62">
        <f t="shared" ref="F109:H111" si="14">F110</f>
        <v>610</v>
      </c>
      <c r="G109" s="62">
        <f t="shared" si="14"/>
        <v>500</v>
      </c>
      <c r="H109" s="62">
        <f t="shared" si="14"/>
        <v>500</v>
      </c>
    </row>
    <row r="110" spans="1:9" s="32" customFormat="1" ht="15" customHeight="1">
      <c r="A110" s="39" t="s">
        <v>45</v>
      </c>
      <c r="B110" s="29" t="s">
        <v>12</v>
      </c>
      <c r="C110" s="29" t="s">
        <v>117</v>
      </c>
      <c r="D110" s="29" t="s">
        <v>46</v>
      </c>
      <c r="E110" s="29"/>
      <c r="F110" s="31">
        <f t="shared" si="14"/>
        <v>610</v>
      </c>
      <c r="G110" s="31">
        <f t="shared" si="14"/>
        <v>500</v>
      </c>
      <c r="H110" s="31">
        <f t="shared" si="14"/>
        <v>500</v>
      </c>
    </row>
    <row r="111" spans="1:9" s="32" customFormat="1" ht="15" customHeight="1">
      <c r="A111" s="39" t="s">
        <v>47</v>
      </c>
      <c r="B111" s="29" t="s">
        <v>12</v>
      </c>
      <c r="C111" s="29" t="s">
        <v>117</v>
      </c>
      <c r="D111" s="29" t="s">
        <v>48</v>
      </c>
      <c r="E111" s="29"/>
      <c r="F111" s="31">
        <f>F112</f>
        <v>610</v>
      </c>
      <c r="G111" s="31">
        <f t="shared" si="14"/>
        <v>500</v>
      </c>
      <c r="H111" s="31">
        <f t="shared" si="14"/>
        <v>500</v>
      </c>
    </row>
    <row r="112" spans="1:9" s="32" customFormat="1" ht="15" customHeight="1">
      <c r="A112" s="39" t="s">
        <v>118</v>
      </c>
      <c r="B112" s="29" t="s">
        <v>12</v>
      </c>
      <c r="C112" s="29" t="s">
        <v>117</v>
      </c>
      <c r="D112" s="29" t="s">
        <v>48</v>
      </c>
      <c r="E112" s="29" t="s">
        <v>119</v>
      </c>
      <c r="F112" s="31">
        <f>1000-390</f>
        <v>610</v>
      </c>
      <c r="G112" s="31">
        <v>500</v>
      </c>
      <c r="H112" s="31">
        <v>500</v>
      </c>
    </row>
    <row r="113" spans="1:9" s="24" customFormat="1" ht="14.25" customHeight="1">
      <c r="A113" s="37" t="s">
        <v>120</v>
      </c>
      <c r="B113" s="22" t="s">
        <v>12</v>
      </c>
      <c r="C113" s="22" t="s">
        <v>121</v>
      </c>
      <c r="D113" s="22"/>
      <c r="E113" s="22"/>
      <c r="F113" s="23">
        <f>F118+F135+F172+F143+F184+F195+F123+F114+F179</f>
        <v>23361.599999999999</v>
      </c>
      <c r="G113" s="23">
        <f>G118+G135+G172+G143+G184+G195+G123+G114+G179</f>
        <v>20500.699999999997</v>
      </c>
      <c r="H113" s="23">
        <f>H118+H135+H172+H143+H184+H195+H123+H114+H179</f>
        <v>20500.699999999997</v>
      </c>
    </row>
    <row r="114" spans="1:9" s="24" customFormat="1" ht="14.25" hidden="1" customHeight="1">
      <c r="A114" s="39" t="s">
        <v>45</v>
      </c>
      <c r="B114" s="28" t="s">
        <v>12</v>
      </c>
      <c r="C114" s="28" t="s">
        <v>121</v>
      </c>
      <c r="D114" s="29" t="s">
        <v>46</v>
      </c>
      <c r="E114" s="22"/>
      <c r="F114" s="26">
        <f>F115</f>
        <v>0</v>
      </c>
      <c r="G114" s="26">
        <f>G115</f>
        <v>0</v>
      </c>
      <c r="H114" s="26">
        <f>H115</f>
        <v>0</v>
      </c>
    </row>
    <row r="115" spans="1:9" s="24" customFormat="1" ht="14.25" hidden="1" customHeight="1">
      <c r="A115" s="39" t="s">
        <v>47</v>
      </c>
      <c r="B115" s="28" t="s">
        <v>12</v>
      </c>
      <c r="C115" s="28" t="s">
        <v>121</v>
      </c>
      <c r="D115" s="29" t="s">
        <v>48</v>
      </c>
      <c r="E115" s="22"/>
      <c r="F115" s="26">
        <f>F116+F117</f>
        <v>0</v>
      </c>
      <c r="G115" s="26">
        <f>G116+G117</f>
        <v>0</v>
      </c>
      <c r="H115" s="26">
        <f>H116+H117</f>
        <v>0</v>
      </c>
    </row>
    <row r="116" spans="1:9" s="24" customFormat="1" ht="14.25" hidden="1" customHeight="1">
      <c r="A116" s="39" t="s">
        <v>118</v>
      </c>
      <c r="B116" s="28" t="s">
        <v>12</v>
      </c>
      <c r="C116" s="28" t="s">
        <v>121</v>
      </c>
      <c r="D116" s="29" t="s">
        <v>48</v>
      </c>
      <c r="E116" s="28" t="s">
        <v>38</v>
      </c>
      <c r="F116" s="26">
        <v>0</v>
      </c>
      <c r="G116" s="26">
        <v>0</v>
      </c>
      <c r="H116" s="26">
        <v>0</v>
      </c>
    </row>
    <row r="117" spans="1:9" s="24" customFormat="1" ht="14.25" hidden="1" customHeight="1">
      <c r="A117" s="39" t="s">
        <v>122</v>
      </c>
      <c r="B117" s="28" t="s">
        <v>12</v>
      </c>
      <c r="C117" s="28" t="s">
        <v>121</v>
      </c>
      <c r="D117" s="29" t="s">
        <v>48</v>
      </c>
      <c r="E117" s="28" t="s">
        <v>123</v>
      </c>
      <c r="F117" s="26"/>
      <c r="G117" s="26"/>
      <c r="H117" s="26"/>
    </row>
    <row r="118" spans="1:9" s="32" customFormat="1" ht="24.75" customHeight="1">
      <c r="A118" s="38" t="s">
        <v>124</v>
      </c>
      <c r="B118" s="28" t="s">
        <v>12</v>
      </c>
      <c r="C118" s="28" t="s">
        <v>121</v>
      </c>
      <c r="D118" s="28" t="s">
        <v>125</v>
      </c>
      <c r="E118" s="28"/>
      <c r="F118" s="26">
        <f>F121+F119</f>
        <v>940</v>
      </c>
      <c r="G118" s="26">
        <f>G121+G119</f>
        <v>0</v>
      </c>
      <c r="H118" s="26">
        <f>H121+H119</f>
        <v>0</v>
      </c>
    </row>
    <row r="119" spans="1:9" s="32" customFormat="1" ht="17.25" customHeight="1">
      <c r="A119" s="46" t="s">
        <v>126</v>
      </c>
      <c r="B119" s="29" t="s">
        <v>12</v>
      </c>
      <c r="C119" s="29" t="s">
        <v>121</v>
      </c>
      <c r="D119" s="29" t="s">
        <v>127</v>
      </c>
      <c r="E119" s="29"/>
      <c r="F119" s="31">
        <f>F120</f>
        <v>320</v>
      </c>
      <c r="G119" s="31">
        <f>G120</f>
        <v>0</v>
      </c>
      <c r="H119" s="31">
        <f>H120</f>
        <v>0</v>
      </c>
    </row>
    <row r="120" spans="1:9" s="32" customFormat="1" ht="24.75" customHeight="1">
      <c r="A120" s="39" t="s">
        <v>37</v>
      </c>
      <c r="B120" s="29" t="s">
        <v>12</v>
      </c>
      <c r="C120" s="29" t="s">
        <v>121</v>
      </c>
      <c r="D120" s="29" t="s">
        <v>127</v>
      </c>
      <c r="E120" s="29" t="s">
        <v>38</v>
      </c>
      <c r="F120" s="31">
        <v>320</v>
      </c>
      <c r="G120" s="31">
        <v>0</v>
      </c>
      <c r="H120" s="31">
        <v>0</v>
      </c>
    </row>
    <row r="121" spans="1:9" s="32" customFormat="1" ht="25.5" customHeight="1">
      <c r="A121" s="64" t="s">
        <v>128</v>
      </c>
      <c r="B121" s="29" t="s">
        <v>12</v>
      </c>
      <c r="C121" s="29" t="s">
        <v>121</v>
      </c>
      <c r="D121" s="29" t="s">
        <v>129</v>
      </c>
      <c r="E121" s="29"/>
      <c r="F121" s="31">
        <f>F122</f>
        <v>620</v>
      </c>
      <c r="G121" s="31">
        <f>G122</f>
        <v>0</v>
      </c>
      <c r="H121" s="31">
        <f>H122</f>
        <v>0</v>
      </c>
    </row>
    <row r="122" spans="1:9" s="32" customFormat="1" ht="24.75" customHeight="1">
      <c r="A122" s="39" t="s">
        <v>37</v>
      </c>
      <c r="B122" s="29" t="s">
        <v>12</v>
      </c>
      <c r="C122" s="29" t="s">
        <v>121</v>
      </c>
      <c r="D122" s="29" t="s">
        <v>129</v>
      </c>
      <c r="E122" s="29" t="s">
        <v>38</v>
      </c>
      <c r="F122" s="31">
        <f>500+120</f>
        <v>620</v>
      </c>
      <c r="G122" s="31">
        <v>0</v>
      </c>
      <c r="H122" s="31">
        <v>0</v>
      </c>
    </row>
    <row r="123" spans="1:9" s="59" customFormat="1" ht="38.25" customHeight="1">
      <c r="A123" s="65" t="s">
        <v>50</v>
      </c>
      <c r="B123" s="28" t="s">
        <v>12</v>
      </c>
      <c r="C123" s="28" t="s">
        <v>121</v>
      </c>
      <c r="D123" s="30" t="s">
        <v>51</v>
      </c>
      <c r="E123" s="28"/>
      <c r="F123" s="31">
        <f>F124+F128</f>
        <v>96.6</v>
      </c>
      <c r="G123" s="31">
        <f>G124+G128</f>
        <v>396.6</v>
      </c>
      <c r="H123" s="31">
        <f>H124+H128</f>
        <v>396.6</v>
      </c>
    </row>
    <row r="124" spans="1:9" s="59" customFormat="1" ht="26.25" customHeight="1">
      <c r="A124" s="43" t="s">
        <v>52</v>
      </c>
      <c r="B124" s="28" t="s">
        <v>12</v>
      </c>
      <c r="C124" s="28" t="s">
        <v>121</v>
      </c>
      <c r="D124" s="29" t="s">
        <v>53</v>
      </c>
      <c r="E124" s="29"/>
      <c r="F124" s="31">
        <f t="shared" ref="F124:H126" si="15">F125</f>
        <v>96.6</v>
      </c>
      <c r="G124" s="31">
        <f t="shared" si="15"/>
        <v>96.6</v>
      </c>
      <c r="H124" s="31">
        <f t="shared" si="15"/>
        <v>96.6</v>
      </c>
    </row>
    <row r="125" spans="1:9" s="59" customFormat="1" ht="39" customHeight="1">
      <c r="A125" s="66" t="s">
        <v>130</v>
      </c>
      <c r="B125" s="28" t="s">
        <v>12</v>
      </c>
      <c r="C125" s="28" t="s">
        <v>121</v>
      </c>
      <c r="D125" s="29" t="s">
        <v>131</v>
      </c>
      <c r="E125" s="29"/>
      <c r="F125" s="31">
        <f t="shared" si="15"/>
        <v>96.6</v>
      </c>
      <c r="G125" s="31">
        <f t="shared" si="15"/>
        <v>96.6</v>
      </c>
      <c r="H125" s="31">
        <f t="shared" si="15"/>
        <v>96.6</v>
      </c>
    </row>
    <row r="126" spans="1:9" s="32" customFormat="1" ht="25.5" customHeight="1">
      <c r="A126" s="67" t="s">
        <v>132</v>
      </c>
      <c r="B126" s="29" t="s">
        <v>12</v>
      </c>
      <c r="C126" s="29" t="s">
        <v>121</v>
      </c>
      <c r="D126" s="29" t="s">
        <v>133</v>
      </c>
      <c r="E126" s="29"/>
      <c r="F126" s="31">
        <f t="shared" si="15"/>
        <v>96.6</v>
      </c>
      <c r="G126" s="31">
        <f t="shared" si="15"/>
        <v>96.6</v>
      </c>
      <c r="H126" s="31">
        <f t="shared" si="15"/>
        <v>96.6</v>
      </c>
    </row>
    <row r="127" spans="1:9" s="32" customFormat="1" ht="28.5" customHeight="1">
      <c r="A127" s="35" t="s">
        <v>134</v>
      </c>
      <c r="B127" s="29" t="s">
        <v>12</v>
      </c>
      <c r="C127" s="29" t="s">
        <v>121</v>
      </c>
      <c r="D127" s="29" t="s">
        <v>133</v>
      </c>
      <c r="E127" s="29" t="s">
        <v>135</v>
      </c>
      <c r="F127" s="31">
        <v>96.6</v>
      </c>
      <c r="G127" s="31">
        <v>96.6</v>
      </c>
      <c r="H127" s="31">
        <v>96.6</v>
      </c>
      <c r="I127"/>
    </row>
    <row r="128" spans="1:9" s="59" customFormat="1" ht="39" customHeight="1">
      <c r="A128" s="65" t="s">
        <v>136</v>
      </c>
      <c r="B128" s="28" t="s">
        <v>12</v>
      </c>
      <c r="C128" s="28" t="s">
        <v>121</v>
      </c>
      <c r="D128" s="30" t="s">
        <v>137</v>
      </c>
      <c r="E128" s="28"/>
      <c r="F128" s="31">
        <f>F129+F132</f>
        <v>0</v>
      </c>
      <c r="G128" s="31">
        <f>G129+G132</f>
        <v>300</v>
      </c>
      <c r="H128" s="31">
        <f>H129+H132</f>
        <v>300</v>
      </c>
    </row>
    <row r="129" spans="1:9" s="59" customFormat="1" ht="38.25" customHeight="1">
      <c r="A129" s="50" t="s">
        <v>138</v>
      </c>
      <c r="B129" s="28" t="s">
        <v>12</v>
      </c>
      <c r="C129" s="28" t="s">
        <v>121</v>
      </c>
      <c r="D129" s="45" t="s">
        <v>139</v>
      </c>
      <c r="E129" s="28"/>
      <c r="F129" s="31">
        <f t="shared" ref="F129:H130" si="16">F130</f>
        <v>0</v>
      </c>
      <c r="G129" s="31">
        <f t="shared" si="16"/>
        <v>300</v>
      </c>
      <c r="H129" s="31">
        <f t="shared" si="16"/>
        <v>300</v>
      </c>
    </row>
    <row r="130" spans="1:9" s="59" customFormat="1" ht="26.25" customHeight="1">
      <c r="A130" s="50" t="s">
        <v>140</v>
      </c>
      <c r="B130" s="28" t="s">
        <v>12</v>
      </c>
      <c r="C130" s="28" t="s">
        <v>121</v>
      </c>
      <c r="D130" s="45" t="s">
        <v>141</v>
      </c>
      <c r="E130" s="28"/>
      <c r="F130" s="31">
        <f t="shared" si="16"/>
        <v>0</v>
      </c>
      <c r="G130" s="31">
        <f t="shared" si="16"/>
        <v>300</v>
      </c>
      <c r="H130" s="31">
        <f t="shared" si="16"/>
        <v>300</v>
      </c>
    </row>
    <row r="131" spans="1:9" s="59" customFormat="1" ht="42.6" customHeight="1">
      <c r="A131" s="35" t="s">
        <v>142</v>
      </c>
      <c r="B131" s="28" t="s">
        <v>12</v>
      </c>
      <c r="C131" s="28" t="s">
        <v>121</v>
      </c>
      <c r="D131" s="45" t="s">
        <v>141</v>
      </c>
      <c r="E131" s="28" t="s">
        <v>143</v>
      </c>
      <c r="F131" s="31">
        <f>300-300</f>
        <v>0</v>
      </c>
      <c r="G131" s="31">
        <v>300</v>
      </c>
      <c r="H131" s="31">
        <v>300</v>
      </c>
      <c r="I131"/>
    </row>
    <row r="132" spans="1:9" s="59" customFormat="1" ht="39" hidden="1" customHeight="1">
      <c r="A132" s="50" t="s">
        <v>144</v>
      </c>
      <c r="B132" s="28" t="s">
        <v>12</v>
      </c>
      <c r="C132" s="28" t="s">
        <v>121</v>
      </c>
      <c r="D132" s="45" t="s">
        <v>145</v>
      </c>
      <c r="E132" s="28"/>
      <c r="F132" s="31">
        <f t="shared" ref="F132:H133" si="17">F133</f>
        <v>0</v>
      </c>
      <c r="G132" s="31">
        <f t="shared" si="17"/>
        <v>0</v>
      </c>
      <c r="H132" s="31">
        <f t="shared" si="17"/>
        <v>0</v>
      </c>
    </row>
    <row r="133" spans="1:9" s="59" customFormat="1" ht="24.75" hidden="1" customHeight="1">
      <c r="A133" s="50" t="s">
        <v>140</v>
      </c>
      <c r="B133" s="28" t="s">
        <v>12</v>
      </c>
      <c r="C133" s="28" t="s">
        <v>121</v>
      </c>
      <c r="D133" s="45" t="s">
        <v>146</v>
      </c>
      <c r="E133" s="28"/>
      <c r="F133" s="31">
        <f t="shared" si="17"/>
        <v>0</v>
      </c>
      <c r="G133" s="31">
        <f t="shared" si="17"/>
        <v>0</v>
      </c>
      <c r="H133" s="31">
        <f t="shared" si="17"/>
        <v>0</v>
      </c>
    </row>
    <row r="134" spans="1:9" s="59" customFormat="1" ht="42" hidden="1" customHeight="1">
      <c r="A134" s="40" t="s">
        <v>147</v>
      </c>
      <c r="B134" s="28" t="s">
        <v>12</v>
      </c>
      <c r="C134" s="28" t="s">
        <v>121</v>
      </c>
      <c r="D134" s="45" t="s">
        <v>146</v>
      </c>
      <c r="E134" s="28" t="s">
        <v>143</v>
      </c>
      <c r="F134" s="31">
        <v>0</v>
      </c>
      <c r="G134" s="68">
        <v>0</v>
      </c>
      <c r="H134" s="68">
        <v>0</v>
      </c>
    </row>
    <row r="135" spans="1:9" s="32" customFormat="1" ht="15.75" customHeight="1">
      <c r="A135" s="39" t="s">
        <v>148</v>
      </c>
      <c r="B135" s="28" t="s">
        <v>12</v>
      </c>
      <c r="C135" s="28" t="s">
        <v>121</v>
      </c>
      <c r="D135" s="30" t="s">
        <v>149</v>
      </c>
      <c r="E135" s="28"/>
      <c r="F135" s="31">
        <f>F136+F140</f>
        <v>10</v>
      </c>
      <c r="G135" s="31">
        <f>G136+G140</f>
        <v>80</v>
      </c>
      <c r="H135" s="31">
        <f>H136+H140</f>
        <v>80</v>
      </c>
    </row>
    <row r="136" spans="1:9" s="59" customFormat="1" ht="26.25" customHeight="1">
      <c r="A136" s="39" t="s">
        <v>150</v>
      </c>
      <c r="B136" s="28" t="s">
        <v>12</v>
      </c>
      <c r="C136" s="28" t="s">
        <v>121</v>
      </c>
      <c r="D136" s="30" t="s">
        <v>151</v>
      </c>
      <c r="E136" s="28"/>
      <c r="F136" s="31">
        <f>F137</f>
        <v>10</v>
      </c>
      <c r="G136" s="31">
        <f>G137</f>
        <v>50</v>
      </c>
      <c r="H136" s="31">
        <f>H137</f>
        <v>50</v>
      </c>
    </row>
    <row r="137" spans="1:9" s="59" customFormat="1" ht="24.75" customHeight="1">
      <c r="A137" s="39" t="s">
        <v>152</v>
      </c>
      <c r="B137" s="28" t="s">
        <v>12</v>
      </c>
      <c r="C137" s="28" t="s">
        <v>121</v>
      </c>
      <c r="D137" s="30" t="s">
        <v>153</v>
      </c>
      <c r="E137" s="28"/>
      <c r="F137" s="31">
        <f>F139+F138</f>
        <v>10</v>
      </c>
      <c r="G137" s="31">
        <f>G139+G138</f>
        <v>50</v>
      </c>
      <c r="H137" s="31">
        <f>H139+H138</f>
        <v>50</v>
      </c>
    </row>
    <row r="138" spans="1:9" s="59" customFormat="1" ht="24.75" customHeight="1">
      <c r="A138" s="39" t="s">
        <v>37</v>
      </c>
      <c r="B138" s="28" t="s">
        <v>12</v>
      </c>
      <c r="C138" s="28" t="s">
        <v>121</v>
      </c>
      <c r="D138" s="30" t="s">
        <v>153</v>
      </c>
      <c r="E138" s="28" t="s">
        <v>38</v>
      </c>
      <c r="F138" s="31">
        <v>10</v>
      </c>
      <c r="G138" s="31">
        <v>0</v>
      </c>
      <c r="H138" s="31">
        <v>0</v>
      </c>
      <c r="I138"/>
    </row>
    <row r="139" spans="1:9" s="59" customFormat="1" ht="15" customHeight="1">
      <c r="A139" s="69" t="s">
        <v>154</v>
      </c>
      <c r="B139" s="28" t="s">
        <v>12</v>
      </c>
      <c r="C139" s="28" t="s">
        <v>121</v>
      </c>
      <c r="D139" s="30" t="s">
        <v>153</v>
      </c>
      <c r="E139" s="28" t="s">
        <v>155</v>
      </c>
      <c r="F139" s="31">
        <v>0</v>
      </c>
      <c r="G139" s="31">
        <v>50</v>
      </c>
      <c r="H139" s="31">
        <v>50</v>
      </c>
    </row>
    <row r="140" spans="1:9" s="59" customFormat="1" ht="24" customHeight="1">
      <c r="A140" s="39" t="s">
        <v>156</v>
      </c>
      <c r="B140" s="28" t="s">
        <v>12</v>
      </c>
      <c r="C140" s="28" t="s">
        <v>121</v>
      </c>
      <c r="D140" s="30" t="s">
        <v>157</v>
      </c>
      <c r="E140" s="28"/>
      <c r="F140" s="31">
        <f t="shared" ref="F140:H141" si="18">F141</f>
        <v>0</v>
      </c>
      <c r="G140" s="31">
        <f t="shared" si="18"/>
        <v>30</v>
      </c>
      <c r="H140" s="31">
        <f t="shared" si="18"/>
        <v>30</v>
      </c>
    </row>
    <row r="141" spans="1:9" s="59" customFormat="1" ht="24" customHeight="1">
      <c r="A141" s="70" t="s">
        <v>158</v>
      </c>
      <c r="B141" s="28" t="s">
        <v>12</v>
      </c>
      <c r="C141" s="28" t="s">
        <v>121</v>
      </c>
      <c r="D141" s="30" t="s">
        <v>159</v>
      </c>
      <c r="E141" s="28"/>
      <c r="F141" s="31">
        <f t="shared" si="18"/>
        <v>0</v>
      </c>
      <c r="G141" s="31">
        <f t="shared" si="18"/>
        <v>30</v>
      </c>
      <c r="H141" s="31">
        <f t="shared" si="18"/>
        <v>30</v>
      </c>
    </row>
    <row r="142" spans="1:9" s="59" customFormat="1" ht="15" customHeight="1">
      <c r="A142" s="69" t="s">
        <v>154</v>
      </c>
      <c r="B142" s="28" t="s">
        <v>12</v>
      </c>
      <c r="C142" s="28" t="s">
        <v>121</v>
      </c>
      <c r="D142" s="30" t="s">
        <v>159</v>
      </c>
      <c r="E142" s="28" t="s">
        <v>155</v>
      </c>
      <c r="F142" s="31">
        <v>0</v>
      </c>
      <c r="G142" s="31">
        <v>30</v>
      </c>
      <c r="H142" s="31">
        <v>30</v>
      </c>
    </row>
    <row r="143" spans="1:9" s="59" customFormat="1" ht="27" customHeight="1">
      <c r="A143" s="39" t="s">
        <v>15</v>
      </c>
      <c r="B143" s="28" t="s">
        <v>12</v>
      </c>
      <c r="C143" s="28" t="s">
        <v>121</v>
      </c>
      <c r="D143" s="30" t="s">
        <v>17</v>
      </c>
      <c r="E143" s="28"/>
      <c r="F143" s="31">
        <f>F144+F153+F157+F166</f>
        <v>3004.3999999999996</v>
      </c>
      <c r="G143" s="31">
        <f>G144+G153+G157+G166</f>
        <v>3004.3999999999996</v>
      </c>
      <c r="H143" s="31">
        <f>H144+H153+H157+H166</f>
        <v>3004.3999999999996</v>
      </c>
    </row>
    <row r="144" spans="1:9" s="48" customFormat="1" ht="27" customHeight="1">
      <c r="A144" s="27" t="s">
        <v>160</v>
      </c>
      <c r="B144" s="28" t="s">
        <v>12</v>
      </c>
      <c r="C144" s="28" t="s">
        <v>121</v>
      </c>
      <c r="D144" s="30" t="s">
        <v>161</v>
      </c>
      <c r="E144" s="28"/>
      <c r="F144" s="31">
        <f>F145+F150</f>
        <v>470</v>
      </c>
      <c r="G144" s="31">
        <f>G145+G150</f>
        <v>470</v>
      </c>
      <c r="H144" s="31">
        <f>H145+H150</f>
        <v>470</v>
      </c>
    </row>
    <row r="145" spans="1:8" s="48" customFormat="1" ht="27" customHeight="1">
      <c r="A145" s="27" t="s">
        <v>162</v>
      </c>
      <c r="B145" s="28" t="s">
        <v>12</v>
      </c>
      <c r="C145" s="28" t="s">
        <v>121</v>
      </c>
      <c r="D145" s="30" t="s">
        <v>163</v>
      </c>
      <c r="E145" s="28"/>
      <c r="F145" s="31">
        <f>F146+F148</f>
        <v>390</v>
      </c>
      <c r="G145" s="31">
        <f>G146+G148</f>
        <v>390</v>
      </c>
      <c r="H145" s="31">
        <f>H146+H148</f>
        <v>390</v>
      </c>
    </row>
    <row r="146" spans="1:8" s="48" customFormat="1" ht="27.75" customHeight="1">
      <c r="A146" s="39" t="s">
        <v>164</v>
      </c>
      <c r="B146" s="28" t="s">
        <v>12</v>
      </c>
      <c r="C146" s="28" t="s">
        <v>121</v>
      </c>
      <c r="D146" s="30" t="s">
        <v>165</v>
      </c>
      <c r="E146" s="28"/>
      <c r="F146" s="31">
        <f>F147</f>
        <v>390</v>
      </c>
      <c r="G146" s="31">
        <f>G147</f>
        <v>390</v>
      </c>
      <c r="H146" s="31">
        <f>H147</f>
        <v>390</v>
      </c>
    </row>
    <row r="147" spans="1:8" s="48" customFormat="1" ht="24.75" customHeight="1">
      <c r="A147" s="52" t="s">
        <v>134</v>
      </c>
      <c r="B147" s="28" t="s">
        <v>12</v>
      </c>
      <c r="C147" s="28" t="s">
        <v>121</v>
      </c>
      <c r="D147" s="30" t="s">
        <v>165</v>
      </c>
      <c r="E147" s="28" t="s">
        <v>135</v>
      </c>
      <c r="F147" s="31">
        <v>390</v>
      </c>
      <c r="G147" s="31">
        <v>390</v>
      </c>
      <c r="H147" s="31">
        <v>390</v>
      </c>
    </row>
    <row r="148" spans="1:8" s="48" customFormat="1" ht="16.5" hidden="1" customHeight="1">
      <c r="A148" s="39" t="s">
        <v>166</v>
      </c>
      <c r="B148" s="28" t="s">
        <v>12</v>
      </c>
      <c r="C148" s="28" t="s">
        <v>121</v>
      </c>
      <c r="D148" s="30" t="s">
        <v>167</v>
      </c>
      <c r="E148" s="28"/>
      <c r="F148" s="31">
        <f>F149</f>
        <v>0</v>
      </c>
      <c r="G148" s="31">
        <f>G149</f>
        <v>0</v>
      </c>
      <c r="H148" s="31">
        <f>H149</f>
        <v>0</v>
      </c>
    </row>
    <row r="149" spans="1:8" s="48" customFormat="1" ht="26.25" hidden="1" customHeight="1">
      <c r="A149" s="39" t="s">
        <v>49</v>
      </c>
      <c r="B149" s="28" t="s">
        <v>12</v>
      </c>
      <c r="C149" s="28" t="s">
        <v>121</v>
      </c>
      <c r="D149" s="30" t="s">
        <v>167</v>
      </c>
      <c r="E149" s="28" t="s">
        <v>38</v>
      </c>
      <c r="F149" s="31">
        <v>0</v>
      </c>
      <c r="G149" s="31">
        <v>0</v>
      </c>
      <c r="H149" s="31">
        <v>0</v>
      </c>
    </row>
    <row r="150" spans="1:8" s="48" customFormat="1" ht="27" customHeight="1">
      <c r="A150" s="39" t="s">
        <v>168</v>
      </c>
      <c r="B150" s="28" t="s">
        <v>12</v>
      </c>
      <c r="C150" s="28" t="s">
        <v>121</v>
      </c>
      <c r="D150" s="30" t="s">
        <v>169</v>
      </c>
      <c r="E150" s="28"/>
      <c r="F150" s="31">
        <f t="shared" ref="F150:H151" si="19">F151</f>
        <v>80</v>
      </c>
      <c r="G150" s="31">
        <f t="shared" si="19"/>
        <v>80</v>
      </c>
      <c r="H150" s="31">
        <f t="shared" si="19"/>
        <v>80</v>
      </c>
    </row>
    <row r="151" spans="1:8" s="48" customFormat="1" ht="26.25" customHeight="1">
      <c r="A151" s="39" t="s">
        <v>170</v>
      </c>
      <c r="B151" s="28" t="s">
        <v>12</v>
      </c>
      <c r="C151" s="28" t="s">
        <v>121</v>
      </c>
      <c r="D151" s="30" t="s">
        <v>171</v>
      </c>
      <c r="E151" s="28"/>
      <c r="F151" s="31">
        <f t="shared" si="19"/>
        <v>80</v>
      </c>
      <c r="G151" s="31">
        <f t="shared" si="19"/>
        <v>80</v>
      </c>
      <c r="H151" s="31">
        <f t="shared" si="19"/>
        <v>80</v>
      </c>
    </row>
    <row r="152" spans="1:8" s="48" customFormat="1" ht="27" customHeight="1">
      <c r="A152" s="39" t="s">
        <v>37</v>
      </c>
      <c r="B152" s="28" t="s">
        <v>12</v>
      </c>
      <c r="C152" s="28" t="s">
        <v>121</v>
      </c>
      <c r="D152" s="30" t="s">
        <v>171</v>
      </c>
      <c r="E152" s="28" t="s">
        <v>38</v>
      </c>
      <c r="F152" s="31">
        <v>80</v>
      </c>
      <c r="G152" s="31">
        <v>80</v>
      </c>
      <c r="H152" s="31">
        <v>80</v>
      </c>
    </row>
    <row r="153" spans="1:8" s="48" customFormat="1" ht="25.5" customHeight="1">
      <c r="A153" s="71" t="s">
        <v>172</v>
      </c>
      <c r="B153" s="28" t="s">
        <v>12</v>
      </c>
      <c r="C153" s="28" t="s">
        <v>121</v>
      </c>
      <c r="D153" s="30" t="s">
        <v>173</v>
      </c>
      <c r="E153" s="28"/>
      <c r="F153" s="31">
        <f t="shared" ref="F153:H155" si="20">F154</f>
        <v>7</v>
      </c>
      <c r="G153" s="31">
        <f t="shared" si="20"/>
        <v>7</v>
      </c>
      <c r="H153" s="31">
        <f t="shared" si="20"/>
        <v>7</v>
      </c>
    </row>
    <row r="154" spans="1:8" s="48" customFormat="1" ht="37.5" customHeight="1">
      <c r="A154" s="71" t="s">
        <v>174</v>
      </c>
      <c r="B154" s="28" t="s">
        <v>12</v>
      </c>
      <c r="C154" s="28" t="s">
        <v>121</v>
      </c>
      <c r="D154" s="30" t="s">
        <v>175</v>
      </c>
      <c r="E154" s="28"/>
      <c r="F154" s="31">
        <f t="shared" si="20"/>
        <v>7</v>
      </c>
      <c r="G154" s="31">
        <f t="shared" si="20"/>
        <v>7</v>
      </c>
      <c r="H154" s="31">
        <f t="shared" si="20"/>
        <v>7</v>
      </c>
    </row>
    <row r="155" spans="1:8" s="48" customFormat="1" ht="15" customHeight="1">
      <c r="A155" s="72" t="s">
        <v>176</v>
      </c>
      <c r="B155" s="28" t="s">
        <v>12</v>
      </c>
      <c r="C155" s="28" t="s">
        <v>121</v>
      </c>
      <c r="D155" s="30" t="s">
        <v>177</v>
      </c>
      <c r="E155" s="28"/>
      <c r="F155" s="31">
        <f t="shared" si="20"/>
        <v>7</v>
      </c>
      <c r="G155" s="31">
        <f t="shared" si="20"/>
        <v>7</v>
      </c>
      <c r="H155" s="31">
        <f t="shared" si="20"/>
        <v>7</v>
      </c>
    </row>
    <row r="156" spans="1:8" s="48" customFormat="1" ht="26.25" customHeight="1">
      <c r="A156" s="39" t="s">
        <v>37</v>
      </c>
      <c r="B156" s="28" t="s">
        <v>12</v>
      </c>
      <c r="C156" s="28" t="s">
        <v>121</v>
      </c>
      <c r="D156" s="30" t="s">
        <v>177</v>
      </c>
      <c r="E156" s="28" t="s">
        <v>38</v>
      </c>
      <c r="F156" s="31">
        <v>7</v>
      </c>
      <c r="G156" s="31">
        <v>7</v>
      </c>
      <c r="H156" s="31">
        <v>7</v>
      </c>
    </row>
    <row r="157" spans="1:8" s="48" customFormat="1" ht="49.5" customHeight="1">
      <c r="A157" s="71" t="s">
        <v>178</v>
      </c>
      <c r="B157" s="28" t="s">
        <v>12</v>
      </c>
      <c r="C157" s="28" t="s">
        <v>121</v>
      </c>
      <c r="D157" s="30" t="s">
        <v>179</v>
      </c>
      <c r="E157" s="28"/>
      <c r="F157" s="31">
        <f>F158</f>
        <v>2398.3999999999996</v>
      </c>
      <c r="G157" s="31">
        <f>G158</f>
        <v>2398.3999999999996</v>
      </c>
      <c r="H157" s="31">
        <f>H158</f>
        <v>2398.3999999999996</v>
      </c>
    </row>
    <row r="158" spans="1:8" s="48" customFormat="1" ht="50.25" customHeight="1">
      <c r="A158" s="71" t="s">
        <v>180</v>
      </c>
      <c r="B158" s="28" t="s">
        <v>12</v>
      </c>
      <c r="C158" s="28" t="s">
        <v>121</v>
      </c>
      <c r="D158" s="30" t="s">
        <v>181</v>
      </c>
      <c r="E158" s="28"/>
      <c r="F158" s="31">
        <f>F159+F163</f>
        <v>2398.3999999999996</v>
      </c>
      <c r="G158" s="31">
        <f>G159+G163</f>
        <v>2398.3999999999996</v>
      </c>
      <c r="H158" s="31">
        <f>H159+H163</f>
        <v>2398.3999999999996</v>
      </c>
    </row>
    <row r="159" spans="1:8" s="48" customFormat="1" ht="24" hidden="1" customHeight="1">
      <c r="A159" s="72" t="s">
        <v>182</v>
      </c>
      <c r="B159" s="28" t="s">
        <v>12</v>
      </c>
      <c r="C159" s="28" t="s">
        <v>121</v>
      </c>
      <c r="D159" s="30" t="s">
        <v>183</v>
      </c>
      <c r="E159" s="28"/>
      <c r="F159" s="31">
        <f>F160+F161+F162</f>
        <v>0</v>
      </c>
      <c r="G159" s="31">
        <f>G160+G161+G162</f>
        <v>0</v>
      </c>
      <c r="H159" s="31">
        <f>H160+H161+H162</f>
        <v>0</v>
      </c>
    </row>
    <row r="160" spans="1:8" s="48" customFormat="1" ht="17.25" hidden="1" customHeight="1">
      <c r="A160" s="73" t="s">
        <v>184</v>
      </c>
      <c r="B160" s="28" t="s">
        <v>12</v>
      </c>
      <c r="C160" s="28" t="s">
        <v>121</v>
      </c>
      <c r="D160" s="30" t="s">
        <v>183</v>
      </c>
      <c r="E160" s="28" t="s">
        <v>185</v>
      </c>
      <c r="F160" s="31"/>
      <c r="G160" s="31"/>
      <c r="H160" s="31"/>
    </row>
    <row r="161" spans="1:9" s="48" customFormat="1" ht="26.25" hidden="1" customHeight="1">
      <c r="A161" s="39" t="s">
        <v>37</v>
      </c>
      <c r="B161" s="28" t="s">
        <v>12</v>
      </c>
      <c r="C161" s="28" t="s">
        <v>121</v>
      </c>
      <c r="D161" s="30" t="s">
        <v>183</v>
      </c>
      <c r="E161" s="28" t="s">
        <v>38</v>
      </c>
      <c r="F161" s="31"/>
      <c r="G161" s="31"/>
      <c r="H161" s="31"/>
    </row>
    <row r="162" spans="1:9" s="48" customFormat="1" ht="18" hidden="1" customHeight="1">
      <c r="A162" s="44" t="s">
        <v>41</v>
      </c>
      <c r="B162" s="28" t="s">
        <v>12</v>
      </c>
      <c r="C162" s="28" t="s">
        <v>121</v>
      </c>
      <c r="D162" s="30" t="s">
        <v>183</v>
      </c>
      <c r="E162" s="28" t="s">
        <v>42</v>
      </c>
      <c r="F162" s="31">
        <v>0</v>
      </c>
      <c r="G162" s="31">
        <v>0</v>
      </c>
      <c r="H162" s="31">
        <v>0</v>
      </c>
    </row>
    <row r="163" spans="1:9" s="48" customFormat="1" ht="75.75" customHeight="1">
      <c r="A163" s="64" t="s">
        <v>186</v>
      </c>
      <c r="B163" s="28" t="s">
        <v>12</v>
      </c>
      <c r="C163" s="28" t="s">
        <v>121</v>
      </c>
      <c r="D163" s="30" t="s">
        <v>187</v>
      </c>
      <c r="E163" s="28"/>
      <c r="F163" s="31">
        <f>F164+F165</f>
        <v>2398.3999999999996</v>
      </c>
      <c r="G163" s="31">
        <f>G164+G165</f>
        <v>2398.3999999999996</v>
      </c>
      <c r="H163" s="31">
        <f>H164+H165</f>
        <v>2398.3999999999996</v>
      </c>
    </row>
    <row r="164" spans="1:9" s="48" customFormat="1" ht="18" customHeight="1">
      <c r="A164" s="73" t="s">
        <v>184</v>
      </c>
      <c r="B164" s="28" t="s">
        <v>12</v>
      </c>
      <c r="C164" s="28" t="s">
        <v>121</v>
      </c>
      <c r="D164" s="30" t="s">
        <v>187</v>
      </c>
      <c r="E164" s="28" t="s">
        <v>185</v>
      </c>
      <c r="F164" s="31">
        <f>2209.7+15.2</f>
        <v>2224.8999999999996</v>
      </c>
      <c r="G164" s="31">
        <f>2209.7+15.2</f>
        <v>2224.8999999999996</v>
      </c>
      <c r="H164" s="31">
        <f>2209.7+15.2</f>
        <v>2224.8999999999996</v>
      </c>
    </row>
    <row r="165" spans="1:9" s="48" customFormat="1" ht="24" customHeight="1">
      <c r="A165" s="39" t="s">
        <v>37</v>
      </c>
      <c r="B165" s="28" t="s">
        <v>12</v>
      </c>
      <c r="C165" s="28" t="s">
        <v>121</v>
      </c>
      <c r="D165" s="30" t="s">
        <v>187</v>
      </c>
      <c r="E165" s="28" t="s">
        <v>38</v>
      </c>
      <c r="F165" s="31">
        <v>173.5</v>
      </c>
      <c r="G165" s="31">
        <v>173.5</v>
      </c>
      <c r="H165" s="31">
        <v>173.5</v>
      </c>
    </row>
    <row r="166" spans="1:9" s="48" customFormat="1" ht="42" customHeight="1">
      <c r="A166" s="47" t="s">
        <v>16</v>
      </c>
      <c r="B166" s="28" t="s">
        <v>12</v>
      </c>
      <c r="C166" s="28" t="s">
        <v>121</v>
      </c>
      <c r="D166" s="30" t="s">
        <v>19</v>
      </c>
      <c r="E166" s="28"/>
      <c r="F166" s="31">
        <f>F167</f>
        <v>129</v>
      </c>
      <c r="G166" s="31">
        <f>G167</f>
        <v>129</v>
      </c>
      <c r="H166" s="31">
        <f>H167</f>
        <v>129</v>
      </c>
    </row>
    <row r="167" spans="1:9" s="48" customFormat="1" ht="25.5" customHeight="1">
      <c r="A167" s="47" t="s">
        <v>18</v>
      </c>
      <c r="B167" s="28" t="s">
        <v>12</v>
      </c>
      <c r="C167" s="28" t="s">
        <v>121</v>
      </c>
      <c r="D167" s="30" t="s">
        <v>21</v>
      </c>
      <c r="E167" s="28"/>
      <c r="F167" s="31">
        <f>F168+F170</f>
        <v>129</v>
      </c>
      <c r="G167" s="31">
        <f>G168+G170</f>
        <v>129</v>
      </c>
      <c r="H167" s="31">
        <f>H168+H170</f>
        <v>129</v>
      </c>
    </row>
    <row r="168" spans="1:9" s="48" customFormat="1" ht="19.5" customHeight="1">
      <c r="A168" s="73" t="s">
        <v>188</v>
      </c>
      <c r="B168" s="28" t="s">
        <v>12</v>
      </c>
      <c r="C168" s="28" t="s">
        <v>121</v>
      </c>
      <c r="D168" s="29" t="s">
        <v>189</v>
      </c>
      <c r="E168" s="28"/>
      <c r="F168" s="31">
        <f>F169</f>
        <v>120</v>
      </c>
      <c r="G168" s="31">
        <f>G169</f>
        <v>120</v>
      </c>
      <c r="H168" s="31">
        <f>H169</f>
        <v>120</v>
      </c>
    </row>
    <row r="169" spans="1:9" s="48" customFormat="1" ht="16.5" customHeight="1">
      <c r="A169" s="39" t="s">
        <v>41</v>
      </c>
      <c r="B169" s="28" t="s">
        <v>12</v>
      </c>
      <c r="C169" s="28" t="s">
        <v>121</v>
      </c>
      <c r="D169" s="29" t="s">
        <v>189</v>
      </c>
      <c r="E169" s="28" t="s">
        <v>42</v>
      </c>
      <c r="F169" s="31">
        <v>120</v>
      </c>
      <c r="G169" s="31">
        <v>120</v>
      </c>
      <c r="H169" s="31">
        <v>120</v>
      </c>
    </row>
    <row r="170" spans="1:9" s="48" customFormat="1" ht="15.75" customHeight="1">
      <c r="A170" s="39" t="s">
        <v>190</v>
      </c>
      <c r="B170" s="28" t="s">
        <v>12</v>
      </c>
      <c r="C170" s="28" t="s">
        <v>121</v>
      </c>
      <c r="D170" s="30" t="s">
        <v>191</v>
      </c>
      <c r="E170" s="28"/>
      <c r="F170" s="31">
        <f>F171</f>
        <v>9</v>
      </c>
      <c r="G170" s="31">
        <f>G171</f>
        <v>9</v>
      </c>
      <c r="H170" s="31">
        <f>H171</f>
        <v>9</v>
      </c>
    </row>
    <row r="171" spans="1:9" s="48" customFormat="1" ht="14.25" customHeight="1">
      <c r="A171" s="39" t="s">
        <v>41</v>
      </c>
      <c r="B171" s="28" t="s">
        <v>12</v>
      </c>
      <c r="C171" s="28" t="s">
        <v>121</v>
      </c>
      <c r="D171" s="30" t="s">
        <v>191</v>
      </c>
      <c r="E171" s="28" t="s">
        <v>42</v>
      </c>
      <c r="F171" s="31">
        <v>9</v>
      </c>
      <c r="G171" s="31">
        <v>9</v>
      </c>
      <c r="H171" s="31">
        <v>9</v>
      </c>
    </row>
    <row r="172" spans="1:9" s="48" customFormat="1" ht="27" customHeight="1">
      <c r="A172" s="39" t="s">
        <v>192</v>
      </c>
      <c r="B172" s="28" t="s">
        <v>12</v>
      </c>
      <c r="C172" s="28" t="s">
        <v>121</v>
      </c>
      <c r="D172" s="30" t="s">
        <v>193</v>
      </c>
      <c r="E172" s="28"/>
      <c r="F172" s="31">
        <f>F176+F173</f>
        <v>1280.3</v>
      </c>
      <c r="G172" s="31">
        <f>G176</f>
        <v>200</v>
      </c>
      <c r="H172" s="31">
        <f>H176</f>
        <v>200</v>
      </c>
    </row>
    <row r="173" spans="1:9" s="48" customFormat="1" ht="27" customHeight="1">
      <c r="A173" s="74" t="s">
        <v>194</v>
      </c>
      <c r="B173" s="29" t="s">
        <v>12</v>
      </c>
      <c r="C173" s="29" t="s">
        <v>121</v>
      </c>
      <c r="D173" s="30" t="s">
        <v>195</v>
      </c>
      <c r="E173" s="29"/>
      <c r="F173" s="31">
        <f t="shared" ref="F173:H174" si="21">F174</f>
        <v>150</v>
      </c>
      <c r="G173" s="31">
        <f t="shared" si="21"/>
        <v>0</v>
      </c>
      <c r="H173" s="31">
        <f t="shared" si="21"/>
        <v>0</v>
      </c>
    </row>
    <row r="174" spans="1:9" s="48" customFormat="1" ht="17.25" customHeight="1">
      <c r="A174" s="74" t="s">
        <v>196</v>
      </c>
      <c r="B174" s="29" t="s">
        <v>12</v>
      </c>
      <c r="C174" s="29" t="s">
        <v>121</v>
      </c>
      <c r="D174" s="30" t="s">
        <v>197</v>
      </c>
      <c r="E174" s="29"/>
      <c r="F174" s="31">
        <f t="shared" si="21"/>
        <v>150</v>
      </c>
      <c r="G174" s="31">
        <f t="shared" si="21"/>
        <v>0</v>
      </c>
      <c r="H174" s="31">
        <f t="shared" si="21"/>
        <v>0</v>
      </c>
    </row>
    <row r="175" spans="1:9" s="48" customFormat="1" ht="27" customHeight="1">
      <c r="A175" s="35" t="s">
        <v>37</v>
      </c>
      <c r="B175" s="29" t="s">
        <v>12</v>
      </c>
      <c r="C175" s="29" t="s">
        <v>121</v>
      </c>
      <c r="D175" s="30" t="s">
        <v>197</v>
      </c>
      <c r="E175" s="29" t="s">
        <v>38</v>
      </c>
      <c r="F175" s="31">
        <v>150</v>
      </c>
      <c r="G175" s="31">
        <v>0</v>
      </c>
      <c r="H175" s="31">
        <v>0</v>
      </c>
      <c r="I175"/>
    </row>
    <row r="176" spans="1:9" s="59" customFormat="1" ht="27" customHeight="1">
      <c r="A176" s="73" t="s">
        <v>198</v>
      </c>
      <c r="B176" s="28" t="s">
        <v>12</v>
      </c>
      <c r="C176" s="28" t="s">
        <v>121</v>
      </c>
      <c r="D176" s="30" t="s">
        <v>199</v>
      </c>
      <c r="E176" s="28"/>
      <c r="F176" s="31">
        <f t="shared" ref="F176:H177" si="22">F177</f>
        <v>1130.3</v>
      </c>
      <c r="G176" s="31">
        <f t="shared" si="22"/>
        <v>200</v>
      </c>
      <c r="H176" s="31">
        <f t="shared" si="22"/>
        <v>200</v>
      </c>
    </row>
    <row r="177" spans="1:10" s="59" customFormat="1" ht="17.25" customHeight="1">
      <c r="A177" s="75" t="s">
        <v>200</v>
      </c>
      <c r="B177" s="28" t="s">
        <v>12</v>
      </c>
      <c r="C177" s="28" t="s">
        <v>121</v>
      </c>
      <c r="D177" s="30" t="s">
        <v>201</v>
      </c>
      <c r="E177" s="28"/>
      <c r="F177" s="31">
        <f t="shared" si="22"/>
        <v>1130.3</v>
      </c>
      <c r="G177" s="31">
        <f t="shared" si="22"/>
        <v>200</v>
      </c>
      <c r="H177" s="31">
        <f t="shared" si="22"/>
        <v>200</v>
      </c>
    </row>
    <row r="178" spans="1:10" s="59" customFormat="1" ht="18.75" customHeight="1">
      <c r="A178" s="69" t="s">
        <v>202</v>
      </c>
      <c r="B178" s="28" t="s">
        <v>12</v>
      </c>
      <c r="C178" s="28" t="s">
        <v>121</v>
      </c>
      <c r="D178" s="30" t="s">
        <v>201</v>
      </c>
      <c r="E178" s="28" t="s">
        <v>155</v>
      </c>
      <c r="F178" s="31">
        <v>1130.3</v>
      </c>
      <c r="G178" s="31">
        <v>200</v>
      </c>
      <c r="H178" s="31">
        <v>200</v>
      </c>
    </row>
    <row r="179" spans="1:10" s="59" customFormat="1" ht="39" customHeight="1">
      <c r="A179" s="35" t="s">
        <v>64</v>
      </c>
      <c r="B179" s="28" t="s">
        <v>12</v>
      </c>
      <c r="C179" s="28" t="s">
        <v>121</v>
      </c>
      <c r="D179" s="30" t="s">
        <v>65</v>
      </c>
      <c r="E179" s="28"/>
      <c r="F179" s="31">
        <f t="shared" ref="F179:H182" si="23">F180</f>
        <v>2.5</v>
      </c>
      <c r="G179" s="31">
        <f t="shared" si="23"/>
        <v>2.5</v>
      </c>
      <c r="H179" s="31">
        <f t="shared" si="23"/>
        <v>2.5</v>
      </c>
    </row>
    <row r="180" spans="1:10" s="59" customFormat="1" ht="39.75" customHeight="1">
      <c r="A180" s="76" t="s">
        <v>203</v>
      </c>
      <c r="B180" s="28" t="s">
        <v>12</v>
      </c>
      <c r="C180" s="28" t="s">
        <v>121</v>
      </c>
      <c r="D180" s="30" t="s">
        <v>204</v>
      </c>
      <c r="E180" s="28"/>
      <c r="F180" s="31">
        <f t="shared" si="23"/>
        <v>2.5</v>
      </c>
      <c r="G180" s="31">
        <f t="shared" si="23"/>
        <v>2.5</v>
      </c>
      <c r="H180" s="31">
        <f t="shared" si="23"/>
        <v>2.5</v>
      </c>
    </row>
    <row r="181" spans="1:10" s="59" customFormat="1" ht="36.75" customHeight="1">
      <c r="A181" s="58" t="s">
        <v>205</v>
      </c>
      <c r="B181" s="28" t="s">
        <v>12</v>
      </c>
      <c r="C181" s="28" t="s">
        <v>121</v>
      </c>
      <c r="D181" s="30" t="s">
        <v>206</v>
      </c>
      <c r="E181" s="28"/>
      <c r="F181" s="31">
        <f t="shared" si="23"/>
        <v>2.5</v>
      </c>
      <c r="G181" s="31">
        <f t="shared" si="23"/>
        <v>2.5</v>
      </c>
      <c r="H181" s="31">
        <f t="shared" si="23"/>
        <v>2.5</v>
      </c>
    </row>
    <row r="182" spans="1:10" s="59" customFormat="1" ht="52.5" customHeight="1">
      <c r="A182" s="58" t="s">
        <v>207</v>
      </c>
      <c r="B182" s="28" t="s">
        <v>12</v>
      </c>
      <c r="C182" s="28" t="s">
        <v>121</v>
      </c>
      <c r="D182" s="30" t="s">
        <v>208</v>
      </c>
      <c r="E182" s="28"/>
      <c r="F182" s="31">
        <f t="shared" si="23"/>
        <v>2.5</v>
      </c>
      <c r="G182" s="31">
        <f>G183</f>
        <v>2.5</v>
      </c>
      <c r="H182" s="31">
        <f>H183</f>
        <v>2.5</v>
      </c>
    </row>
    <row r="183" spans="1:10" s="59" customFormat="1" ht="25.5" customHeight="1">
      <c r="A183" s="35" t="s">
        <v>37</v>
      </c>
      <c r="B183" s="28" t="s">
        <v>12</v>
      </c>
      <c r="C183" s="28" t="s">
        <v>121</v>
      </c>
      <c r="D183" s="30" t="s">
        <v>208</v>
      </c>
      <c r="E183" s="28" t="s">
        <v>38</v>
      </c>
      <c r="F183" s="31">
        <v>2.5</v>
      </c>
      <c r="G183" s="31">
        <v>2.5</v>
      </c>
      <c r="H183" s="31">
        <v>2.5</v>
      </c>
    </row>
    <row r="184" spans="1:10" s="59" customFormat="1" ht="27" customHeight="1">
      <c r="A184" s="35" t="s">
        <v>102</v>
      </c>
      <c r="B184" s="28" t="s">
        <v>12</v>
      </c>
      <c r="C184" s="28" t="s">
        <v>121</v>
      </c>
      <c r="D184" s="30" t="s">
        <v>103</v>
      </c>
      <c r="E184" s="28"/>
      <c r="F184" s="31">
        <f>F185+F188</f>
        <v>14720.6</v>
      </c>
      <c r="G184" s="31">
        <f>G185+G188</f>
        <v>14793.6</v>
      </c>
      <c r="H184" s="31">
        <f>H185+H188</f>
        <v>14793.6</v>
      </c>
    </row>
    <row r="185" spans="1:10" s="59" customFormat="1" ht="63.75" customHeight="1">
      <c r="A185" s="70" t="s">
        <v>209</v>
      </c>
      <c r="B185" s="28" t="s">
        <v>12</v>
      </c>
      <c r="C185" s="28" t="s">
        <v>121</v>
      </c>
      <c r="D185" s="30" t="s">
        <v>105</v>
      </c>
      <c r="E185" s="28"/>
      <c r="F185" s="31">
        <f t="shared" ref="F185:H186" si="24">F186</f>
        <v>30</v>
      </c>
      <c r="G185" s="31">
        <f t="shared" si="24"/>
        <v>30</v>
      </c>
      <c r="H185" s="31">
        <f t="shared" si="24"/>
        <v>30</v>
      </c>
    </row>
    <row r="186" spans="1:10" s="59" customFormat="1" ht="18" customHeight="1">
      <c r="A186" s="39" t="s">
        <v>210</v>
      </c>
      <c r="B186" s="28" t="s">
        <v>12</v>
      </c>
      <c r="C186" s="28" t="s">
        <v>121</v>
      </c>
      <c r="D186" s="30" t="s">
        <v>211</v>
      </c>
      <c r="E186" s="28"/>
      <c r="F186" s="31">
        <f t="shared" si="24"/>
        <v>30</v>
      </c>
      <c r="G186" s="31">
        <f t="shared" si="24"/>
        <v>30</v>
      </c>
      <c r="H186" s="31">
        <f t="shared" si="24"/>
        <v>30</v>
      </c>
    </row>
    <row r="187" spans="1:10" s="59" customFormat="1" ht="15.75" customHeight="1">
      <c r="A187" s="39" t="s">
        <v>41</v>
      </c>
      <c r="B187" s="28" t="s">
        <v>12</v>
      </c>
      <c r="C187" s="28" t="s">
        <v>121</v>
      </c>
      <c r="D187" s="30" t="s">
        <v>211</v>
      </c>
      <c r="E187" s="28" t="s">
        <v>42</v>
      </c>
      <c r="F187" s="31">
        <v>30</v>
      </c>
      <c r="G187" s="31">
        <v>30</v>
      </c>
      <c r="H187" s="31">
        <v>30</v>
      </c>
    </row>
    <row r="188" spans="1:10" s="59" customFormat="1" ht="36.75" customHeight="1">
      <c r="A188" s="39" t="s">
        <v>212</v>
      </c>
      <c r="B188" s="28" t="s">
        <v>12</v>
      </c>
      <c r="C188" s="28" t="s">
        <v>121</v>
      </c>
      <c r="D188" s="30" t="s">
        <v>213</v>
      </c>
      <c r="E188" s="28"/>
      <c r="F188" s="31">
        <f>F189+F193</f>
        <v>14690.6</v>
      </c>
      <c r="G188" s="31">
        <f>G189+G193</f>
        <v>14763.6</v>
      </c>
      <c r="H188" s="31">
        <f>H189+H193</f>
        <v>14763.6</v>
      </c>
      <c r="I188" s="77"/>
      <c r="J188" s="77"/>
    </row>
    <row r="189" spans="1:10" s="59" customFormat="1" ht="24" customHeight="1">
      <c r="A189" s="39" t="s">
        <v>182</v>
      </c>
      <c r="B189" s="28" t="s">
        <v>12</v>
      </c>
      <c r="C189" s="28" t="s">
        <v>121</v>
      </c>
      <c r="D189" s="30" t="s">
        <v>214</v>
      </c>
      <c r="E189" s="28"/>
      <c r="F189" s="31">
        <f>F190+F191+F192</f>
        <v>1051</v>
      </c>
      <c r="G189" s="31">
        <f>G190+G191+G192</f>
        <v>1124</v>
      </c>
      <c r="H189" s="31">
        <f>H190+H191+H192</f>
        <v>1124</v>
      </c>
      <c r="I189" s="77"/>
      <c r="J189" s="77"/>
    </row>
    <row r="190" spans="1:10" s="59" customFormat="1" ht="18" hidden="1" customHeight="1">
      <c r="A190" s="78" t="s">
        <v>184</v>
      </c>
      <c r="B190" s="28" t="s">
        <v>12</v>
      </c>
      <c r="C190" s="28" t="s">
        <v>121</v>
      </c>
      <c r="D190" s="30" t="s">
        <v>214</v>
      </c>
      <c r="E190" s="28" t="s">
        <v>185</v>
      </c>
      <c r="F190" s="31">
        <v>0</v>
      </c>
      <c r="G190" s="31">
        <v>0</v>
      </c>
      <c r="H190" s="31">
        <v>0</v>
      </c>
      <c r="I190" s="77"/>
      <c r="J190" s="77"/>
    </row>
    <row r="191" spans="1:10" s="59" customFormat="1" ht="26.25" customHeight="1">
      <c r="A191" s="78" t="s">
        <v>37</v>
      </c>
      <c r="B191" s="28" t="s">
        <v>12</v>
      </c>
      <c r="C191" s="28" t="s">
        <v>121</v>
      </c>
      <c r="D191" s="30" t="s">
        <v>214</v>
      </c>
      <c r="E191" s="28" t="s">
        <v>38</v>
      </c>
      <c r="F191" s="31">
        <f>1119-73</f>
        <v>1046</v>
      </c>
      <c r="G191" s="31">
        <v>1119</v>
      </c>
      <c r="H191" s="31">
        <v>1119</v>
      </c>
      <c r="I191"/>
      <c r="J191" s="77"/>
    </row>
    <row r="192" spans="1:10" s="59" customFormat="1" ht="15.75" customHeight="1">
      <c r="A192" s="39" t="s">
        <v>41</v>
      </c>
      <c r="B192" s="28" t="s">
        <v>12</v>
      </c>
      <c r="C192" s="28" t="s">
        <v>121</v>
      </c>
      <c r="D192" s="30" t="s">
        <v>214</v>
      </c>
      <c r="E192" s="28" t="s">
        <v>42</v>
      </c>
      <c r="F192" s="31">
        <v>5</v>
      </c>
      <c r="G192" s="31">
        <v>5</v>
      </c>
      <c r="H192" s="31">
        <v>5</v>
      </c>
      <c r="I192" s="77"/>
      <c r="J192" s="77"/>
    </row>
    <row r="193" spans="1:10" s="59" customFormat="1" ht="25.5" customHeight="1">
      <c r="A193" s="39" t="s">
        <v>60</v>
      </c>
      <c r="B193" s="28" t="s">
        <v>12</v>
      </c>
      <c r="C193" s="28" t="s">
        <v>121</v>
      </c>
      <c r="D193" s="30" t="s">
        <v>215</v>
      </c>
      <c r="E193" s="28"/>
      <c r="F193" s="31">
        <f>F194</f>
        <v>13639.6</v>
      </c>
      <c r="G193" s="31">
        <f>G194</f>
        <v>13639.6</v>
      </c>
      <c r="H193" s="31">
        <f>H194</f>
        <v>13639.6</v>
      </c>
      <c r="I193" s="77"/>
      <c r="J193" s="77"/>
    </row>
    <row r="194" spans="1:10" s="59" customFormat="1" ht="15.75" customHeight="1">
      <c r="A194" s="78" t="s">
        <v>184</v>
      </c>
      <c r="B194" s="28" t="s">
        <v>12</v>
      </c>
      <c r="C194" s="28" t="s">
        <v>121</v>
      </c>
      <c r="D194" s="30" t="s">
        <v>215</v>
      </c>
      <c r="E194" s="28" t="s">
        <v>185</v>
      </c>
      <c r="F194" s="31">
        <v>13639.6</v>
      </c>
      <c r="G194" s="31">
        <v>13639.6</v>
      </c>
      <c r="H194" s="31">
        <v>13639.6</v>
      </c>
    </row>
    <row r="195" spans="1:10" s="59" customFormat="1" ht="38.25" customHeight="1">
      <c r="A195" s="69" t="s">
        <v>216</v>
      </c>
      <c r="B195" s="28" t="s">
        <v>12</v>
      </c>
      <c r="C195" s="28" t="s">
        <v>121</v>
      </c>
      <c r="D195" s="30" t="s">
        <v>217</v>
      </c>
      <c r="E195" s="28"/>
      <c r="F195" s="31">
        <f>F196+F200</f>
        <v>3307.2</v>
      </c>
      <c r="G195" s="31">
        <f>G196+G200</f>
        <v>2023.6</v>
      </c>
      <c r="H195" s="31">
        <f>H196+H200</f>
        <v>2023.6</v>
      </c>
    </row>
    <row r="196" spans="1:10" s="59" customFormat="1" ht="28.5" customHeight="1">
      <c r="A196" s="79" t="s">
        <v>218</v>
      </c>
      <c r="B196" s="28" t="s">
        <v>12</v>
      </c>
      <c r="C196" s="28" t="s">
        <v>121</v>
      </c>
      <c r="D196" s="30" t="s">
        <v>219</v>
      </c>
      <c r="E196" s="28"/>
      <c r="F196" s="31">
        <f>F197</f>
        <v>2465.6</v>
      </c>
      <c r="G196" s="31">
        <f>G197</f>
        <v>1508.6</v>
      </c>
      <c r="H196" s="31">
        <f>H197</f>
        <v>1508.6</v>
      </c>
    </row>
    <row r="197" spans="1:10" s="59" customFormat="1" ht="25.5" customHeight="1">
      <c r="A197" s="79" t="s">
        <v>220</v>
      </c>
      <c r="B197" s="28" t="s">
        <v>12</v>
      </c>
      <c r="C197" s="28" t="s">
        <v>121</v>
      </c>
      <c r="D197" s="30" t="s">
        <v>221</v>
      </c>
      <c r="E197" s="28"/>
      <c r="F197" s="31">
        <f>F198+F199</f>
        <v>2465.6</v>
      </c>
      <c r="G197" s="31">
        <f>G198+G199</f>
        <v>1508.6</v>
      </c>
      <c r="H197" s="31">
        <f>H198+H199</f>
        <v>1508.6</v>
      </c>
    </row>
    <row r="198" spans="1:10" s="59" customFormat="1" ht="25.5" customHeight="1">
      <c r="A198" s="39" t="s">
        <v>37</v>
      </c>
      <c r="B198" s="28" t="s">
        <v>12</v>
      </c>
      <c r="C198" s="28" t="s">
        <v>121</v>
      </c>
      <c r="D198" s="30" t="s">
        <v>221</v>
      </c>
      <c r="E198" s="28" t="s">
        <v>38</v>
      </c>
      <c r="F198" s="31">
        <f>30+18.5+237+400+850+150+25+720+80+10+0.1+300-400</f>
        <v>2420.6</v>
      </c>
      <c r="G198" s="31">
        <f>1163.6+300</f>
        <v>1463.6</v>
      </c>
      <c r="H198" s="31">
        <f>1163.6+300</f>
        <v>1463.6</v>
      </c>
      <c r="I198"/>
    </row>
    <row r="199" spans="1:10" s="59" customFormat="1" ht="15.75" customHeight="1">
      <c r="A199" s="39" t="s">
        <v>41</v>
      </c>
      <c r="B199" s="28" t="s">
        <v>12</v>
      </c>
      <c r="C199" s="28" t="s">
        <v>121</v>
      </c>
      <c r="D199" s="30" t="s">
        <v>221</v>
      </c>
      <c r="E199" s="28" t="s">
        <v>42</v>
      </c>
      <c r="F199" s="31">
        <v>45</v>
      </c>
      <c r="G199" s="31">
        <v>45</v>
      </c>
      <c r="H199" s="31">
        <v>45</v>
      </c>
    </row>
    <row r="200" spans="1:10" s="59" customFormat="1" ht="27" customHeight="1">
      <c r="A200" s="79" t="s">
        <v>222</v>
      </c>
      <c r="B200" s="28" t="s">
        <v>12</v>
      </c>
      <c r="C200" s="28" t="s">
        <v>121</v>
      </c>
      <c r="D200" s="30" t="s">
        <v>223</v>
      </c>
      <c r="E200" s="28"/>
      <c r="F200" s="31">
        <f>F201+F208+F204+F206</f>
        <v>841.6</v>
      </c>
      <c r="G200" s="31">
        <f>G201+G208+G204+G206</f>
        <v>515</v>
      </c>
      <c r="H200" s="31">
        <f>H201+H208+H204+H206</f>
        <v>515</v>
      </c>
    </row>
    <row r="201" spans="1:10" s="59" customFormat="1" ht="26.25" customHeight="1">
      <c r="A201" s="79" t="s">
        <v>220</v>
      </c>
      <c r="B201" s="28" t="s">
        <v>12</v>
      </c>
      <c r="C201" s="28" t="s">
        <v>121</v>
      </c>
      <c r="D201" s="30" t="s">
        <v>224</v>
      </c>
      <c r="E201" s="28"/>
      <c r="F201" s="31">
        <f>F202+F203</f>
        <v>515</v>
      </c>
      <c r="G201" s="31">
        <f>G202+G203</f>
        <v>515</v>
      </c>
      <c r="H201" s="31">
        <f>H202+H203</f>
        <v>515</v>
      </c>
    </row>
    <row r="202" spans="1:10" s="59" customFormat="1" ht="27" customHeight="1">
      <c r="A202" s="39" t="s">
        <v>37</v>
      </c>
      <c r="B202" s="28" t="s">
        <v>12</v>
      </c>
      <c r="C202" s="28" t="s">
        <v>121</v>
      </c>
      <c r="D202" s="30" t="s">
        <v>224</v>
      </c>
      <c r="E202" s="28" t="s">
        <v>38</v>
      </c>
      <c r="F202" s="31">
        <f>150+225+90+50</f>
        <v>515</v>
      </c>
      <c r="G202" s="31">
        <f>150+225+90+50</f>
        <v>515</v>
      </c>
      <c r="H202" s="31">
        <f>150+225+90+50</f>
        <v>515</v>
      </c>
    </row>
    <row r="203" spans="1:10" s="59" customFormat="1" ht="14.25" hidden="1" customHeight="1">
      <c r="A203" s="35" t="s">
        <v>225</v>
      </c>
      <c r="B203" s="28" t="s">
        <v>12</v>
      </c>
      <c r="C203" s="28" t="s">
        <v>121</v>
      </c>
      <c r="D203" s="30" t="s">
        <v>224</v>
      </c>
      <c r="E203" s="28" t="s">
        <v>226</v>
      </c>
      <c r="F203" s="31">
        <v>0</v>
      </c>
      <c r="G203" s="31">
        <v>0</v>
      </c>
      <c r="H203" s="31">
        <v>0</v>
      </c>
    </row>
    <row r="204" spans="1:10" s="59" customFormat="1" ht="27" customHeight="1">
      <c r="A204" s="58" t="s">
        <v>227</v>
      </c>
      <c r="B204" s="28" t="s">
        <v>12</v>
      </c>
      <c r="C204" s="28" t="s">
        <v>121</v>
      </c>
      <c r="D204" s="30" t="s">
        <v>228</v>
      </c>
      <c r="E204" s="28"/>
      <c r="F204" s="31">
        <f>F205</f>
        <v>60</v>
      </c>
      <c r="G204" s="31">
        <f>G205</f>
        <v>0</v>
      </c>
      <c r="H204" s="31">
        <f>H205</f>
        <v>0</v>
      </c>
      <c r="I204" s="56"/>
    </row>
    <row r="205" spans="1:10" s="59" customFormat="1" ht="25.5" customHeight="1">
      <c r="A205" s="58" t="s">
        <v>37</v>
      </c>
      <c r="B205" s="28" t="s">
        <v>12</v>
      </c>
      <c r="C205" s="28" t="s">
        <v>121</v>
      </c>
      <c r="D205" s="30" t="s">
        <v>228</v>
      </c>
      <c r="E205" s="28" t="s">
        <v>38</v>
      </c>
      <c r="F205" s="31">
        <f>54+6</f>
        <v>60</v>
      </c>
      <c r="G205" s="31">
        <v>0</v>
      </c>
      <c r="H205" s="31">
        <v>0</v>
      </c>
    </row>
    <row r="206" spans="1:10" s="59" customFormat="1" ht="18" customHeight="1">
      <c r="A206" s="58" t="s">
        <v>229</v>
      </c>
      <c r="B206" s="28" t="s">
        <v>12</v>
      </c>
      <c r="C206" s="28" t="s">
        <v>121</v>
      </c>
      <c r="D206" s="30" t="s">
        <v>230</v>
      </c>
      <c r="E206" s="28"/>
      <c r="F206" s="31">
        <f>F207</f>
        <v>140</v>
      </c>
      <c r="G206" s="31">
        <f>G207</f>
        <v>0</v>
      </c>
      <c r="H206" s="31">
        <f>H207</f>
        <v>0</v>
      </c>
      <c r="I206" s="56"/>
    </row>
    <row r="207" spans="1:10" s="59" customFormat="1" ht="25.5" customHeight="1">
      <c r="A207" s="58" t="s">
        <v>37</v>
      </c>
      <c r="B207" s="28" t="s">
        <v>12</v>
      </c>
      <c r="C207" s="28" t="s">
        <v>121</v>
      </c>
      <c r="D207" s="30" t="s">
        <v>230</v>
      </c>
      <c r="E207" s="28" t="s">
        <v>38</v>
      </c>
      <c r="F207" s="31">
        <f>126+14</f>
        <v>140</v>
      </c>
      <c r="G207" s="31">
        <v>0</v>
      </c>
      <c r="H207" s="31">
        <v>0</v>
      </c>
    </row>
    <row r="208" spans="1:10" s="59" customFormat="1" ht="42.75" customHeight="1">
      <c r="A208" s="35" t="s">
        <v>231</v>
      </c>
      <c r="B208" s="28" t="s">
        <v>12</v>
      </c>
      <c r="C208" s="28" t="s">
        <v>121</v>
      </c>
      <c r="D208" s="30" t="s">
        <v>232</v>
      </c>
      <c r="E208" s="28"/>
      <c r="F208" s="31">
        <f>F209</f>
        <v>126.6</v>
      </c>
      <c r="G208" s="31">
        <f>G209</f>
        <v>0</v>
      </c>
      <c r="H208" s="31">
        <f>H209</f>
        <v>0</v>
      </c>
      <c r="I208" s="56"/>
    </row>
    <row r="209" spans="1:8" s="59" customFormat="1" ht="27" customHeight="1">
      <c r="A209" s="39" t="s">
        <v>37</v>
      </c>
      <c r="B209" s="28" t="s">
        <v>12</v>
      </c>
      <c r="C209" s="28" t="s">
        <v>121</v>
      </c>
      <c r="D209" s="30" t="s">
        <v>232</v>
      </c>
      <c r="E209" s="28" t="s">
        <v>38</v>
      </c>
      <c r="F209" s="31">
        <f>81.5+45.1</f>
        <v>126.6</v>
      </c>
      <c r="G209" s="31">
        <v>0</v>
      </c>
      <c r="H209" s="68">
        <v>0</v>
      </c>
    </row>
    <row r="210" spans="1:8" s="59" customFormat="1" ht="19.5" customHeight="1">
      <c r="A210" s="80" t="s">
        <v>233</v>
      </c>
      <c r="B210" s="63" t="s">
        <v>14</v>
      </c>
      <c r="C210" s="63"/>
      <c r="D210" s="30"/>
      <c r="E210" s="29"/>
      <c r="F210" s="62">
        <f t="shared" ref="F210:H215" si="25">F211</f>
        <v>0</v>
      </c>
      <c r="G210" s="62">
        <f t="shared" si="25"/>
        <v>0</v>
      </c>
      <c r="H210" s="62">
        <f t="shared" si="25"/>
        <v>0</v>
      </c>
    </row>
    <row r="211" spans="1:8" s="59" customFormat="1" ht="17.25" customHeight="1">
      <c r="A211" s="80" t="s">
        <v>234</v>
      </c>
      <c r="B211" s="63" t="s">
        <v>14</v>
      </c>
      <c r="C211" s="63" t="s">
        <v>32</v>
      </c>
      <c r="D211" s="30"/>
      <c r="E211" s="29"/>
      <c r="F211" s="31">
        <f t="shared" si="25"/>
        <v>0</v>
      </c>
      <c r="G211" s="31">
        <f t="shared" si="25"/>
        <v>0</v>
      </c>
      <c r="H211" s="31">
        <f t="shared" si="25"/>
        <v>0</v>
      </c>
    </row>
    <row r="212" spans="1:8" s="59" customFormat="1" ht="27" customHeight="1">
      <c r="A212" s="35" t="s">
        <v>15</v>
      </c>
      <c r="B212" s="29" t="s">
        <v>14</v>
      </c>
      <c r="C212" s="29" t="s">
        <v>32</v>
      </c>
      <c r="D212" s="30" t="s">
        <v>17</v>
      </c>
      <c r="E212" s="29"/>
      <c r="F212" s="31">
        <f t="shared" si="25"/>
        <v>0</v>
      </c>
      <c r="G212" s="31">
        <f t="shared" si="25"/>
        <v>0</v>
      </c>
      <c r="H212" s="31">
        <f t="shared" si="25"/>
        <v>0</v>
      </c>
    </row>
    <row r="213" spans="1:8" s="59" customFormat="1" ht="41.25" customHeight="1">
      <c r="A213" s="27" t="s">
        <v>16</v>
      </c>
      <c r="B213" s="29" t="s">
        <v>14</v>
      </c>
      <c r="C213" s="29" t="s">
        <v>32</v>
      </c>
      <c r="D213" s="30" t="s">
        <v>19</v>
      </c>
      <c r="E213" s="29"/>
      <c r="F213" s="31">
        <f t="shared" si="25"/>
        <v>0</v>
      </c>
      <c r="G213" s="31">
        <f t="shared" si="25"/>
        <v>0</v>
      </c>
      <c r="H213" s="31">
        <f t="shared" si="25"/>
        <v>0</v>
      </c>
    </row>
    <row r="214" spans="1:8" s="59" customFormat="1" ht="27" customHeight="1">
      <c r="A214" s="35" t="s">
        <v>18</v>
      </c>
      <c r="B214" s="29" t="s">
        <v>14</v>
      </c>
      <c r="C214" s="29" t="s">
        <v>32</v>
      </c>
      <c r="D214" s="30" t="s">
        <v>21</v>
      </c>
      <c r="E214" s="29"/>
      <c r="F214" s="31">
        <f t="shared" si="25"/>
        <v>0</v>
      </c>
      <c r="G214" s="31">
        <f t="shared" si="25"/>
        <v>0</v>
      </c>
      <c r="H214" s="31">
        <f t="shared" si="25"/>
        <v>0</v>
      </c>
    </row>
    <row r="215" spans="1:8" s="59" customFormat="1" ht="27" customHeight="1">
      <c r="A215" s="81" t="s">
        <v>235</v>
      </c>
      <c r="B215" s="29" t="s">
        <v>14</v>
      </c>
      <c r="C215" s="29" t="s">
        <v>32</v>
      </c>
      <c r="D215" s="30" t="s">
        <v>236</v>
      </c>
      <c r="E215" s="29"/>
      <c r="F215" s="31">
        <f t="shared" si="25"/>
        <v>0</v>
      </c>
      <c r="G215" s="31">
        <f t="shared" si="25"/>
        <v>0</v>
      </c>
      <c r="H215" s="31">
        <f t="shared" si="25"/>
        <v>0</v>
      </c>
    </row>
    <row r="216" spans="1:8" s="59" customFormat="1" ht="27" customHeight="1">
      <c r="A216" s="35" t="s">
        <v>22</v>
      </c>
      <c r="B216" s="29" t="s">
        <v>14</v>
      </c>
      <c r="C216" s="29" t="s">
        <v>32</v>
      </c>
      <c r="D216" s="30" t="s">
        <v>236</v>
      </c>
      <c r="E216" s="29" t="s">
        <v>24</v>
      </c>
      <c r="F216" s="31"/>
      <c r="G216" s="31"/>
      <c r="H216" s="31"/>
    </row>
    <row r="217" spans="1:8" s="24" customFormat="1" ht="28.5" customHeight="1">
      <c r="A217" s="21" t="s">
        <v>237</v>
      </c>
      <c r="B217" s="22" t="s">
        <v>32</v>
      </c>
      <c r="C217" s="22"/>
      <c r="D217" s="22"/>
      <c r="E217" s="22"/>
      <c r="F217" s="23">
        <f>F218+F245+F240</f>
        <v>7173.2000000000007</v>
      </c>
      <c r="G217" s="23">
        <f>G218+G245+G240</f>
        <v>5648</v>
      </c>
      <c r="H217" s="23">
        <f>H218+H245+H240</f>
        <v>4898</v>
      </c>
    </row>
    <row r="218" spans="1:8" s="24" customFormat="1" ht="21.75" customHeight="1">
      <c r="A218" s="82" t="s">
        <v>238</v>
      </c>
      <c r="B218" s="22" t="s">
        <v>32</v>
      </c>
      <c r="C218" s="22" t="s">
        <v>239</v>
      </c>
      <c r="D218" s="22"/>
      <c r="E218" s="22"/>
      <c r="F218" s="23">
        <f t="shared" ref="F218:H219" si="26">F219</f>
        <v>5261.8</v>
      </c>
      <c r="G218" s="23">
        <f t="shared" si="26"/>
        <v>5511.8</v>
      </c>
      <c r="H218" s="23">
        <f t="shared" si="26"/>
        <v>4761.8</v>
      </c>
    </row>
    <row r="219" spans="1:8" s="59" customFormat="1" ht="39.75" customHeight="1">
      <c r="A219" s="39" t="s">
        <v>64</v>
      </c>
      <c r="B219" s="28" t="s">
        <v>32</v>
      </c>
      <c r="C219" s="28" t="s">
        <v>239</v>
      </c>
      <c r="D219" s="30" t="s">
        <v>65</v>
      </c>
      <c r="E219" s="28"/>
      <c r="F219" s="26">
        <f t="shared" si="26"/>
        <v>5261.8</v>
      </c>
      <c r="G219" s="26">
        <f t="shared" si="26"/>
        <v>5511.8</v>
      </c>
      <c r="H219" s="26">
        <f t="shared" si="26"/>
        <v>4761.8</v>
      </c>
    </row>
    <row r="220" spans="1:8" s="59" customFormat="1" ht="25.5" customHeight="1">
      <c r="A220" s="39" t="s">
        <v>240</v>
      </c>
      <c r="B220" s="28" t="s">
        <v>32</v>
      </c>
      <c r="C220" s="28" t="s">
        <v>239</v>
      </c>
      <c r="D220" s="30" t="s">
        <v>241</v>
      </c>
      <c r="E220" s="28"/>
      <c r="F220" s="26">
        <f>F221+F225+F228+F232+F235</f>
        <v>5261.8</v>
      </c>
      <c r="G220" s="26">
        <f>G221+G225+G228+G232+G235</f>
        <v>5511.8</v>
      </c>
      <c r="H220" s="26">
        <f>H221+H225+H228+H232+H235</f>
        <v>4761.8</v>
      </c>
    </row>
    <row r="221" spans="1:8" s="59" customFormat="1" ht="13.5" customHeight="1">
      <c r="A221" s="39" t="s">
        <v>242</v>
      </c>
      <c r="B221" s="28" t="s">
        <v>32</v>
      </c>
      <c r="C221" s="28" t="s">
        <v>239</v>
      </c>
      <c r="D221" s="30" t="s">
        <v>243</v>
      </c>
      <c r="E221" s="28"/>
      <c r="F221" s="26">
        <f>F222</f>
        <v>3621.8</v>
      </c>
      <c r="G221" s="26">
        <f>G222</f>
        <v>3621.8</v>
      </c>
      <c r="H221" s="26">
        <f>H222</f>
        <v>3621.8</v>
      </c>
    </row>
    <row r="222" spans="1:8" s="59" customFormat="1" ht="25.5" customHeight="1">
      <c r="A222" s="44" t="s">
        <v>244</v>
      </c>
      <c r="B222" s="28" t="s">
        <v>32</v>
      </c>
      <c r="C222" s="28" t="s">
        <v>239</v>
      </c>
      <c r="D222" s="30" t="s">
        <v>245</v>
      </c>
      <c r="E222" s="28"/>
      <c r="F222" s="26">
        <f>F223+F224</f>
        <v>3621.8</v>
      </c>
      <c r="G222" s="26">
        <f>G223+G224</f>
        <v>3621.8</v>
      </c>
      <c r="H222" s="26">
        <f>H223+H224</f>
        <v>3621.8</v>
      </c>
    </row>
    <row r="223" spans="1:8" s="59" customFormat="1" ht="25.5" customHeight="1">
      <c r="A223" s="39" t="s">
        <v>22</v>
      </c>
      <c r="B223" s="28" t="s">
        <v>32</v>
      </c>
      <c r="C223" s="28" t="s">
        <v>239</v>
      </c>
      <c r="D223" s="30" t="s">
        <v>245</v>
      </c>
      <c r="E223" s="28" t="s">
        <v>24</v>
      </c>
      <c r="F223" s="31">
        <f>3563.8+30</f>
        <v>3593.8</v>
      </c>
      <c r="G223" s="31">
        <f>3563.8+30</f>
        <v>3593.8</v>
      </c>
      <c r="H223" s="31">
        <f>3563.8+30</f>
        <v>3593.8</v>
      </c>
    </row>
    <row r="224" spans="1:8" s="59" customFormat="1" ht="25.5" customHeight="1">
      <c r="A224" s="39" t="s">
        <v>37</v>
      </c>
      <c r="B224" s="28" t="s">
        <v>32</v>
      </c>
      <c r="C224" s="28" t="s">
        <v>239</v>
      </c>
      <c r="D224" s="30" t="s">
        <v>245</v>
      </c>
      <c r="E224" s="28" t="s">
        <v>38</v>
      </c>
      <c r="F224" s="31">
        <v>28</v>
      </c>
      <c r="G224" s="31">
        <v>28</v>
      </c>
      <c r="H224" s="31">
        <v>28</v>
      </c>
    </row>
    <row r="225" spans="1:9" s="59" customFormat="1" ht="25.5" customHeight="1">
      <c r="A225" s="39" t="s">
        <v>246</v>
      </c>
      <c r="B225" s="28" t="s">
        <v>32</v>
      </c>
      <c r="C225" s="28" t="s">
        <v>239</v>
      </c>
      <c r="D225" s="30" t="s">
        <v>247</v>
      </c>
      <c r="E225" s="28"/>
      <c r="F225" s="26">
        <f t="shared" ref="F225:H226" si="27">F226</f>
        <v>130</v>
      </c>
      <c r="G225" s="26">
        <f t="shared" si="27"/>
        <v>130</v>
      </c>
      <c r="H225" s="26">
        <f t="shared" si="27"/>
        <v>130</v>
      </c>
    </row>
    <row r="226" spans="1:9" s="59" customFormat="1" ht="25.5" customHeight="1">
      <c r="A226" s="44" t="s">
        <v>244</v>
      </c>
      <c r="B226" s="28" t="s">
        <v>32</v>
      </c>
      <c r="C226" s="28" t="s">
        <v>239</v>
      </c>
      <c r="D226" s="30" t="s">
        <v>248</v>
      </c>
      <c r="E226" s="28"/>
      <c r="F226" s="26">
        <f t="shared" si="27"/>
        <v>130</v>
      </c>
      <c r="G226" s="26">
        <f t="shared" si="27"/>
        <v>130</v>
      </c>
      <c r="H226" s="26">
        <f t="shared" si="27"/>
        <v>130</v>
      </c>
    </row>
    <row r="227" spans="1:9" s="59" customFormat="1" ht="25.5" customHeight="1">
      <c r="A227" s="39" t="s">
        <v>37</v>
      </c>
      <c r="B227" s="28" t="s">
        <v>32</v>
      </c>
      <c r="C227" s="28" t="s">
        <v>239</v>
      </c>
      <c r="D227" s="30" t="s">
        <v>248</v>
      </c>
      <c r="E227" s="28" t="s">
        <v>38</v>
      </c>
      <c r="F227" s="31">
        <v>130</v>
      </c>
      <c r="G227" s="31">
        <v>130</v>
      </c>
      <c r="H227" s="31">
        <v>130</v>
      </c>
    </row>
    <row r="228" spans="1:9" s="59" customFormat="1" ht="25.5" customHeight="1">
      <c r="A228" s="83" t="s">
        <v>249</v>
      </c>
      <c r="B228" s="28" t="s">
        <v>32</v>
      </c>
      <c r="C228" s="28" t="s">
        <v>239</v>
      </c>
      <c r="D228" s="30" t="s">
        <v>250</v>
      </c>
      <c r="E228" s="28"/>
      <c r="F228" s="31">
        <f>F229</f>
        <v>1100</v>
      </c>
      <c r="G228" s="31">
        <f>G229</f>
        <v>900</v>
      </c>
      <c r="H228" s="31">
        <f>H229</f>
        <v>700</v>
      </c>
    </row>
    <row r="229" spans="1:9" s="59" customFormat="1" ht="25.5" customHeight="1">
      <c r="A229" s="84" t="s">
        <v>244</v>
      </c>
      <c r="B229" s="28" t="s">
        <v>32</v>
      </c>
      <c r="C229" s="28" t="s">
        <v>239</v>
      </c>
      <c r="D229" s="30" t="s">
        <v>251</v>
      </c>
      <c r="E229" s="28"/>
      <c r="F229" s="31">
        <f>F230+F231</f>
        <v>1100</v>
      </c>
      <c r="G229" s="31">
        <f>G230+G231</f>
        <v>900</v>
      </c>
      <c r="H229" s="31">
        <f>H230+H231</f>
        <v>700</v>
      </c>
    </row>
    <row r="230" spans="1:9" s="59" customFormat="1" ht="25.5" customHeight="1">
      <c r="A230" s="35" t="s">
        <v>37</v>
      </c>
      <c r="B230" s="28" t="s">
        <v>32</v>
      </c>
      <c r="C230" s="28" t="s">
        <v>239</v>
      </c>
      <c r="D230" s="30" t="s">
        <v>251</v>
      </c>
      <c r="E230" s="28" t="s">
        <v>38</v>
      </c>
      <c r="F230" s="31">
        <v>1095</v>
      </c>
      <c r="G230" s="31">
        <f>1095-200</f>
        <v>895</v>
      </c>
      <c r="H230" s="31">
        <v>700</v>
      </c>
    </row>
    <row r="231" spans="1:9" s="59" customFormat="1" ht="13.5" customHeight="1">
      <c r="A231" s="35" t="s">
        <v>41</v>
      </c>
      <c r="B231" s="28" t="s">
        <v>32</v>
      </c>
      <c r="C231" s="28" t="s">
        <v>239</v>
      </c>
      <c r="D231" s="30" t="s">
        <v>251</v>
      </c>
      <c r="E231" s="28" t="s">
        <v>42</v>
      </c>
      <c r="F231" s="31">
        <v>5</v>
      </c>
      <c r="G231" s="31">
        <v>5</v>
      </c>
      <c r="H231" s="31">
        <v>0</v>
      </c>
    </row>
    <row r="232" spans="1:9" s="59" customFormat="1" ht="25.5" customHeight="1">
      <c r="A232" s="58" t="s">
        <v>252</v>
      </c>
      <c r="B232" s="28" t="s">
        <v>32</v>
      </c>
      <c r="C232" s="28" t="s">
        <v>239</v>
      </c>
      <c r="D232" s="30" t="s">
        <v>253</v>
      </c>
      <c r="E232" s="29"/>
      <c r="F232" s="31">
        <f t="shared" ref="F232:H233" si="28">F233</f>
        <v>150</v>
      </c>
      <c r="G232" s="31">
        <f t="shared" si="28"/>
        <v>150</v>
      </c>
      <c r="H232" s="31">
        <f t="shared" si="28"/>
        <v>150</v>
      </c>
    </row>
    <row r="233" spans="1:9" s="59" customFormat="1" ht="55.5" customHeight="1">
      <c r="A233" s="81" t="s">
        <v>254</v>
      </c>
      <c r="B233" s="28" t="s">
        <v>32</v>
      </c>
      <c r="C233" s="28" t="s">
        <v>239</v>
      </c>
      <c r="D233" s="30" t="s">
        <v>255</v>
      </c>
      <c r="E233" s="29"/>
      <c r="F233" s="31">
        <f t="shared" si="28"/>
        <v>150</v>
      </c>
      <c r="G233" s="31">
        <f t="shared" si="28"/>
        <v>150</v>
      </c>
      <c r="H233" s="31">
        <f t="shared" si="28"/>
        <v>150</v>
      </c>
      <c r="I233"/>
    </row>
    <row r="234" spans="1:9" s="59" customFormat="1" ht="25.5" customHeight="1">
      <c r="A234" s="58" t="s">
        <v>37</v>
      </c>
      <c r="B234" s="28" t="s">
        <v>32</v>
      </c>
      <c r="C234" s="28" t="s">
        <v>239</v>
      </c>
      <c r="D234" s="30" t="s">
        <v>255</v>
      </c>
      <c r="E234" s="29" t="s">
        <v>38</v>
      </c>
      <c r="F234" s="31">
        <v>150</v>
      </c>
      <c r="G234" s="31">
        <v>150</v>
      </c>
      <c r="H234" s="31">
        <v>150</v>
      </c>
    </row>
    <row r="235" spans="1:9" s="59" customFormat="1" ht="25.5" customHeight="1">
      <c r="A235" s="58" t="s">
        <v>256</v>
      </c>
      <c r="B235" s="28" t="s">
        <v>32</v>
      </c>
      <c r="C235" s="28" t="s">
        <v>239</v>
      </c>
      <c r="D235" s="30" t="s">
        <v>257</v>
      </c>
      <c r="E235" s="29"/>
      <c r="F235" s="31">
        <f>F236+F238</f>
        <v>260</v>
      </c>
      <c r="G235" s="31">
        <f>G236+G238</f>
        <v>710</v>
      </c>
      <c r="H235" s="31">
        <f>H236+H238</f>
        <v>160</v>
      </c>
    </row>
    <row r="236" spans="1:9" s="59" customFormat="1" ht="15" customHeight="1">
      <c r="A236" s="58" t="s">
        <v>258</v>
      </c>
      <c r="B236" s="28" t="s">
        <v>32</v>
      </c>
      <c r="C236" s="28" t="s">
        <v>239</v>
      </c>
      <c r="D236" s="30" t="s">
        <v>259</v>
      </c>
      <c r="E236" s="29"/>
      <c r="F236" s="31">
        <f>F237</f>
        <v>160</v>
      </c>
      <c r="G236" s="31">
        <f>G237</f>
        <v>160</v>
      </c>
      <c r="H236" s="31">
        <f>H237</f>
        <v>160</v>
      </c>
    </row>
    <row r="237" spans="1:9" s="59" customFormat="1" ht="25.5" customHeight="1">
      <c r="A237" s="58" t="s">
        <v>37</v>
      </c>
      <c r="B237" s="28" t="s">
        <v>32</v>
      </c>
      <c r="C237" s="28" t="s">
        <v>239</v>
      </c>
      <c r="D237" s="30" t="s">
        <v>259</v>
      </c>
      <c r="E237" s="29" t="s">
        <v>38</v>
      </c>
      <c r="F237" s="31">
        <v>160</v>
      </c>
      <c r="G237" s="31">
        <v>160</v>
      </c>
      <c r="H237" s="31">
        <v>160</v>
      </c>
    </row>
    <row r="238" spans="1:9" s="59" customFormat="1" ht="25.5" customHeight="1">
      <c r="A238" s="58" t="s">
        <v>260</v>
      </c>
      <c r="B238" s="28" t="s">
        <v>32</v>
      </c>
      <c r="C238" s="28" t="s">
        <v>239</v>
      </c>
      <c r="D238" s="30" t="s">
        <v>261</v>
      </c>
      <c r="E238" s="29"/>
      <c r="F238" s="31">
        <f>F239</f>
        <v>100</v>
      </c>
      <c r="G238" s="31">
        <f>G239</f>
        <v>550</v>
      </c>
      <c r="H238" s="31">
        <f>H239</f>
        <v>0</v>
      </c>
    </row>
    <row r="239" spans="1:9" s="59" customFormat="1" ht="25.5" customHeight="1">
      <c r="A239" s="58" t="s">
        <v>37</v>
      </c>
      <c r="B239" s="28" t="s">
        <v>32</v>
      </c>
      <c r="C239" s="28" t="s">
        <v>239</v>
      </c>
      <c r="D239" s="30" t="s">
        <v>261</v>
      </c>
      <c r="E239" s="29" t="s">
        <v>38</v>
      </c>
      <c r="F239" s="31">
        <f>550-450</f>
        <v>100</v>
      </c>
      <c r="G239" s="31">
        <f>450+100</f>
        <v>550</v>
      </c>
      <c r="H239" s="31">
        <v>0</v>
      </c>
      <c r="I239"/>
    </row>
    <row r="240" spans="1:9" s="59" customFormat="1" ht="34.5" customHeight="1">
      <c r="A240" s="85" t="s">
        <v>262</v>
      </c>
      <c r="B240" s="22" t="s">
        <v>32</v>
      </c>
      <c r="C240" s="22" t="s">
        <v>263</v>
      </c>
      <c r="D240" s="86"/>
      <c r="E240" s="29"/>
      <c r="F240" s="31">
        <f>F241</f>
        <v>1292.8000000000002</v>
      </c>
      <c r="G240" s="31">
        <f>G241</f>
        <v>0</v>
      </c>
      <c r="H240" s="31">
        <f>H241</f>
        <v>0</v>
      </c>
    </row>
    <row r="241" spans="1:9" s="59" customFormat="1" ht="36.75" customHeight="1">
      <c r="A241" s="39" t="s">
        <v>64</v>
      </c>
      <c r="B241" s="28" t="s">
        <v>32</v>
      </c>
      <c r="C241" s="28" t="s">
        <v>263</v>
      </c>
      <c r="D241" s="30" t="s">
        <v>65</v>
      </c>
      <c r="E241" s="29"/>
      <c r="F241" s="31">
        <f t="shared" ref="F241:H243" si="29">F242</f>
        <v>1292.8000000000002</v>
      </c>
      <c r="G241" s="31">
        <f t="shared" si="29"/>
        <v>0</v>
      </c>
      <c r="H241" s="31">
        <f t="shared" si="29"/>
        <v>0</v>
      </c>
    </row>
    <row r="242" spans="1:9" s="59" customFormat="1" ht="25.5" customHeight="1">
      <c r="A242" s="39" t="s">
        <v>240</v>
      </c>
      <c r="B242" s="28" t="s">
        <v>32</v>
      </c>
      <c r="C242" s="28" t="s">
        <v>263</v>
      </c>
      <c r="D242" s="30" t="s">
        <v>241</v>
      </c>
      <c r="E242" s="29"/>
      <c r="F242" s="31">
        <f t="shared" si="29"/>
        <v>1292.8000000000002</v>
      </c>
      <c r="G242" s="31">
        <f t="shared" si="29"/>
        <v>0</v>
      </c>
      <c r="H242" s="31">
        <f t="shared" si="29"/>
        <v>0</v>
      </c>
    </row>
    <row r="243" spans="1:9" s="59" customFormat="1" ht="15.75" customHeight="1">
      <c r="A243" s="58" t="s">
        <v>264</v>
      </c>
      <c r="B243" s="28" t="s">
        <v>32</v>
      </c>
      <c r="C243" s="28" t="s">
        <v>263</v>
      </c>
      <c r="D243" s="30" t="s">
        <v>265</v>
      </c>
      <c r="E243" s="29"/>
      <c r="F243" s="31">
        <f t="shared" si="29"/>
        <v>1292.8000000000002</v>
      </c>
      <c r="G243" s="31">
        <f t="shared" si="29"/>
        <v>0</v>
      </c>
      <c r="H243" s="31">
        <f t="shared" si="29"/>
        <v>0</v>
      </c>
    </row>
    <row r="244" spans="1:9" s="59" customFormat="1" ht="25.5" customHeight="1">
      <c r="A244" s="58" t="s">
        <v>37</v>
      </c>
      <c r="B244" s="28" t="s">
        <v>32</v>
      </c>
      <c r="C244" s="28" t="s">
        <v>263</v>
      </c>
      <c r="D244" s="30" t="s">
        <v>265</v>
      </c>
      <c r="E244" s="29" t="s">
        <v>38</v>
      </c>
      <c r="F244" s="31">
        <f>679.3+661.1+900+602.4-1550</f>
        <v>1292.8000000000002</v>
      </c>
      <c r="G244" s="31">
        <v>0</v>
      </c>
      <c r="H244" s="31">
        <v>0</v>
      </c>
      <c r="I244"/>
    </row>
    <row r="245" spans="1:9" s="24" customFormat="1" ht="26.25" customHeight="1">
      <c r="A245" s="82" t="s">
        <v>266</v>
      </c>
      <c r="B245" s="22" t="s">
        <v>32</v>
      </c>
      <c r="C245" s="22" t="s">
        <v>267</v>
      </c>
      <c r="D245" s="22"/>
      <c r="E245" s="22"/>
      <c r="F245" s="62">
        <f>F251+F246</f>
        <v>618.6</v>
      </c>
      <c r="G245" s="62">
        <f>G251+G246</f>
        <v>136.19999999999999</v>
      </c>
      <c r="H245" s="62">
        <f>H251+H246</f>
        <v>136.19999999999999</v>
      </c>
    </row>
    <row r="246" spans="1:9" s="59" customFormat="1" ht="38.25" customHeight="1">
      <c r="A246" s="69" t="s">
        <v>268</v>
      </c>
      <c r="B246" s="28" t="s">
        <v>32</v>
      </c>
      <c r="C246" s="28" t="s">
        <v>267</v>
      </c>
      <c r="D246" s="45" t="s">
        <v>269</v>
      </c>
      <c r="E246" s="28"/>
      <c r="F246" s="31">
        <f t="shared" ref="F246:H247" si="30">F247</f>
        <v>40</v>
      </c>
      <c r="G246" s="31">
        <f t="shared" si="30"/>
        <v>40</v>
      </c>
      <c r="H246" s="31">
        <f t="shared" si="30"/>
        <v>40</v>
      </c>
    </row>
    <row r="247" spans="1:9" s="59" customFormat="1" ht="25.5" customHeight="1">
      <c r="A247" s="69" t="s">
        <v>270</v>
      </c>
      <c r="B247" s="28" t="s">
        <v>32</v>
      </c>
      <c r="C247" s="28" t="s">
        <v>267</v>
      </c>
      <c r="D247" s="30" t="s">
        <v>271</v>
      </c>
      <c r="E247" s="28"/>
      <c r="F247" s="31">
        <f t="shared" si="30"/>
        <v>40</v>
      </c>
      <c r="G247" s="31">
        <f t="shared" si="30"/>
        <v>40</v>
      </c>
      <c r="H247" s="31">
        <f t="shared" si="30"/>
        <v>40</v>
      </c>
    </row>
    <row r="248" spans="1:9" s="59" customFormat="1" ht="14.25" customHeight="1">
      <c r="A248" s="69" t="s">
        <v>272</v>
      </c>
      <c r="B248" s="28" t="s">
        <v>32</v>
      </c>
      <c r="C248" s="28" t="s">
        <v>267</v>
      </c>
      <c r="D248" s="30" t="s">
        <v>273</v>
      </c>
      <c r="E248" s="28"/>
      <c r="F248" s="31">
        <f>F249+F250</f>
        <v>40</v>
      </c>
      <c r="G248" s="31">
        <f>G249+G250</f>
        <v>40</v>
      </c>
      <c r="H248" s="31">
        <f>H249+H250</f>
        <v>40</v>
      </c>
    </row>
    <row r="249" spans="1:9" s="59" customFormat="1" ht="26.25" customHeight="1">
      <c r="A249" s="39" t="s">
        <v>37</v>
      </c>
      <c r="B249" s="28" t="s">
        <v>32</v>
      </c>
      <c r="C249" s="28" t="s">
        <v>267</v>
      </c>
      <c r="D249" s="30" t="s">
        <v>273</v>
      </c>
      <c r="E249" s="28" t="s">
        <v>38</v>
      </c>
      <c r="F249" s="31">
        <v>40</v>
      </c>
      <c r="G249" s="31">
        <v>10</v>
      </c>
      <c r="H249" s="31">
        <v>10</v>
      </c>
    </row>
    <row r="250" spans="1:9" s="59" customFormat="1" ht="17.25" customHeight="1">
      <c r="A250" s="69" t="s">
        <v>154</v>
      </c>
      <c r="B250" s="28" t="s">
        <v>32</v>
      </c>
      <c r="C250" s="28" t="s">
        <v>267</v>
      </c>
      <c r="D250" s="30" t="s">
        <v>273</v>
      </c>
      <c r="E250" s="28" t="s">
        <v>155</v>
      </c>
      <c r="F250" s="31">
        <v>0</v>
      </c>
      <c r="G250" s="31">
        <v>30</v>
      </c>
      <c r="H250" s="31">
        <v>30</v>
      </c>
    </row>
    <row r="251" spans="1:9" s="59" customFormat="1" ht="37.5" customHeight="1">
      <c r="A251" s="39" t="s">
        <v>64</v>
      </c>
      <c r="B251" s="28" t="s">
        <v>32</v>
      </c>
      <c r="C251" s="28" t="s">
        <v>267</v>
      </c>
      <c r="D251" s="45" t="s">
        <v>65</v>
      </c>
      <c r="E251" s="28"/>
      <c r="F251" s="31">
        <f>F252</f>
        <v>578.6</v>
      </c>
      <c r="G251" s="31">
        <f>G252</f>
        <v>96.2</v>
      </c>
      <c r="H251" s="31">
        <f>H252</f>
        <v>96.2</v>
      </c>
    </row>
    <row r="252" spans="1:9" s="59" customFormat="1" ht="26.25" customHeight="1">
      <c r="A252" s="44" t="s">
        <v>66</v>
      </c>
      <c r="B252" s="28" t="s">
        <v>32</v>
      </c>
      <c r="C252" s="28" t="s">
        <v>267</v>
      </c>
      <c r="D252" s="30" t="s">
        <v>67</v>
      </c>
      <c r="E252" s="28"/>
      <c r="F252" s="31">
        <f>F253+F260+F267+F257</f>
        <v>578.6</v>
      </c>
      <c r="G252" s="31">
        <f>G253+G260+G267+G257</f>
        <v>96.2</v>
      </c>
      <c r="H252" s="31">
        <f>H253+H260+H267+H257</f>
        <v>96.2</v>
      </c>
    </row>
    <row r="253" spans="1:9" s="59" customFormat="1" ht="40.5" customHeight="1">
      <c r="A253" s="44" t="s">
        <v>274</v>
      </c>
      <c r="B253" s="28" t="s">
        <v>32</v>
      </c>
      <c r="C253" s="28" t="s">
        <v>267</v>
      </c>
      <c r="D253" s="30" t="s">
        <v>275</v>
      </c>
      <c r="E253" s="28"/>
      <c r="F253" s="31">
        <f>F254</f>
        <v>11</v>
      </c>
      <c r="G253" s="31">
        <f>G254</f>
        <v>11</v>
      </c>
      <c r="H253" s="31">
        <f>H254</f>
        <v>11</v>
      </c>
    </row>
    <row r="254" spans="1:9" s="59" customFormat="1" ht="27.75" customHeight="1">
      <c r="A254" s="44" t="s">
        <v>276</v>
      </c>
      <c r="B254" s="28" t="s">
        <v>32</v>
      </c>
      <c r="C254" s="28" t="s">
        <v>267</v>
      </c>
      <c r="D254" s="30" t="s">
        <v>277</v>
      </c>
      <c r="E254" s="28"/>
      <c r="F254" s="31">
        <f>F256+F255</f>
        <v>11</v>
      </c>
      <c r="G254" s="31">
        <f>G256+G255</f>
        <v>11</v>
      </c>
      <c r="H254" s="31">
        <f>H256+H255</f>
        <v>11</v>
      </c>
    </row>
    <row r="255" spans="1:9" s="87" customFormat="1" ht="24" customHeight="1">
      <c r="A255" s="39" t="s">
        <v>37</v>
      </c>
      <c r="B255" s="28" t="s">
        <v>32</v>
      </c>
      <c r="C255" s="28" t="s">
        <v>267</v>
      </c>
      <c r="D255" s="30" t="s">
        <v>277</v>
      </c>
      <c r="E255" s="28" t="s">
        <v>38</v>
      </c>
      <c r="F255" s="31">
        <v>6</v>
      </c>
      <c r="G255" s="31">
        <v>6</v>
      </c>
      <c r="H255" s="31">
        <v>6</v>
      </c>
    </row>
    <row r="256" spans="1:9" s="59" customFormat="1" ht="14.25" customHeight="1">
      <c r="A256" s="78" t="s">
        <v>278</v>
      </c>
      <c r="B256" s="28" t="s">
        <v>32</v>
      </c>
      <c r="C256" s="28" t="s">
        <v>267</v>
      </c>
      <c r="D256" s="30" t="s">
        <v>277</v>
      </c>
      <c r="E256" s="28" t="s">
        <v>123</v>
      </c>
      <c r="F256" s="31">
        <v>5</v>
      </c>
      <c r="G256" s="31">
        <v>5</v>
      </c>
      <c r="H256" s="31">
        <v>5</v>
      </c>
    </row>
    <row r="257" spans="1:9" s="59" customFormat="1" ht="24" customHeight="1">
      <c r="A257" s="78" t="s">
        <v>279</v>
      </c>
      <c r="B257" s="28" t="s">
        <v>32</v>
      </c>
      <c r="C257" s="28" t="s">
        <v>267</v>
      </c>
      <c r="D257" s="30" t="s">
        <v>280</v>
      </c>
      <c r="E257" s="28"/>
      <c r="F257" s="31">
        <f t="shared" ref="F257:H258" si="31">F258</f>
        <v>10</v>
      </c>
      <c r="G257" s="31">
        <f t="shared" si="31"/>
        <v>10</v>
      </c>
      <c r="H257" s="31">
        <f t="shared" si="31"/>
        <v>10</v>
      </c>
    </row>
    <row r="258" spans="1:9" s="59" customFormat="1" ht="23.25" customHeight="1">
      <c r="A258" s="44" t="s">
        <v>276</v>
      </c>
      <c r="B258" s="28" t="s">
        <v>32</v>
      </c>
      <c r="C258" s="28" t="s">
        <v>267</v>
      </c>
      <c r="D258" s="30" t="s">
        <v>281</v>
      </c>
      <c r="E258" s="28"/>
      <c r="F258" s="31">
        <f t="shared" si="31"/>
        <v>10</v>
      </c>
      <c r="G258" s="31">
        <f t="shared" si="31"/>
        <v>10</v>
      </c>
      <c r="H258" s="31">
        <f t="shared" si="31"/>
        <v>10</v>
      </c>
    </row>
    <row r="259" spans="1:9" s="59" customFormat="1" ht="25.5" customHeight="1">
      <c r="A259" s="78" t="s">
        <v>37</v>
      </c>
      <c r="B259" s="28" t="s">
        <v>32</v>
      </c>
      <c r="C259" s="28" t="s">
        <v>267</v>
      </c>
      <c r="D259" s="30" t="s">
        <v>281</v>
      </c>
      <c r="E259" s="28" t="s">
        <v>38</v>
      </c>
      <c r="F259" s="31">
        <v>10</v>
      </c>
      <c r="G259" s="31">
        <v>10</v>
      </c>
      <c r="H259" s="31">
        <v>10</v>
      </c>
    </row>
    <row r="260" spans="1:9" s="59" customFormat="1" ht="15" customHeight="1">
      <c r="A260" s="78" t="s">
        <v>282</v>
      </c>
      <c r="B260" s="28" t="s">
        <v>32</v>
      </c>
      <c r="C260" s="28" t="s">
        <v>267</v>
      </c>
      <c r="D260" s="30" t="s">
        <v>283</v>
      </c>
      <c r="E260" s="28"/>
      <c r="F260" s="31">
        <f>F261+F265+F263</f>
        <v>547.6</v>
      </c>
      <c r="G260" s="31">
        <f>G261+G265+G263</f>
        <v>65.2</v>
      </c>
      <c r="H260" s="31">
        <f>H261+H265+H263</f>
        <v>65.2</v>
      </c>
    </row>
    <row r="261" spans="1:9" s="59" customFormat="1" ht="24" customHeight="1">
      <c r="A261" s="44" t="s">
        <v>276</v>
      </c>
      <c r="B261" s="28" t="s">
        <v>32</v>
      </c>
      <c r="C261" s="28" t="s">
        <v>267</v>
      </c>
      <c r="D261" s="30" t="s">
        <v>284</v>
      </c>
      <c r="E261" s="28"/>
      <c r="F261" s="31">
        <f>F262</f>
        <v>5</v>
      </c>
      <c r="G261" s="31">
        <f>G262</f>
        <v>5</v>
      </c>
      <c r="H261" s="31">
        <f>H262</f>
        <v>5</v>
      </c>
    </row>
    <row r="262" spans="1:9" s="59" customFormat="1" ht="14.25" customHeight="1">
      <c r="A262" s="78" t="s">
        <v>278</v>
      </c>
      <c r="B262" s="28" t="s">
        <v>32</v>
      </c>
      <c r="C262" s="28" t="s">
        <v>267</v>
      </c>
      <c r="D262" s="30" t="s">
        <v>284</v>
      </c>
      <c r="E262" s="28" t="s">
        <v>123</v>
      </c>
      <c r="F262" s="31">
        <v>5</v>
      </c>
      <c r="G262" s="31">
        <v>5</v>
      </c>
      <c r="H262" s="31">
        <v>5</v>
      </c>
    </row>
    <row r="263" spans="1:9" s="59" customFormat="1" ht="25.5">
      <c r="A263" s="88" t="s">
        <v>285</v>
      </c>
      <c r="B263" s="28" t="s">
        <v>32</v>
      </c>
      <c r="C263" s="28" t="s">
        <v>267</v>
      </c>
      <c r="D263" s="30" t="s">
        <v>286</v>
      </c>
      <c r="E263" s="28"/>
      <c r="F263" s="31">
        <f>F264</f>
        <v>140</v>
      </c>
      <c r="G263" s="31">
        <f>G264</f>
        <v>0</v>
      </c>
      <c r="H263" s="31">
        <f>H264</f>
        <v>0</v>
      </c>
    </row>
    <row r="264" spans="1:9" s="59" customFormat="1" ht="25.5" customHeight="1">
      <c r="A264" s="88" t="s">
        <v>37</v>
      </c>
      <c r="B264" s="28" t="s">
        <v>32</v>
      </c>
      <c r="C264" s="28" t="s">
        <v>267</v>
      </c>
      <c r="D264" s="30" t="s">
        <v>286</v>
      </c>
      <c r="E264" s="28" t="s">
        <v>38</v>
      </c>
      <c r="F264" s="31">
        <v>140</v>
      </c>
      <c r="G264" s="31">
        <v>0</v>
      </c>
      <c r="H264" s="31">
        <v>0</v>
      </c>
    </row>
    <row r="265" spans="1:9" s="59" customFormat="1" ht="28.5" customHeight="1">
      <c r="A265" s="89" t="s">
        <v>287</v>
      </c>
      <c r="B265" s="28" t="s">
        <v>32</v>
      </c>
      <c r="C265" s="28" t="s">
        <v>267</v>
      </c>
      <c r="D265" s="30" t="s">
        <v>288</v>
      </c>
      <c r="E265" s="28"/>
      <c r="F265" s="31">
        <f>F266</f>
        <v>402.6</v>
      </c>
      <c r="G265" s="31">
        <f>G266</f>
        <v>60.2</v>
      </c>
      <c r="H265" s="31">
        <f>H266</f>
        <v>60.2</v>
      </c>
    </row>
    <row r="266" spans="1:9" s="59" customFormat="1" ht="26.25" customHeight="1">
      <c r="A266" s="78" t="s">
        <v>37</v>
      </c>
      <c r="B266" s="28" t="s">
        <v>32</v>
      </c>
      <c r="C266" s="28" t="s">
        <v>267</v>
      </c>
      <c r="D266" s="30" t="s">
        <v>288</v>
      </c>
      <c r="E266" s="28" t="s">
        <v>38</v>
      </c>
      <c r="F266" s="31">
        <f>77.9+4.1+365.6-45</f>
        <v>402.6</v>
      </c>
      <c r="G266" s="31">
        <f>57.2+3</f>
        <v>60.2</v>
      </c>
      <c r="H266" s="31">
        <f>57.2+3</f>
        <v>60.2</v>
      </c>
      <c r="I266"/>
    </row>
    <row r="267" spans="1:9" s="59" customFormat="1" ht="26.25" customHeight="1">
      <c r="A267" s="39" t="s">
        <v>289</v>
      </c>
      <c r="B267" s="28" t="s">
        <v>32</v>
      </c>
      <c r="C267" s="28" t="s">
        <v>267</v>
      </c>
      <c r="D267" s="45" t="s">
        <v>290</v>
      </c>
      <c r="E267" s="28"/>
      <c r="F267" s="31">
        <f>F268</f>
        <v>10</v>
      </c>
      <c r="G267" s="31">
        <f>G268</f>
        <v>10</v>
      </c>
      <c r="H267" s="31">
        <f>H268</f>
        <v>10</v>
      </c>
    </row>
    <row r="268" spans="1:9" s="59" customFormat="1" ht="26.25" customHeight="1">
      <c r="A268" s="44" t="s">
        <v>276</v>
      </c>
      <c r="B268" s="28" t="s">
        <v>32</v>
      </c>
      <c r="C268" s="28" t="s">
        <v>267</v>
      </c>
      <c r="D268" s="45" t="s">
        <v>291</v>
      </c>
      <c r="E268" s="28"/>
      <c r="F268" s="31">
        <f>F269+F270</f>
        <v>10</v>
      </c>
      <c r="G268" s="31">
        <f>G269+G270</f>
        <v>10</v>
      </c>
      <c r="H268" s="31">
        <f>H269+H270</f>
        <v>10</v>
      </c>
    </row>
    <row r="269" spans="1:9" s="59" customFormat="1" ht="26.25" customHeight="1">
      <c r="A269" s="50" t="s">
        <v>37</v>
      </c>
      <c r="B269" s="28" t="s">
        <v>32</v>
      </c>
      <c r="C269" s="28" t="s">
        <v>267</v>
      </c>
      <c r="D269" s="45" t="s">
        <v>291</v>
      </c>
      <c r="E269" s="28" t="s">
        <v>38</v>
      </c>
      <c r="F269" s="31">
        <v>10</v>
      </c>
      <c r="G269" s="31">
        <v>10</v>
      </c>
      <c r="H269" s="31">
        <v>10</v>
      </c>
    </row>
    <row r="270" spans="1:9" s="59" customFormat="1" ht="15.75" hidden="1" customHeight="1">
      <c r="A270" s="50" t="s">
        <v>41</v>
      </c>
      <c r="B270" s="28" t="s">
        <v>32</v>
      </c>
      <c r="C270" s="28" t="s">
        <v>267</v>
      </c>
      <c r="D270" s="45" t="s">
        <v>291</v>
      </c>
      <c r="E270" s="28" t="s">
        <v>42</v>
      </c>
      <c r="F270" s="31"/>
      <c r="G270" s="31">
        <v>0</v>
      </c>
      <c r="H270" s="31">
        <v>0</v>
      </c>
    </row>
    <row r="271" spans="1:9" s="24" customFormat="1" ht="15.75" customHeight="1">
      <c r="A271" s="37" t="s">
        <v>292</v>
      </c>
      <c r="B271" s="22" t="s">
        <v>44</v>
      </c>
      <c r="C271" s="22"/>
      <c r="D271" s="22"/>
      <c r="E271" s="22"/>
      <c r="F271" s="23">
        <f>F272+F277+F285+F304</f>
        <v>61989.700000000004</v>
      </c>
      <c r="G271" s="23">
        <f>G272+G277+G285+G304</f>
        <v>24027.800000000003</v>
      </c>
      <c r="H271" s="23">
        <f>H272+H277+H285+H304</f>
        <v>24671.800000000003</v>
      </c>
    </row>
    <row r="272" spans="1:9" s="24" customFormat="1" ht="15.75" customHeight="1">
      <c r="A272" s="82" t="s">
        <v>293</v>
      </c>
      <c r="B272" s="22" t="s">
        <v>44</v>
      </c>
      <c r="C272" s="22" t="s">
        <v>12</v>
      </c>
      <c r="D272" s="22"/>
      <c r="E272" s="22"/>
      <c r="F272" s="23">
        <f>F273</f>
        <v>550</v>
      </c>
      <c r="G272" s="23">
        <f>G273</f>
        <v>550</v>
      </c>
      <c r="H272" s="23">
        <f>H273</f>
        <v>550</v>
      </c>
    </row>
    <row r="273" spans="1:9" s="59" customFormat="1" ht="26.25" customHeight="1">
      <c r="A273" s="39" t="s">
        <v>294</v>
      </c>
      <c r="B273" s="28" t="s">
        <v>44</v>
      </c>
      <c r="C273" s="28" t="s">
        <v>12</v>
      </c>
      <c r="D273" s="30" t="s">
        <v>295</v>
      </c>
      <c r="E273" s="28"/>
      <c r="F273" s="26">
        <f t="shared" ref="F273:H275" si="32">F274</f>
        <v>550</v>
      </c>
      <c r="G273" s="26">
        <f t="shared" si="32"/>
        <v>550</v>
      </c>
      <c r="H273" s="26">
        <f t="shared" si="32"/>
        <v>550</v>
      </c>
    </row>
    <row r="274" spans="1:9" s="59" customFormat="1" ht="26.25" customHeight="1">
      <c r="A274" s="90" t="s">
        <v>296</v>
      </c>
      <c r="B274" s="28" t="s">
        <v>44</v>
      </c>
      <c r="C274" s="28" t="s">
        <v>12</v>
      </c>
      <c r="D274" s="30" t="s">
        <v>297</v>
      </c>
      <c r="E274" s="28"/>
      <c r="F274" s="26">
        <f t="shared" si="32"/>
        <v>550</v>
      </c>
      <c r="G274" s="26">
        <f t="shared" si="32"/>
        <v>550</v>
      </c>
      <c r="H274" s="26">
        <f t="shared" si="32"/>
        <v>550</v>
      </c>
    </row>
    <row r="275" spans="1:9" s="59" customFormat="1" ht="17.25" customHeight="1">
      <c r="A275" s="73" t="s">
        <v>298</v>
      </c>
      <c r="B275" s="28" t="s">
        <v>44</v>
      </c>
      <c r="C275" s="28" t="s">
        <v>12</v>
      </c>
      <c r="D275" s="30" t="s">
        <v>299</v>
      </c>
      <c r="E275" s="28"/>
      <c r="F275" s="26">
        <f t="shared" si="32"/>
        <v>550</v>
      </c>
      <c r="G275" s="26">
        <f t="shared" si="32"/>
        <v>550</v>
      </c>
      <c r="H275" s="26">
        <f t="shared" si="32"/>
        <v>550</v>
      </c>
    </row>
    <row r="276" spans="1:9" s="59" customFormat="1" ht="26.25" customHeight="1">
      <c r="A276" s="39" t="s">
        <v>37</v>
      </c>
      <c r="B276" s="28" t="s">
        <v>44</v>
      </c>
      <c r="C276" s="28" t="s">
        <v>12</v>
      </c>
      <c r="D276" s="30" t="s">
        <v>299</v>
      </c>
      <c r="E276" s="28" t="s">
        <v>38</v>
      </c>
      <c r="F276" s="31">
        <v>550</v>
      </c>
      <c r="G276" s="31">
        <v>550</v>
      </c>
      <c r="H276" s="31">
        <v>550</v>
      </c>
      <c r="I276"/>
    </row>
    <row r="277" spans="1:9" s="32" customFormat="1" ht="14.25" customHeight="1">
      <c r="A277" s="41" t="s">
        <v>300</v>
      </c>
      <c r="B277" s="22" t="s">
        <v>44</v>
      </c>
      <c r="C277" s="22" t="s">
        <v>301</v>
      </c>
      <c r="D277" s="30"/>
      <c r="E277" s="28"/>
      <c r="F277" s="23">
        <f t="shared" ref="F277:H279" si="33">F278</f>
        <v>3977.9</v>
      </c>
      <c r="G277" s="23">
        <f t="shared" si="33"/>
        <v>3977.9</v>
      </c>
      <c r="H277" s="23">
        <f t="shared" si="33"/>
        <v>3977.9</v>
      </c>
    </row>
    <row r="278" spans="1:9" s="59" customFormat="1" ht="24.75" customHeight="1">
      <c r="A278" s="39" t="s">
        <v>302</v>
      </c>
      <c r="B278" s="28" t="s">
        <v>44</v>
      </c>
      <c r="C278" s="28" t="s">
        <v>301</v>
      </c>
      <c r="D278" s="30" t="s">
        <v>303</v>
      </c>
      <c r="E278" s="28"/>
      <c r="F278" s="26">
        <f t="shared" si="33"/>
        <v>3977.9</v>
      </c>
      <c r="G278" s="26">
        <f t="shared" si="33"/>
        <v>3977.9</v>
      </c>
      <c r="H278" s="26">
        <f t="shared" si="33"/>
        <v>3977.9</v>
      </c>
    </row>
    <row r="279" spans="1:9" s="59" customFormat="1" ht="16.5" customHeight="1">
      <c r="A279" s="39" t="s">
        <v>304</v>
      </c>
      <c r="B279" s="28" t="s">
        <v>44</v>
      </c>
      <c r="C279" s="28" t="s">
        <v>301</v>
      </c>
      <c r="D279" s="30" t="s">
        <v>305</v>
      </c>
      <c r="E279" s="28"/>
      <c r="F279" s="26">
        <f t="shared" si="33"/>
        <v>3977.9</v>
      </c>
      <c r="G279" s="26">
        <f t="shared" si="33"/>
        <v>3977.9</v>
      </c>
      <c r="H279" s="26">
        <f t="shared" si="33"/>
        <v>3977.9</v>
      </c>
    </row>
    <row r="280" spans="1:9" s="59" customFormat="1" ht="24.75" customHeight="1">
      <c r="A280" s="70" t="s">
        <v>306</v>
      </c>
      <c r="B280" s="28" t="s">
        <v>44</v>
      </c>
      <c r="C280" s="28" t="s">
        <v>301</v>
      </c>
      <c r="D280" s="30" t="s">
        <v>307</v>
      </c>
      <c r="E280" s="28"/>
      <c r="F280" s="26">
        <f>F281+F283</f>
        <v>3977.9</v>
      </c>
      <c r="G280" s="26">
        <f>G281+G283</f>
        <v>3977.9</v>
      </c>
      <c r="H280" s="26">
        <f>H281+H283</f>
        <v>3977.9</v>
      </c>
    </row>
    <row r="281" spans="1:9" s="59" customFormat="1" ht="17.25" hidden="1" customHeight="1">
      <c r="A281" s="39" t="s">
        <v>308</v>
      </c>
      <c r="B281" s="28" t="s">
        <v>44</v>
      </c>
      <c r="C281" s="28" t="s">
        <v>301</v>
      </c>
      <c r="D281" s="30" t="s">
        <v>309</v>
      </c>
      <c r="E281" s="28"/>
      <c r="F281" s="31">
        <f>F282</f>
        <v>0</v>
      </c>
      <c r="G281" s="31">
        <f>G282</f>
        <v>0</v>
      </c>
      <c r="H281" s="31">
        <f>H282</f>
        <v>0</v>
      </c>
    </row>
    <row r="282" spans="1:9" s="59" customFormat="1" ht="37.5" hidden="1" customHeight="1">
      <c r="A282" s="40" t="s">
        <v>310</v>
      </c>
      <c r="B282" s="28" t="s">
        <v>44</v>
      </c>
      <c r="C282" s="28" t="s">
        <v>301</v>
      </c>
      <c r="D282" s="30" t="s">
        <v>309</v>
      </c>
      <c r="E282" s="28" t="s">
        <v>311</v>
      </c>
      <c r="F282" s="31">
        <v>0</v>
      </c>
      <c r="G282" s="31">
        <v>0</v>
      </c>
      <c r="H282" s="31">
        <v>0</v>
      </c>
    </row>
    <row r="283" spans="1:9" s="59" customFormat="1" ht="36.75" customHeight="1">
      <c r="A283" s="60" t="s">
        <v>312</v>
      </c>
      <c r="B283" s="28" t="s">
        <v>44</v>
      </c>
      <c r="C283" s="28" t="s">
        <v>301</v>
      </c>
      <c r="D283" s="30" t="s">
        <v>313</v>
      </c>
      <c r="E283" s="28"/>
      <c r="F283" s="26">
        <f>F284</f>
        <v>3977.9</v>
      </c>
      <c r="G283" s="26">
        <f>G284</f>
        <v>3977.9</v>
      </c>
      <c r="H283" s="26">
        <f>H284</f>
        <v>3977.9</v>
      </c>
    </row>
    <row r="284" spans="1:9" s="59" customFormat="1" ht="24.75" customHeight="1">
      <c r="A284" s="35" t="s">
        <v>37</v>
      </c>
      <c r="B284" s="28" t="s">
        <v>44</v>
      </c>
      <c r="C284" s="28" t="s">
        <v>301</v>
      </c>
      <c r="D284" s="30" t="s">
        <v>313</v>
      </c>
      <c r="E284" s="28" t="s">
        <v>38</v>
      </c>
      <c r="F284" s="31">
        <f>3818.8+159.1</f>
        <v>3977.9</v>
      </c>
      <c r="G284" s="31">
        <f>3818.8+159.1</f>
        <v>3977.9</v>
      </c>
      <c r="H284" s="31">
        <f>3818.8+159.1</f>
        <v>3977.9</v>
      </c>
    </row>
    <row r="285" spans="1:9" s="24" customFormat="1" ht="12.75" customHeight="1">
      <c r="A285" s="21" t="s">
        <v>314</v>
      </c>
      <c r="B285" s="22" t="s">
        <v>44</v>
      </c>
      <c r="C285" s="22" t="s">
        <v>239</v>
      </c>
      <c r="D285" s="22"/>
      <c r="E285" s="22"/>
      <c r="F285" s="23">
        <f>F290+F286</f>
        <v>53403.4</v>
      </c>
      <c r="G285" s="23">
        <f>G290+G286</f>
        <v>15558.400000000001</v>
      </c>
      <c r="H285" s="23">
        <f>H290+H286</f>
        <v>16202.400000000001</v>
      </c>
    </row>
    <row r="286" spans="1:9" ht="38.25" customHeight="1">
      <c r="A286" s="39" t="s">
        <v>268</v>
      </c>
      <c r="B286" s="28" t="s">
        <v>44</v>
      </c>
      <c r="C286" s="28" t="s">
        <v>239</v>
      </c>
      <c r="D286" s="30" t="s">
        <v>269</v>
      </c>
      <c r="E286" s="28"/>
      <c r="F286" s="31">
        <f t="shared" ref="F286:H288" si="34">F287</f>
        <v>608</v>
      </c>
      <c r="G286" s="31">
        <f t="shared" si="34"/>
        <v>355</v>
      </c>
      <c r="H286" s="31">
        <f t="shared" si="34"/>
        <v>355</v>
      </c>
    </row>
    <row r="287" spans="1:9" ht="12.75" customHeight="1">
      <c r="A287" s="52" t="s">
        <v>315</v>
      </c>
      <c r="B287" s="28" t="s">
        <v>44</v>
      </c>
      <c r="C287" s="28" t="s">
        <v>239</v>
      </c>
      <c r="D287" s="30" t="s">
        <v>316</v>
      </c>
      <c r="E287" s="28"/>
      <c r="F287" s="31">
        <f t="shared" si="34"/>
        <v>608</v>
      </c>
      <c r="G287" s="31">
        <f t="shared" si="34"/>
        <v>355</v>
      </c>
      <c r="H287" s="31">
        <f t="shared" si="34"/>
        <v>355</v>
      </c>
    </row>
    <row r="288" spans="1:9" ht="18" customHeight="1">
      <c r="A288" s="69" t="s">
        <v>272</v>
      </c>
      <c r="B288" s="28" t="s">
        <v>44</v>
      </c>
      <c r="C288" s="28" t="s">
        <v>239</v>
      </c>
      <c r="D288" s="30" t="s">
        <v>317</v>
      </c>
      <c r="E288" s="28"/>
      <c r="F288" s="31">
        <f t="shared" si="34"/>
        <v>608</v>
      </c>
      <c r="G288" s="31">
        <f t="shared" si="34"/>
        <v>355</v>
      </c>
      <c r="H288" s="31">
        <f t="shared" si="34"/>
        <v>355</v>
      </c>
    </row>
    <row r="289" spans="1:8" ht="25.5" customHeight="1">
      <c r="A289" s="39" t="s">
        <v>37</v>
      </c>
      <c r="B289" s="28" t="s">
        <v>44</v>
      </c>
      <c r="C289" s="28" t="s">
        <v>239</v>
      </c>
      <c r="D289" s="30" t="s">
        <v>317</v>
      </c>
      <c r="E289" s="28" t="s">
        <v>38</v>
      </c>
      <c r="F289" s="31">
        <f>150+60+300+40+50+3+5</f>
        <v>608</v>
      </c>
      <c r="G289" s="31">
        <v>355</v>
      </c>
      <c r="H289" s="31">
        <v>355</v>
      </c>
    </row>
    <row r="290" spans="1:8" ht="25.5" customHeight="1">
      <c r="A290" s="39" t="s">
        <v>302</v>
      </c>
      <c r="B290" s="28" t="s">
        <v>44</v>
      </c>
      <c r="C290" s="28" t="s">
        <v>239</v>
      </c>
      <c r="D290" s="30" t="s">
        <v>303</v>
      </c>
      <c r="E290" s="28"/>
      <c r="F290" s="31">
        <f>F291</f>
        <v>52795.4</v>
      </c>
      <c r="G290" s="31">
        <f>G291</f>
        <v>15203.400000000001</v>
      </c>
      <c r="H290" s="31">
        <f>H291</f>
        <v>15847.400000000001</v>
      </c>
    </row>
    <row r="291" spans="1:8" ht="12.75" customHeight="1">
      <c r="A291" s="39" t="s">
        <v>318</v>
      </c>
      <c r="B291" s="28" t="s">
        <v>44</v>
      </c>
      <c r="C291" s="28" t="s">
        <v>239</v>
      </c>
      <c r="D291" s="30" t="s">
        <v>319</v>
      </c>
      <c r="E291" s="28"/>
      <c r="F291" s="31">
        <f>F292+F299</f>
        <v>52795.4</v>
      </c>
      <c r="G291" s="31">
        <f>G292+G299</f>
        <v>15203.400000000001</v>
      </c>
      <c r="H291" s="31">
        <f>H292+H299</f>
        <v>15847.400000000001</v>
      </c>
    </row>
    <row r="292" spans="1:8" ht="25.5" customHeight="1">
      <c r="A292" s="39" t="s">
        <v>320</v>
      </c>
      <c r="B292" s="28" t="s">
        <v>44</v>
      </c>
      <c r="C292" s="28" t="s">
        <v>239</v>
      </c>
      <c r="D292" s="30" t="s">
        <v>321</v>
      </c>
      <c r="E292" s="28"/>
      <c r="F292" s="31">
        <f>F293+F295+F297</f>
        <v>44052.800000000003</v>
      </c>
      <c r="G292" s="31">
        <f>G293+G295+G297</f>
        <v>4031.3</v>
      </c>
      <c r="H292" s="31">
        <f>H293+H295+H297</f>
        <v>4031.3</v>
      </c>
    </row>
    <row r="293" spans="1:8" ht="25.5" customHeight="1">
      <c r="A293" s="70" t="s">
        <v>322</v>
      </c>
      <c r="B293" s="28" t="s">
        <v>44</v>
      </c>
      <c r="C293" s="28" t="s">
        <v>239</v>
      </c>
      <c r="D293" s="30" t="s">
        <v>323</v>
      </c>
      <c r="E293" s="28"/>
      <c r="F293" s="31">
        <f>F294</f>
        <v>3140</v>
      </c>
      <c r="G293" s="31">
        <f>G294</f>
        <v>2500</v>
      </c>
      <c r="H293" s="31">
        <f>H294</f>
        <v>2500</v>
      </c>
    </row>
    <row r="294" spans="1:8" ht="25.5" customHeight="1">
      <c r="A294" s="39" t="s">
        <v>37</v>
      </c>
      <c r="B294" s="28" t="s">
        <v>44</v>
      </c>
      <c r="C294" s="28" t="s">
        <v>239</v>
      </c>
      <c r="D294" s="30" t="s">
        <v>323</v>
      </c>
      <c r="E294" s="28" t="s">
        <v>38</v>
      </c>
      <c r="F294" s="31">
        <f>540+100+2500</f>
        <v>3140</v>
      </c>
      <c r="G294" s="31">
        <v>2500</v>
      </c>
      <c r="H294" s="31">
        <v>2500</v>
      </c>
    </row>
    <row r="295" spans="1:8" ht="25.5" customHeight="1">
      <c r="A295" s="39" t="s">
        <v>324</v>
      </c>
      <c r="B295" s="28" t="s">
        <v>44</v>
      </c>
      <c r="C295" s="28" t="s">
        <v>239</v>
      </c>
      <c r="D295" s="30" t="s">
        <v>325</v>
      </c>
      <c r="E295" s="28"/>
      <c r="F295" s="31">
        <f>F296</f>
        <v>40209.300000000003</v>
      </c>
      <c r="G295" s="31">
        <f>G296</f>
        <v>827.8</v>
      </c>
      <c r="H295" s="31">
        <f>H296</f>
        <v>827.8</v>
      </c>
    </row>
    <row r="296" spans="1:8" ht="25.5" customHeight="1">
      <c r="A296" s="39" t="s">
        <v>37</v>
      </c>
      <c r="B296" s="28" t="s">
        <v>44</v>
      </c>
      <c r="C296" s="28" t="s">
        <v>239</v>
      </c>
      <c r="D296" s="30" t="s">
        <v>325</v>
      </c>
      <c r="E296" s="28" t="s">
        <v>38</v>
      </c>
      <c r="F296" s="31">
        <f>39003+1206.3</f>
        <v>40209.300000000003</v>
      </c>
      <c r="G296" s="31">
        <f>803+24.8</f>
        <v>827.8</v>
      </c>
      <c r="H296" s="31">
        <f>803+24.8</f>
        <v>827.8</v>
      </c>
    </row>
    <row r="297" spans="1:8" ht="52.5" customHeight="1">
      <c r="A297" s="46" t="s">
        <v>326</v>
      </c>
      <c r="B297" s="28" t="s">
        <v>44</v>
      </c>
      <c r="C297" s="28" t="s">
        <v>239</v>
      </c>
      <c r="D297" s="30" t="s">
        <v>327</v>
      </c>
      <c r="E297" s="28"/>
      <c r="F297" s="31">
        <f>F298</f>
        <v>703.5</v>
      </c>
      <c r="G297" s="31">
        <f>G298</f>
        <v>703.5</v>
      </c>
      <c r="H297" s="31">
        <f>H298</f>
        <v>703.5</v>
      </c>
    </row>
    <row r="298" spans="1:8" ht="25.5" customHeight="1">
      <c r="A298" s="39" t="s">
        <v>37</v>
      </c>
      <c r="B298" s="28" t="s">
        <v>44</v>
      </c>
      <c r="C298" s="28" t="s">
        <v>239</v>
      </c>
      <c r="D298" s="30" t="s">
        <v>327</v>
      </c>
      <c r="E298" s="28" t="s">
        <v>38</v>
      </c>
      <c r="F298" s="31">
        <f>682.4+21.1</f>
        <v>703.5</v>
      </c>
      <c r="G298" s="31">
        <f>682.4+21.1</f>
        <v>703.5</v>
      </c>
      <c r="H298" s="31">
        <f>682.4+21.1</f>
        <v>703.5</v>
      </c>
    </row>
    <row r="299" spans="1:8" ht="25.5" customHeight="1">
      <c r="A299" s="39" t="s">
        <v>328</v>
      </c>
      <c r="B299" s="28" t="s">
        <v>44</v>
      </c>
      <c r="C299" s="28" t="s">
        <v>239</v>
      </c>
      <c r="D299" s="30" t="s">
        <v>329</v>
      </c>
      <c r="E299" s="28"/>
      <c r="F299" s="31">
        <f>F300+F302</f>
        <v>8742.6</v>
      </c>
      <c r="G299" s="31">
        <f>G300+G302</f>
        <v>11172.1</v>
      </c>
      <c r="H299" s="31">
        <f>H300+H302</f>
        <v>11816.1</v>
      </c>
    </row>
    <row r="300" spans="1:8" ht="28.5" customHeight="1">
      <c r="A300" s="70" t="s">
        <v>330</v>
      </c>
      <c r="B300" s="28" t="s">
        <v>44</v>
      </c>
      <c r="C300" s="28" t="s">
        <v>239</v>
      </c>
      <c r="D300" s="30" t="s">
        <v>331</v>
      </c>
      <c r="E300" s="28"/>
      <c r="F300" s="31">
        <f>F301</f>
        <v>8742.6</v>
      </c>
      <c r="G300" s="31">
        <f>G301</f>
        <v>11172.1</v>
      </c>
      <c r="H300" s="31">
        <f>H301</f>
        <v>11816.1</v>
      </c>
    </row>
    <row r="301" spans="1:8" ht="25.5" customHeight="1">
      <c r="A301" s="39" t="s">
        <v>37</v>
      </c>
      <c r="B301" s="28" t="s">
        <v>44</v>
      </c>
      <c r="C301" s="28" t="s">
        <v>239</v>
      </c>
      <c r="D301" s="30" t="s">
        <v>331</v>
      </c>
      <c r="E301" s="28" t="s">
        <v>38</v>
      </c>
      <c r="F301" s="31">
        <v>8742.6</v>
      </c>
      <c r="G301" s="31">
        <v>11172.1</v>
      </c>
      <c r="H301" s="31">
        <v>11816.1</v>
      </c>
    </row>
    <row r="302" spans="1:8" ht="63.75" hidden="1" customHeight="1">
      <c r="A302" s="83" t="s">
        <v>332</v>
      </c>
      <c r="B302" s="28" t="s">
        <v>44</v>
      </c>
      <c r="C302" s="28" t="s">
        <v>239</v>
      </c>
      <c r="D302" s="30" t="s">
        <v>333</v>
      </c>
      <c r="E302" s="28"/>
      <c r="F302" s="31">
        <f>F303</f>
        <v>0</v>
      </c>
      <c r="G302" s="31">
        <f>G303</f>
        <v>0</v>
      </c>
      <c r="H302" s="31">
        <f>H303</f>
        <v>0</v>
      </c>
    </row>
    <row r="303" spans="1:8" ht="25.5" hidden="1" customHeight="1">
      <c r="A303" s="35" t="s">
        <v>49</v>
      </c>
      <c r="B303" s="28" t="s">
        <v>44</v>
      </c>
      <c r="C303" s="28" t="s">
        <v>239</v>
      </c>
      <c r="D303" s="30" t="s">
        <v>333</v>
      </c>
      <c r="E303" s="28" t="s">
        <v>38</v>
      </c>
      <c r="F303" s="31">
        <v>0</v>
      </c>
      <c r="G303" s="31">
        <v>0</v>
      </c>
      <c r="H303" s="31">
        <v>0</v>
      </c>
    </row>
    <row r="304" spans="1:8" s="24" customFormat="1" ht="12.75" customHeight="1">
      <c r="A304" s="21" t="s">
        <v>334</v>
      </c>
      <c r="B304" s="22" t="s">
        <v>44</v>
      </c>
      <c r="C304" s="22" t="s">
        <v>335</v>
      </c>
      <c r="D304" s="22"/>
      <c r="E304" s="22"/>
      <c r="F304" s="62">
        <f>F310+F325+F305</f>
        <v>4058.4000000000005</v>
      </c>
      <c r="G304" s="62">
        <f>G310+G325+G305</f>
        <v>3941.5000000000005</v>
      </c>
      <c r="H304" s="62">
        <f>H310+H325+H305</f>
        <v>3941.5000000000005</v>
      </c>
    </row>
    <row r="305" spans="1:8" s="24" customFormat="1" ht="25.5" hidden="1" customHeight="1">
      <c r="A305" s="34" t="s">
        <v>25</v>
      </c>
      <c r="B305" s="28" t="s">
        <v>44</v>
      </c>
      <c r="C305" s="28" t="s">
        <v>335</v>
      </c>
      <c r="D305" s="28" t="s">
        <v>17</v>
      </c>
      <c r="E305" s="28"/>
      <c r="F305" s="31">
        <f t="shared" ref="F305:H308" si="35">F306</f>
        <v>0</v>
      </c>
      <c r="G305" s="31">
        <f t="shared" si="35"/>
        <v>0</v>
      </c>
      <c r="H305" s="31">
        <f t="shared" si="35"/>
        <v>0</v>
      </c>
    </row>
    <row r="306" spans="1:8" s="24" customFormat="1" ht="38.25" hidden="1" customHeight="1">
      <c r="A306" s="34" t="s">
        <v>26</v>
      </c>
      <c r="B306" s="28" t="s">
        <v>44</v>
      </c>
      <c r="C306" s="28" t="s">
        <v>335</v>
      </c>
      <c r="D306" s="28" t="s">
        <v>19</v>
      </c>
      <c r="E306" s="28"/>
      <c r="F306" s="31">
        <f t="shared" si="35"/>
        <v>0</v>
      </c>
      <c r="G306" s="31">
        <f t="shared" si="35"/>
        <v>0</v>
      </c>
      <c r="H306" s="31">
        <f t="shared" si="35"/>
        <v>0</v>
      </c>
    </row>
    <row r="307" spans="1:8" s="24" customFormat="1" ht="25.5" hidden="1" customHeight="1">
      <c r="A307" s="35" t="s">
        <v>27</v>
      </c>
      <c r="B307" s="28" t="s">
        <v>44</v>
      </c>
      <c r="C307" s="28" t="s">
        <v>335</v>
      </c>
      <c r="D307" s="28" t="s">
        <v>28</v>
      </c>
      <c r="E307" s="28"/>
      <c r="F307" s="31">
        <f t="shared" si="35"/>
        <v>0</v>
      </c>
      <c r="G307" s="31">
        <f t="shared" si="35"/>
        <v>0</v>
      </c>
      <c r="H307" s="31">
        <f t="shared" si="35"/>
        <v>0</v>
      </c>
    </row>
    <row r="308" spans="1:8" s="24" customFormat="1" ht="114.75" hidden="1" customHeight="1">
      <c r="A308" s="36" t="s">
        <v>29</v>
      </c>
      <c r="B308" s="28" t="s">
        <v>44</v>
      </c>
      <c r="C308" s="28" t="s">
        <v>335</v>
      </c>
      <c r="D308" s="30" t="s">
        <v>30</v>
      </c>
      <c r="E308" s="28"/>
      <c r="F308" s="31">
        <f t="shared" si="35"/>
        <v>0</v>
      </c>
      <c r="G308" s="31">
        <f t="shared" si="35"/>
        <v>0</v>
      </c>
      <c r="H308" s="31">
        <f t="shared" si="35"/>
        <v>0</v>
      </c>
    </row>
    <row r="309" spans="1:8" s="24" customFormat="1" ht="25.5" hidden="1" customHeight="1">
      <c r="A309" s="36" t="s">
        <v>22</v>
      </c>
      <c r="B309" s="28" t="s">
        <v>44</v>
      </c>
      <c r="C309" s="28" t="s">
        <v>335</v>
      </c>
      <c r="D309" s="30" t="s">
        <v>30</v>
      </c>
      <c r="E309" s="28" t="s">
        <v>24</v>
      </c>
      <c r="F309" s="31"/>
      <c r="G309" s="31">
        <v>0</v>
      </c>
      <c r="H309" s="31">
        <v>0</v>
      </c>
    </row>
    <row r="310" spans="1:8" s="59" customFormat="1" ht="27.75" customHeight="1">
      <c r="A310" s="39" t="s">
        <v>336</v>
      </c>
      <c r="B310" s="29" t="s">
        <v>44</v>
      </c>
      <c r="C310" s="29" t="s">
        <v>335</v>
      </c>
      <c r="D310" s="30" t="s">
        <v>337</v>
      </c>
      <c r="E310" s="29"/>
      <c r="F310" s="31">
        <f>F311+F314+F317+F320</f>
        <v>610.29999999999995</v>
      </c>
      <c r="G310" s="31">
        <f>G311+G314+G317+G320</f>
        <v>449.4</v>
      </c>
      <c r="H310" s="31">
        <f>H311+H314+H317+H320</f>
        <v>449.4</v>
      </c>
    </row>
    <row r="311" spans="1:8" s="59" customFormat="1" ht="51" customHeight="1">
      <c r="A311" s="39" t="s">
        <v>338</v>
      </c>
      <c r="B311" s="29" t="s">
        <v>44</v>
      </c>
      <c r="C311" s="29" t="s">
        <v>335</v>
      </c>
      <c r="D311" s="30" t="s">
        <v>339</v>
      </c>
      <c r="E311" s="29"/>
      <c r="F311" s="31">
        <f t="shared" ref="F311:H312" si="36">F312</f>
        <v>40</v>
      </c>
      <c r="G311" s="31">
        <f t="shared" si="36"/>
        <v>40</v>
      </c>
      <c r="H311" s="31">
        <f t="shared" si="36"/>
        <v>40</v>
      </c>
    </row>
    <row r="312" spans="1:8" s="59" customFormat="1" ht="12.75" customHeight="1">
      <c r="A312" s="39" t="s">
        <v>340</v>
      </c>
      <c r="B312" s="29" t="s">
        <v>44</v>
      </c>
      <c r="C312" s="29" t="s">
        <v>335</v>
      </c>
      <c r="D312" s="30" t="s">
        <v>341</v>
      </c>
      <c r="E312" s="29"/>
      <c r="F312" s="31">
        <f t="shared" si="36"/>
        <v>40</v>
      </c>
      <c r="G312" s="31">
        <f t="shared" si="36"/>
        <v>40</v>
      </c>
      <c r="H312" s="31">
        <f t="shared" si="36"/>
        <v>40</v>
      </c>
    </row>
    <row r="313" spans="1:8" s="59" customFormat="1" ht="25.5" customHeight="1">
      <c r="A313" s="39" t="s">
        <v>37</v>
      </c>
      <c r="B313" s="29" t="s">
        <v>44</v>
      </c>
      <c r="C313" s="29" t="s">
        <v>335</v>
      </c>
      <c r="D313" s="30" t="s">
        <v>341</v>
      </c>
      <c r="E313" s="29" t="s">
        <v>38</v>
      </c>
      <c r="F313" s="31">
        <v>40</v>
      </c>
      <c r="G313" s="31">
        <v>40</v>
      </c>
      <c r="H313" s="31">
        <v>40</v>
      </c>
    </row>
    <row r="314" spans="1:8" s="59" customFormat="1" ht="25.5" customHeight="1">
      <c r="A314" s="39" t="s">
        <v>342</v>
      </c>
      <c r="B314" s="29" t="s">
        <v>44</v>
      </c>
      <c r="C314" s="29" t="s">
        <v>335</v>
      </c>
      <c r="D314" s="30" t="s">
        <v>343</v>
      </c>
      <c r="E314" s="29"/>
      <c r="F314" s="31">
        <f t="shared" ref="F314:H315" si="37">F315</f>
        <v>100</v>
      </c>
      <c r="G314" s="31">
        <f t="shared" si="37"/>
        <v>0</v>
      </c>
      <c r="H314" s="31">
        <f t="shared" si="37"/>
        <v>0</v>
      </c>
    </row>
    <row r="315" spans="1:8" s="59" customFormat="1" ht="25.5" customHeight="1">
      <c r="A315" s="39" t="s">
        <v>344</v>
      </c>
      <c r="B315" s="29" t="s">
        <v>44</v>
      </c>
      <c r="C315" s="29" t="s">
        <v>335</v>
      </c>
      <c r="D315" s="30" t="s">
        <v>345</v>
      </c>
      <c r="E315" s="29"/>
      <c r="F315" s="31">
        <f t="shared" si="37"/>
        <v>100</v>
      </c>
      <c r="G315" s="31">
        <f t="shared" si="37"/>
        <v>0</v>
      </c>
      <c r="H315" s="31">
        <f t="shared" si="37"/>
        <v>0</v>
      </c>
    </row>
    <row r="316" spans="1:8" s="59" customFormat="1" ht="25.5" customHeight="1">
      <c r="A316" s="39" t="s">
        <v>37</v>
      </c>
      <c r="B316" s="29" t="s">
        <v>44</v>
      </c>
      <c r="C316" s="29" t="s">
        <v>335</v>
      </c>
      <c r="D316" s="30" t="s">
        <v>345</v>
      </c>
      <c r="E316" s="29" t="s">
        <v>38</v>
      </c>
      <c r="F316" s="31">
        <v>100</v>
      </c>
      <c r="G316" s="31">
        <v>0</v>
      </c>
      <c r="H316" s="31">
        <v>0</v>
      </c>
    </row>
    <row r="317" spans="1:8" s="59" customFormat="1" ht="25.5" hidden="1" customHeight="1">
      <c r="A317" s="39" t="s">
        <v>346</v>
      </c>
      <c r="B317" s="29" t="s">
        <v>44</v>
      </c>
      <c r="C317" s="29" t="s">
        <v>335</v>
      </c>
      <c r="D317" s="30" t="s">
        <v>347</v>
      </c>
      <c r="E317" s="29"/>
      <c r="F317" s="31">
        <f t="shared" ref="F317:H318" si="38">F318</f>
        <v>0</v>
      </c>
      <c r="G317" s="31">
        <f t="shared" si="38"/>
        <v>0</v>
      </c>
      <c r="H317" s="31">
        <f t="shared" si="38"/>
        <v>0</v>
      </c>
    </row>
    <row r="318" spans="1:8" s="59" customFormat="1" ht="12.75" hidden="1" customHeight="1">
      <c r="A318" s="39" t="s">
        <v>348</v>
      </c>
      <c r="B318" s="29" t="s">
        <v>44</v>
      </c>
      <c r="C318" s="29" t="s">
        <v>335</v>
      </c>
      <c r="D318" s="30" t="s">
        <v>349</v>
      </c>
      <c r="E318" s="29"/>
      <c r="F318" s="31">
        <f t="shared" si="38"/>
        <v>0</v>
      </c>
      <c r="G318" s="31">
        <f t="shared" si="38"/>
        <v>0</v>
      </c>
      <c r="H318" s="31">
        <f t="shared" si="38"/>
        <v>0</v>
      </c>
    </row>
    <row r="319" spans="1:8" s="59" customFormat="1" ht="42.75" hidden="1" customHeight="1">
      <c r="A319" s="40" t="s">
        <v>310</v>
      </c>
      <c r="B319" s="29" t="s">
        <v>44</v>
      </c>
      <c r="C319" s="29" t="s">
        <v>335</v>
      </c>
      <c r="D319" s="30" t="s">
        <v>349</v>
      </c>
      <c r="E319" s="29" t="s">
        <v>311</v>
      </c>
      <c r="F319" s="31">
        <v>0</v>
      </c>
      <c r="G319" s="31">
        <v>0</v>
      </c>
      <c r="H319" s="31">
        <v>0</v>
      </c>
    </row>
    <row r="320" spans="1:8" s="59" customFormat="1" ht="25.5" customHeight="1">
      <c r="A320" s="39" t="s">
        <v>350</v>
      </c>
      <c r="B320" s="29" t="s">
        <v>44</v>
      </c>
      <c r="C320" s="29" t="s">
        <v>335</v>
      </c>
      <c r="D320" s="30" t="s">
        <v>351</v>
      </c>
      <c r="E320" s="29"/>
      <c r="F320" s="31">
        <f>F323+F321</f>
        <v>470.3</v>
      </c>
      <c r="G320" s="31">
        <f>G323+G321</f>
        <v>409.4</v>
      </c>
      <c r="H320" s="31">
        <f>H323+H321</f>
        <v>409.4</v>
      </c>
    </row>
    <row r="321" spans="1:9" s="59" customFormat="1" ht="38.25" hidden="1" customHeight="1">
      <c r="A321" s="35" t="s">
        <v>352</v>
      </c>
      <c r="B321" s="29" t="s">
        <v>44</v>
      </c>
      <c r="C321" s="29" t="s">
        <v>335</v>
      </c>
      <c r="D321" s="30" t="s">
        <v>353</v>
      </c>
      <c r="E321" s="29"/>
      <c r="F321" s="31">
        <f>F322</f>
        <v>0</v>
      </c>
      <c r="G321" s="31">
        <f>G322</f>
        <v>0</v>
      </c>
      <c r="H321" s="31">
        <f>H322</f>
        <v>0</v>
      </c>
    </row>
    <row r="322" spans="1:9" s="59" customFormat="1" ht="42.75" hidden="1" customHeight="1">
      <c r="A322" s="25" t="s">
        <v>147</v>
      </c>
      <c r="B322" s="29" t="s">
        <v>44</v>
      </c>
      <c r="C322" s="29" t="s">
        <v>335</v>
      </c>
      <c r="D322" s="30" t="s">
        <v>353</v>
      </c>
      <c r="E322" s="29" t="s">
        <v>143</v>
      </c>
      <c r="F322" s="31">
        <v>0</v>
      </c>
      <c r="G322" s="31">
        <v>0</v>
      </c>
      <c r="H322" s="31">
        <v>0</v>
      </c>
    </row>
    <row r="323" spans="1:9" s="59" customFormat="1" ht="25.5" customHeight="1">
      <c r="A323" s="39" t="s">
        <v>354</v>
      </c>
      <c r="B323" s="29" t="s">
        <v>44</v>
      </c>
      <c r="C323" s="29" t="s">
        <v>335</v>
      </c>
      <c r="D323" s="30" t="s">
        <v>355</v>
      </c>
      <c r="E323" s="29"/>
      <c r="F323" s="31">
        <f>F324</f>
        <v>470.3</v>
      </c>
      <c r="G323" s="31">
        <f>G324</f>
        <v>409.4</v>
      </c>
      <c r="H323" s="31">
        <f>H324</f>
        <v>409.4</v>
      </c>
    </row>
    <row r="324" spans="1:9" s="59" customFormat="1" ht="41.25" customHeight="1">
      <c r="A324" s="91" t="s">
        <v>147</v>
      </c>
      <c r="B324" s="29" t="s">
        <v>44</v>
      </c>
      <c r="C324" s="29" t="s">
        <v>335</v>
      </c>
      <c r="D324" s="30" t="s">
        <v>355</v>
      </c>
      <c r="E324" s="29" t="s">
        <v>143</v>
      </c>
      <c r="F324" s="31">
        <f>446.8+23.5</f>
        <v>470.3</v>
      </c>
      <c r="G324" s="31">
        <f>388.9+20.5</f>
        <v>409.4</v>
      </c>
      <c r="H324" s="31">
        <f>388.9+20.5</f>
        <v>409.4</v>
      </c>
    </row>
    <row r="325" spans="1:9" s="59" customFormat="1" ht="41.25" customHeight="1">
      <c r="A325" s="39" t="s">
        <v>216</v>
      </c>
      <c r="B325" s="29" t="s">
        <v>44</v>
      </c>
      <c r="C325" s="29" t="s">
        <v>335</v>
      </c>
      <c r="D325" s="30" t="s">
        <v>217</v>
      </c>
      <c r="E325" s="29"/>
      <c r="F325" s="31">
        <f>F326+F331</f>
        <v>3448.1000000000004</v>
      </c>
      <c r="G325" s="31">
        <f>G326+G331</f>
        <v>3492.1000000000004</v>
      </c>
      <c r="H325" s="31">
        <f>H326+H331</f>
        <v>3492.1000000000004</v>
      </c>
    </row>
    <row r="326" spans="1:9" s="59" customFormat="1" ht="39" customHeight="1">
      <c r="A326" s="92" t="s">
        <v>356</v>
      </c>
      <c r="B326" s="29" t="s">
        <v>44</v>
      </c>
      <c r="C326" s="29" t="s">
        <v>335</v>
      </c>
      <c r="D326" s="30" t="s">
        <v>357</v>
      </c>
      <c r="E326" s="29"/>
      <c r="F326" s="31">
        <f>F327</f>
        <v>3423.6000000000004</v>
      </c>
      <c r="G326" s="31">
        <f>G327</f>
        <v>3467.6000000000004</v>
      </c>
      <c r="H326" s="31">
        <f>H327</f>
        <v>3467.6000000000004</v>
      </c>
    </row>
    <row r="327" spans="1:9" s="59" customFormat="1" ht="15.75" customHeight="1">
      <c r="A327" s="44" t="s">
        <v>35</v>
      </c>
      <c r="B327" s="29" t="s">
        <v>44</v>
      </c>
      <c r="C327" s="29" t="s">
        <v>335</v>
      </c>
      <c r="D327" s="30" t="s">
        <v>358</v>
      </c>
      <c r="E327" s="29"/>
      <c r="F327" s="31">
        <f>F328+F329+F330</f>
        <v>3423.6000000000004</v>
      </c>
      <c r="G327" s="31">
        <f>G328+G329+G330</f>
        <v>3467.6000000000004</v>
      </c>
      <c r="H327" s="31">
        <f>H328+H329+H330</f>
        <v>3467.6000000000004</v>
      </c>
    </row>
    <row r="328" spans="1:9" s="59" customFormat="1" ht="17.25" customHeight="1">
      <c r="A328" s="39" t="s">
        <v>22</v>
      </c>
      <c r="B328" s="29" t="s">
        <v>44</v>
      </c>
      <c r="C328" s="29" t="s">
        <v>335</v>
      </c>
      <c r="D328" s="30" t="s">
        <v>358</v>
      </c>
      <c r="E328" s="29" t="s">
        <v>24</v>
      </c>
      <c r="F328" s="31">
        <f>2092.3+891.2+15.8</f>
        <v>2999.3</v>
      </c>
      <c r="G328" s="31">
        <f>2092.3+891.2+15.8</f>
        <v>2999.3</v>
      </c>
      <c r="H328" s="31">
        <f>2092.3+891.2+15.8</f>
        <v>2999.3</v>
      </c>
    </row>
    <row r="329" spans="1:9" s="59" customFormat="1" ht="26.25" customHeight="1">
      <c r="A329" s="39" t="s">
        <v>37</v>
      </c>
      <c r="B329" s="29" t="s">
        <v>44</v>
      </c>
      <c r="C329" s="29" t="s">
        <v>335</v>
      </c>
      <c r="D329" s="30" t="s">
        <v>358</v>
      </c>
      <c r="E329" s="29" t="s">
        <v>38</v>
      </c>
      <c r="F329" s="31">
        <f>468.3-45</f>
        <v>423.3</v>
      </c>
      <c r="G329" s="31">
        <v>468.3</v>
      </c>
      <c r="H329" s="31">
        <v>468.3</v>
      </c>
      <c r="I329" s="3"/>
    </row>
    <row r="330" spans="1:9" s="59" customFormat="1" ht="12" customHeight="1">
      <c r="A330" s="39" t="s">
        <v>41</v>
      </c>
      <c r="B330" s="29" t="s">
        <v>44</v>
      </c>
      <c r="C330" s="29" t="s">
        <v>335</v>
      </c>
      <c r="D330" s="30" t="s">
        <v>358</v>
      </c>
      <c r="E330" s="29" t="s">
        <v>42</v>
      </c>
      <c r="F330" s="31">
        <v>1</v>
      </c>
      <c r="G330" s="31">
        <v>0</v>
      </c>
      <c r="H330" s="31">
        <v>0</v>
      </c>
    </row>
    <row r="331" spans="1:9" s="59" customFormat="1" ht="24" customHeight="1">
      <c r="A331" s="79" t="s">
        <v>222</v>
      </c>
      <c r="B331" s="29" t="s">
        <v>44</v>
      </c>
      <c r="C331" s="29" t="s">
        <v>335</v>
      </c>
      <c r="D331" s="30" t="s">
        <v>223</v>
      </c>
      <c r="E331" s="29"/>
      <c r="F331" s="31">
        <f t="shared" ref="F331:H333" si="39">F332</f>
        <v>24.5</v>
      </c>
      <c r="G331" s="31">
        <f t="shared" si="39"/>
        <v>24.5</v>
      </c>
      <c r="H331" s="31">
        <f t="shared" si="39"/>
        <v>24.5</v>
      </c>
    </row>
    <row r="332" spans="1:9" s="59" customFormat="1" ht="28.5" customHeight="1">
      <c r="A332" s="81" t="s">
        <v>359</v>
      </c>
      <c r="B332" s="29" t="s">
        <v>44</v>
      </c>
      <c r="C332" s="29" t="s">
        <v>335</v>
      </c>
      <c r="D332" s="30" t="s">
        <v>360</v>
      </c>
      <c r="E332" s="29"/>
      <c r="F332" s="31">
        <f t="shared" si="39"/>
        <v>24.5</v>
      </c>
      <c r="G332" s="31">
        <f t="shared" si="39"/>
        <v>24.5</v>
      </c>
      <c r="H332" s="31">
        <f t="shared" si="39"/>
        <v>24.5</v>
      </c>
    </row>
    <row r="333" spans="1:9" s="59" customFormat="1" ht="79.5" customHeight="1">
      <c r="A333" s="93" t="s">
        <v>361</v>
      </c>
      <c r="B333" s="29" t="s">
        <v>44</v>
      </c>
      <c r="C333" s="29" t="s">
        <v>335</v>
      </c>
      <c r="D333" s="30" t="s">
        <v>362</v>
      </c>
      <c r="E333" s="29"/>
      <c r="F333" s="31">
        <f t="shared" si="39"/>
        <v>24.5</v>
      </c>
      <c r="G333" s="31">
        <f t="shared" si="39"/>
        <v>24.5</v>
      </c>
      <c r="H333" s="31">
        <f t="shared" si="39"/>
        <v>24.5</v>
      </c>
    </row>
    <row r="334" spans="1:9" s="59" customFormat="1" ht="27.75" customHeight="1">
      <c r="A334" s="39" t="s">
        <v>37</v>
      </c>
      <c r="B334" s="29" t="s">
        <v>44</v>
      </c>
      <c r="C334" s="29" t="s">
        <v>335</v>
      </c>
      <c r="D334" s="30" t="s">
        <v>362</v>
      </c>
      <c r="E334" s="29" t="s">
        <v>38</v>
      </c>
      <c r="F334" s="31">
        <v>24.5</v>
      </c>
      <c r="G334" s="31">
        <v>24.5</v>
      </c>
      <c r="H334" s="31">
        <v>24.5</v>
      </c>
    </row>
    <row r="335" spans="1:9" s="24" customFormat="1" ht="12.75" customHeight="1">
      <c r="A335" s="37" t="s">
        <v>363</v>
      </c>
      <c r="B335" s="22" t="s">
        <v>89</v>
      </c>
      <c r="C335" s="22"/>
      <c r="D335" s="22"/>
      <c r="E335" s="22"/>
      <c r="F335" s="62">
        <f>F336+F360+F404</f>
        <v>215706.5</v>
      </c>
      <c r="G335" s="62">
        <f>G336+G360+G404</f>
        <v>16295.6</v>
      </c>
      <c r="H335" s="62">
        <f>H336+H360+H404</f>
        <v>16295.6</v>
      </c>
    </row>
    <row r="336" spans="1:9" s="24" customFormat="1" ht="12.75" customHeight="1">
      <c r="A336" s="41" t="s">
        <v>364</v>
      </c>
      <c r="B336" s="22" t="s">
        <v>89</v>
      </c>
      <c r="C336" s="22" t="s">
        <v>12</v>
      </c>
      <c r="D336" s="22"/>
      <c r="E336" s="22"/>
      <c r="F336" s="62">
        <f>F342+F346+F337</f>
        <v>164575.6</v>
      </c>
      <c r="G336" s="62">
        <f>G342+G346+G337</f>
        <v>2107.4</v>
      </c>
      <c r="H336" s="62">
        <f>H342+H346+H337</f>
        <v>2107.4</v>
      </c>
    </row>
    <row r="337" spans="1:9" s="24" customFormat="1" ht="38.25" hidden="1" customHeight="1">
      <c r="A337" s="35" t="s">
        <v>365</v>
      </c>
      <c r="B337" s="28" t="s">
        <v>89</v>
      </c>
      <c r="C337" s="28" t="s">
        <v>12</v>
      </c>
      <c r="D337" s="29" t="s">
        <v>366</v>
      </c>
      <c r="E337" s="29"/>
      <c r="F337" s="31">
        <f t="shared" ref="F337:H340" si="40">F338</f>
        <v>0</v>
      </c>
      <c r="G337" s="31">
        <f t="shared" si="40"/>
        <v>0</v>
      </c>
      <c r="H337" s="31">
        <f t="shared" si="40"/>
        <v>0</v>
      </c>
    </row>
    <row r="338" spans="1:9" s="24" customFormat="1" ht="25.5" hidden="1" customHeight="1">
      <c r="A338" s="35" t="s">
        <v>367</v>
      </c>
      <c r="B338" s="28" t="s">
        <v>89</v>
      </c>
      <c r="C338" s="28" t="s">
        <v>12</v>
      </c>
      <c r="D338" s="30" t="s">
        <v>368</v>
      </c>
      <c r="E338" s="29"/>
      <c r="F338" s="31">
        <f t="shared" si="40"/>
        <v>0</v>
      </c>
      <c r="G338" s="31">
        <f t="shared" si="40"/>
        <v>0</v>
      </c>
      <c r="H338" s="31">
        <f t="shared" si="40"/>
        <v>0</v>
      </c>
    </row>
    <row r="339" spans="1:9" s="24" customFormat="1" ht="25.5" hidden="1" customHeight="1">
      <c r="A339" s="35" t="s">
        <v>369</v>
      </c>
      <c r="B339" s="28" t="s">
        <v>89</v>
      </c>
      <c r="C339" s="28" t="s">
        <v>12</v>
      </c>
      <c r="D339" s="30" t="s">
        <v>370</v>
      </c>
      <c r="E339" s="29"/>
      <c r="F339" s="31">
        <f t="shared" si="40"/>
        <v>0</v>
      </c>
      <c r="G339" s="31">
        <f t="shared" si="40"/>
        <v>0</v>
      </c>
      <c r="H339" s="31">
        <f t="shared" si="40"/>
        <v>0</v>
      </c>
    </row>
    <row r="340" spans="1:9" s="24" customFormat="1" ht="12.75" hidden="1" customHeight="1">
      <c r="A340" s="83" t="s">
        <v>371</v>
      </c>
      <c r="B340" s="28" t="s">
        <v>89</v>
      </c>
      <c r="C340" s="28" t="s">
        <v>12</v>
      </c>
      <c r="D340" s="30" t="s">
        <v>372</v>
      </c>
      <c r="E340" s="29"/>
      <c r="F340" s="31">
        <f t="shared" si="40"/>
        <v>0</v>
      </c>
      <c r="G340" s="31">
        <f t="shared" si="40"/>
        <v>0</v>
      </c>
      <c r="H340" s="31">
        <f t="shared" si="40"/>
        <v>0</v>
      </c>
    </row>
    <row r="341" spans="1:9" s="24" customFormat="1" ht="25.5" hidden="1" customHeight="1">
      <c r="A341" s="35" t="s">
        <v>37</v>
      </c>
      <c r="B341" s="28" t="s">
        <v>89</v>
      </c>
      <c r="C341" s="28" t="s">
        <v>12</v>
      </c>
      <c r="D341" s="30" t="s">
        <v>372</v>
      </c>
      <c r="E341" s="29" t="s">
        <v>38</v>
      </c>
      <c r="F341" s="31">
        <v>0</v>
      </c>
      <c r="G341" s="31">
        <v>0</v>
      </c>
      <c r="H341" s="31">
        <v>0</v>
      </c>
    </row>
    <row r="342" spans="1:9" s="59" customFormat="1" ht="38.25" customHeight="1">
      <c r="A342" s="39" t="s">
        <v>216</v>
      </c>
      <c r="B342" s="28" t="s">
        <v>89</v>
      </c>
      <c r="C342" s="28" t="s">
        <v>12</v>
      </c>
      <c r="D342" s="30" t="s">
        <v>217</v>
      </c>
      <c r="E342" s="28"/>
      <c r="F342" s="31">
        <f t="shared" ref="F342:H344" si="41">F343</f>
        <v>1607.4</v>
      </c>
      <c r="G342" s="31">
        <f t="shared" si="41"/>
        <v>1607.4</v>
      </c>
      <c r="H342" s="31">
        <f t="shared" si="41"/>
        <v>1607.4</v>
      </c>
    </row>
    <row r="343" spans="1:9" s="59" customFormat="1" ht="25.5" customHeight="1">
      <c r="A343" s="79" t="s">
        <v>218</v>
      </c>
      <c r="B343" s="28" t="s">
        <v>89</v>
      </c>
      <c r="C343" s="28" t="s">
        <v>12</v>
      </c>
      <c r="D343" s="30" t="s">
        <v>219</v>
      </c>
      <c r="E343" s="28"/>
      <c r="F343" s="31">
        <f t="shared" si="41"/>
        <v>1607.4</v>
      </c>
      <c r="G343" s="31">
        <f t="shared" si="41"/>
        <v>1607.4</v>
      </c>
      <c r="H343" s="31">
        <f t="shared" si="41"/>
        <v>1607.4</v>
      </c>
    </row>
    <row r="344" spans="1:9" s="59" customFormat="1" ht="25.5" customHeight="1">
      <c r="A344" s="79" t="s">
        <v>220</v>
      </c>
      <c r="B344" s="28" t="s">
        <v>89</v>
      </c>
      <c r="C344" s="28" t="s">
        <v>12</v>
      </c>
      <c r="D344" s="30" t="s">
        <v>221</v>
      </c>
      <c r="E344" s="28"/>
      <c r="F344" s="31">
        <f t="shared" si="41"/>
        <v>1607.4</v>
      </c>
      <c r="G344" s="31">
        <f t="shared" si="41"/>
        <v>1607.4</v>
      </c>
      <c r="H344" s="31">
        <f t="shared" si="41"/>
        <v>1607.4</v>
      </c>
    </row>
    <row r="345" spans="1:9" s="59" customFormat="1" ht="25.5" customHeight="1">
      <c r="A345" s="39" t="s">
        <v>37</v>
      </c>
      <c r="B345" s="28" t="s">
        <v>89</v>
      </c>
      <c r="C345" s="28" t="s">
        <v>12</v>
      </c>
      <c r="D345" s="30" t="s">
        <v>221</v>
      </c>
      <c r="E345" s="28" t="s">
        <v>38</v>
      </c>
      <c r="F345" s="31">
        <f>100+585.4+507+9+346+60</f>
        <v>1607.4</v>
      </c>
      <c r="G345" s="31">
        <f>100+585.4+507+9+346+60</f>
        <v>1607.4</v>
      </c>
      <c r="H345" s="31">
        <f>100+585.4+507+9+346+60</f>
        <v>1607.4</v>
      </c>
      <c r="I345"/>
    </row>
    <row r="346" spans="1:9" s="59" customFormat="1" ht="38.25" customHeight="1">
      <c r="A346" s="39" t="s">
        <v>373</v>
      </c>
      <c r="B346" s="28" t="s">
        <v>89</v>
      </c>
      <c r="C346" s="28" t="s">
        <v>12</v>
      </c>
      <c r="D346" s="30" t="s">
        <v>374</v>
      </c>
      <c r="E346" s="28"/>
      <c r="F346" s="31">
        <f>F347+F350</f>
        <v>162968.20000000001</v>
      </c>
      <c r="G346" s="31">
        <f>G347+G350</f>
        <v>500</v>
      </c>
      <c r="H346" s="31">
        <f>H347+H350</f>
        <v>500</v>
      </c>
    </row>
    <row r="347" spans="1:9" s="59" customFormat="1" ht="25.5" customHeight="1">
      <c r="A347" s="39" t="s">
        <v>375</v>
      </c>
      <c r="B347" s="28" t="s">
        <v>89</v>
      </c>
      <c r="C347" s="28" t="s">
        <v>12</v>
      </c>
      <c r="D347" s="30" t="s">
        <v>376</v>
      </c>
      <c r="E347" s="28"/>
      <c r="F347" s="31">
        <f t="shared" ref="F347:H348" si="42">F348</f>
        <v>760</v>
      </c>
      <c r="G347" s="31">
        <f t="shared" si="42"/>
        <v>500</v>
      </c>
      <c r="H347" s="31">
        <f t="shared" si="42"/>
        <v>500</v>
      </c>
    </row>
    <row r="348" spans="1:9" s="59" customFormat="1" ht="25.5" customHeight="1">
      <c r="A348" s="39" t="s">
        <v>377</v>
      </c>
      <c r="B348" s="28" t="s">
        <v>89</v>
      </c>
      <c r="C348" s="28" t="s">
        <v>12</v>
      </c>
      <c r="D348" s="30" t="s">
        <v>378</v>
      </c>
      <c r="E348" s="28"/>
      <c r="F348" s="31">
        <f t="shared" si="42"/>
        <v>760</v>
      </c>
      <c r="G348" s="31">
        <f t="shared" si="42"/>
        <v>500</v>
      </c>
      <c r="H348" s="31">
        <f t="shared" si="42"/>
        <v>500</v>
      </c>
    </row>
    <row r="349" spans="1:9" s="59" customFormat="1" ht="25.5" customHeight="1">
      <c r="A349" s="39" t="s">
        <v>37</v>
      </c>
      <c r="B349" s="28" t="s">
        <v>89</v>
      </c>
      <c r="C349" s="28" t="s">
        <v>12</v>
      </c>
      <c r="D349" s="30" t="s">
        <v>378</v>
      </c>
      <c r="E349" s="28" t="s">
        <v>38</v>
      </c>
      <c r="F349" s="31">
        <f>2130-1370</f>
        <v>760</v>
      </c>
      <c r="G349" s="31">
        <v>500</v>
      </c>
      <c r="H349" s="31">
        <v>500</v>
      </c>
      <c r="I349" s="3"/>
    </row>
    <row r="350" spans="1:9" s="32" customFormat="1" ht="25.5" customHeight="1">
      <c r="A350" s="39" t="s">
        <v>379</v>
      </c>
      <c r="B350" s="28" t="s">
        <v>89</v>
      </c>
      <c r="C350" s="28" t="s">
        <v>12</v>
      </c>
      <c r="D350" s="30" t="s">
        <v>380</v>
      </c>
      <c r="E350" s="28"/>
      <c r="F350" s="31">
        <f>F351+F353</f>
        <v>162208.20000000001</v>
      </c>
      <c r="G350" s="31">
        <f>G351+G353</f>
        <v>0</v>
      </c>
      <c r="H350" s="31">
        <f>H351+H353</f>
        <v>0</v>
      </c>
    </row>
    <row r="351" spans="1:9" s="32" customFormat="1" ht="25.5" customHeight="1">
      <c r="A351" s="35" t="s">
        <v>381</v>
      </c>
      <c r="B351" s="28" t="s">
        <v>89</v>
      </c>
      <c r="C351" s="28" t="s">
        <v>12</v>
      </c>
      <c r="D351" s="30" t="s">
        <v>382</v>
      </c>
      <c r="E351" s="28"/>
      <c r="F351" s="31">
        <f>F352</f>
        <v>1410</v>
      </c>
      <c r="G351" s="31">
        <f>G352</f>
        <v>0</v>
      </c>
      <c r="H351" s="31">
        <f>H352</f>
        <v>0</v>
      </c>
    </row>
    <row r="352" spans="1:9" s="32" customFormat="1" ht="25.5" customHeight="1">
      <c r="A352" s="35" t="s">
        <v>37</v>
      </c>
      <c r="B352" s="28" t="s">
        <v>89</v>
      </c>
      <c r="C352" s="28" t="s">
        <v>12</v>
      </c>
      <c r="D352" s="30" t="s">
        <v>382</v>
      </c>
      <c r="E352" s="28" t="s">
        <v>38</v>
      </c>
      <c r="F352" s="31">
        <f>360+1050</f>
        <v>1410</v>
      </c>
      <c r="G352" s="31">
        <v>0</v>
      </c>
      <c r="H352" s="31">
        <v>0</v>
      </c>
      <c r="I352"/>
    </row>
    <row r="353" spans="1:8" s="32" customFormat="1" ht="25.5" customHeight="1">
      <c r="A353" s="35" t="s">
        <v>383</v>
      </c>
      <c r="B353" s="28" t="s">
        <v>89</v>
      </c>
      <c r="C353" s="28" t="s">
        <v>12</v>
      </c>
      <c r="D353" s="30" t="s">
        <v>384</v>
      </c>
      <c r="E353" s="28"/>
      <c r="F353" s="31">
        <f>F356+F358+F354</f>
        <v>160798.20000000001</v>
      </c>
      <c r="G353" s="31">
        <f>G356+G358+G354</f>
        <v>0</v>
      </c>
      <c r="H353" s="31">
        <f>H356+H358+H354</f>
        <v>0</v>
      </c>
    </row>
    <row r="354" spans="1:8" s="32" customFormat="1" ht="38.25" hidden="1" customHeight="1">
      <c r="A354" s="35" t="s">
        <v>385</v>
      </c>
      <c r="B354" s="28" t="s">
        <v>89</v>
      </c>
      <c r="C354" s="28" t="s">
        <v>12</v>
      </c>
      <c r="D354" s="30" t="s">
        <v>386</v>
      </c>
      <c r="E354" s="28"/>
      <c r="F354" s="31">
        <f>F355</f>
        <v>0</v>
      </c>
      <c r="G354" s="31">
        <f>G355</f>
        <v>0</v>
      </c>
      <c r="H354" s="31">
        <f>H355</f>
        <v>0</v>
      </c>
    </row>
    <row r="355" spans="1:8" s="32" customFormat="1" ht="25.5" hidden="1" customHeight="1">
      <c r="A355" s="35" t="s">
        <v>37</v>
      </c>
      <c r="B355" s="28" t="s">
        <v>89</v>
      </c>
      <c r="C355" s="28" t="s">
        <v>12</v>
      </c>
      <c r="D355" s="30" t="s">
        <v>386</v>
      </c>
      <c r="E355" s="28" t="s">
        <v>38</v>
      </c>
      <c r="F355" s="31"/>
      <c r="G355" s="31">
        <v>0</v>
      </c>
      <c r="H355" s="31">
        <v>0</v>
      </c>
    </row>
    <row r="356" spans="1:8" s="32" customFormat="1" ht="51" customHeight="1">
      <c r="A356" s="35" t="s">
        <v>387</v>
      </c>
      <c r="B356" s="29" t="s">
        <v>89</v>
      </c>
      <c r="C356" s="29" t="s">
        <v>12</v>
      </c>
      <c r="D356" s="30" t="s">
        <v>388</v>
      </c>
      <c r="E356" s="28"/>
      <c r="F356" s="31">
        <f>F357</f>
        <v>57807.799999999996</v>
      </c>
      <c r="G356" s="31">
        <f>G357</f>
        <v>0</v>
      </c>
      <c r="H356" s="31">
        <f>H357</f>
        <v>0</v>
      </c>
    </row>
    <row r="357" spans="1:8" s="32" customFormat="1" ht="12.75" customHeight="1">
      <c r="A357" s="94" t="s">
        <v>389</v>
      </c>
      <c r="B357" s="29" t="s">
        <v>89</v>
      </c>
      <c r="C357" s="29" t="s">
        <v>12</v>
      </c>
      <c r="D357" s="30" t="s">
        <v>388</v>
      </c>
      <c r="E357" s="28" t="s">
        <v>390</v>
      </c>
      <c r="F357" s="31">
        <f>57806.1+1.7</f>
        <v>57807.799999999996</v>
      </c>
      <c r="G357" s="31">
        <v>0</v>
      </c>
      <c r="H357" s="31">
        <v>0</v>
      </c>
    </row>
    <row r="358" spans="1:8" s="32" customFormat="1" ht="25.5" customHeight="1">
      <c r="A358" s="35" t="s">
        <v>391</v>
      </c>
      <c r="B358" s="29" t="s">
        <v>89</v>
      </c>
      <c r="C358" s="29" t="s">
        <v>12</v>
      </c>
      <c r="D358" s="30" t="s">
        <v>392</v>
      </c>
      <c r="E358" s="28"/>
      <c r="F358" s="31">
        <f>F359</f>
        <v>102990.40000000001</v>
      </c>
      <c r="G358" s="31">
        <f>G359</f>
        <v>0</v>
      </c>
      <c r="H358" s="31">
        <f>H359</f>
        <v>0</v>
      </c>
    </row>
    <row r="359" spans="1:8" s="32" customFormat="1" ht="12.75" customHeight="1">
      <c r="A359" s="94" t="s">
        <v>389</v>
      </c>
      <c r="B359" s="29" t="s">
        <v>89</v>
      </c>
      <c r="C359" s="29" t="s">
        <v>12</v>
      </c>
      <c r="D359" s="30" t="s">
        <v>392</v>
      </c>
      <c r="E359" s="28" t="s">
        <v>390</v>
      </c>
      <c r="F359" s="31">
        <f>102987.3+3.1</f>
        <v>102990.40000000001</v>
      </c>
      <c r="G359" s="31">
        <v>0</v>
      </c>
      <c r="H359" s="31">
        <v>0</v>
      </c>
    </row>
    <row r="360" spans="1:8" s="56" customFormat="1" ht="12.75" customHeight="1">
      <c r="A360" s="41" t="s">
        <v>393</v>
      </c>
      <c r="B360" s="22" t="s">
        <v>89</v>
      </c>
      <c r="C360" s="22" t="s">
        <v>14</v>
      </c>
      <c r="D360" s="86"/>
      <c r="E360" s="22"/>
      <c r="F360" s="62">
        <f>F364+F369+F400+F361</f>
        <v>31810.1</v>
      </c>
      <c r="G360" s="62">
        <f>G364+G369+G400+G361</f>
        <v>2330</v>
      </c>
      <c r="H360" s="62">
        <f>H364+H369+H400+H361</f>
        <v>2330</v>
      </c>
    </row>
    <row r="361" spans="1:8" s="56" customFormat="1" ht="12.75" hidden="1" customHeight="1">
      <c r="A361" s="39" t="s">
        <v>45</v>
      </c>
      <c r="B361" s="28" t="s">
        <v>89</v>
      </c>
      <c r="C361" s="28" t="s">
        <v>14</v>
      </c>
      <c r="D361" s="29" t="s">
        <v>46</v>
      </c>
      <c r="E361" s="22"/>
      <c r="F361" s="31">
        <f t="shared" ref="F361:H362" si="43">F362</f>
        <v>0</v>
      </c>
      <c r="G361" s="31">
        <f t="shared" si="43"/>
        <v>0</v>
      </c>
      <c r="H361" s="31">
        <f t="shared" si="43"/>
        <v>0</v>
      </c>
    </row>
    <row r="362" spans="1:8" s="56" customFormat="1" ht="12.75" hidden="1" customHeight="1">
      <c r="A362" s="39" t="s">
        <v>47</v>
      </c>
      <c r="B362" s="28" t="s">
        <v>89</v>
      </c>
      <c r="C362" s="28" t="s">
        <v>14</v>
      </c>
      <c r="D362" s="29" t="s">
        <v>48</v>
      </c>
      <c r="E362" s="22"/>
      <c r="F362" s="31">
        <f t="shared" si="43"/>
        <v>0</v>
      </c>
      <c r="G362" s="31">
        <f t="shared" si="43"/>
        <v>0</v>
      </c>
      <c r="H362" s="31">
        <f t="shared" si="43"/>
        <v>0</v>
      </c>
    </row>
    <row r="363" spans="1:8" s="56" customFormat="1" ht="12.75" hidden="1" customHeight="1">
      <c r="A363" s="39" t="s">
        <v>118</v>
      </c>
      <c r="B363" s="28" t="s">
        <v>89</v>
      </c>
      <c r="C363" s="28" t="s">
        <v>14</v>
      </c>
      <c r="D363" s="29" t="s">
        <v>48</v>
      </c>
      <c r="E363" s="28" t="s">
        <v>38</v>
      </c>
      <c r="F363" s="31"/>
      <c r="G363" s="31"/>
      <c r="H363" s="31"/>
    </row>
    <row r="364" spans="1:8" s="56" customFormat="1" ht="25.5" hidden="1" customHeight="1">
      <c r="A364" s="38" t="s">
        <v>124</v>
      </c>
      <c r="B364" s="28" t="s">
        <v>89</v>
      </c>
      <c r="C364" s="28" t="s">
        <v>14</v>
      </c>
      <c r="D364" s="30" t="s">
        <v>125</v>
      </c>
      <c r="E364" s="28"/>
      <c r="F364" s="31">
        <f>F365+F367</f>
        <v>0</v>
      </c>
      <c r="G364" s="31">
        <f>G365+G367</f>
        <v>0</v>
      </c>
      <c r="H364" s="31">
        <f>H365+H367</f>
        <v>0</v>
      </c>
    </row>
    <row r="365" spans="1:8" s="56" customFormat="1" ht="25.5" hidden="1" customHeight="1">
      <c r="A365" s="39" t="s">
        <v>394</v>
      </c>
      <c r="B365" s="28" t="s">
        <v>89</v>
      </c>
      <c r="C365" s="28" t="s">
        <v>14</v>
      </c>
      <c r="D365" s="30" t="s">
        <v>395</v>
      </c>
      <c r="E365" s="28"/>
      <c r="F365" s="31">
        <f>F366</f>
        <v>0</v>
      </c>
      <c r="G365" s="31">
        <f>G366</f>
        <v>0</v>
      </c>
      <c r="H365" s="31">
        <f>H366</f>
        <v>0</v>
      </c>
    </row>
    <row r="366" spans="1:8" s="56" customFormat="1" ht="40.5" hidden="1" customHeight="1">
      <c r="A366" s="91" t="s">
        <v>396</v>
      </c>
      <c r="B366" s="28" t="s">
        <v>89</v>
      </c>
      <c r="C366" s="28" t="s">
        <v>14</v>
      </c>
      <c r="D366" s="30" t="s">
        <v>395</v>
      </c>
      <c r="E366" s="28" t="s">
        <v>311</v>
      </c>
      <c r="F366" s="31"/>
      <c r="G366" s="31"/>
      <c r="H366" s="31"/>
    </row>
    <row r="367" spans="1:8" s="56" customFormat="1" ht="51.75" hidden="1" customHeight="1">
      <c r="A367" s="91" t="s">
        <v>397</v>
      </c>
      <c r="B367" s="28" t="s">
        <v>89</v>
      </c>
      <c r="C367" s="28" t="s">
        <v>14</v>
      </c>
      <c r="D367" s="30" t="s">
        <v>398</v>
      </c>
      <c r="E367" s="28"/>
      <c r="F367" s="31">
        <f>F368</f>
        <v>0</v>
      </c>
      <c r="G367" s="31">
        <f>G368</f>
        <v>0</v>
      </c>
      <c r="H367" s="31">
        <f>H368</f>
        <v>0</v>
      </c>
    </row>
    <row r="368" spans="1:8" s="56" customFormat="1" ht="40.5" hidden="1" customHeight="1">
      <c r="A368" s="91" t="s">
        <v>396</v>
      </c>
      <c r="B368" s="28" t="s">
        <v>89</v>
      </c>
      <c r="C368" s="28" t="s">
        <v>14</v>
      </c>
      <c r="D368" s="30" t="s">
        <v>398</v>
      </c>
      <c r="E368" s="28" t="s">
        <v>311</v>
      </c>
      <c r="F368" s="31"/>
      <c r="G368" s="31"/>
      <c r="H368" s="31"/>
    </row>
    <row r="369" spans="1:9" s="59" customFormat="1" ht="38.25" customHeight="1">
      <c r="A369" s="39" t="s">
        <v>399</v>
      </c>
      <c r="B369" s="28" t="s">
        <v>89</v>
      </c>
      <c r="C369" s="28" t="s">
        <v>14</v>
      </c>
      <c r="D369" s="30" t="s">
        <v>366</v>
      </c>
      <c r="E369" s="28"/>
      <c r="F369" s="31">
        <f>F370+F387</f>
        <v>31243.1</v>
      </c>
      <c r="G369" s="31">
        <f>G370+G387</f>
        <v>2330</v>
      </c>
      <c r="H369" s="31">
        <f>H370+H387</f>
        <v>2330</v>
      </c>
    </row>
    <row r="370" spans="1:9" s="59" customFormat="1" ht="25.5" customHeight="1">
      <c r="A370" s="35" t="s">
        <v>400</v>
      </c>
      <c r="B370" s="28" t="s">
        <v>89</v>
      </c>
      <c r="C370" s="28" t="s">
        <v>14</v>
      </c>
      <c r="D370" s="30" t="s">
        <v>368</v>
      </c>
      <c r="E370" s="28"/>
      <c r="F370" s="31">
        <f>F371+F375+F384</f>
        <v>16315.1</v>
      </c>
      <c r="G370" s="31">
        <f>G371+G375+G384</f>
        <v>2330</v>
      </c>
      <c r="H370" s="31">
        <f>H371+H375+H384</f>
        <v>2330</v>
      </c>
    </row>
    <row r="371" spans="1:9" s="59" customFormat="1" ht="25.5" customHeight="1">
      <c r="A371" s="39" t="s">
        <v>369</v>
      </c>
      <c r="B371" s="28" t="s">
        <v>89</v>
      </c>
      <c r="C371" s="28" t="s">
        <v>14</v>
      </c>
      <c r="D371" s="30" t="s">
        <v>370</v>
      </c>
      <c r="E371" s="28"/>
      <c r="F371" s="31">
        <f>F372</f>
        <v>3030</v>
      </c>
      <c r="G371" s="31">
        <f>G372</f>
        <v>1830</v>
      </c>
      <c r="H371" s="31">
        <f>H372</f>
        <v>1830</v>
      </c>
    </row>
    <row r="372" spans="1:9" s="59" customFormat="1" ht="12.75" customHeight="1">
      <c r="A372" s="39" t="s">
        <v>371</v>
      </c>
      <c r="B372" s="28" t="s">
        <v>89</v>
      </c>
      <c r="C372" s="28" t="s">
        <v>14</v>
      </c>
      <c r="D372" s="30" t="s">
        <v>372</v>
      </c>
      <c r="E372" s="28"/>
      <c r="F372" s="31">
        <f>F373+F374</f>
        <v>3030</v>
      </c>
      <c r="G372" s="31">
        <f>G373+G374</f>
        <v>1830</v>
      </c>
      <c r="H372" s="31">
        <f>H373+H374</f>
        <v>1830</v>
      </c>
    </row>
    <row r="373" spans="1:9" s="59" customFormat="1" ht="25.5" customHeight="1">
      <c r="A373" s="39" t="s">
        <v>37</v>
      </c>
      <c r="B373" s="28" t="s">
        <v>89</v>
      </c>
      <c r="C373" s="28" t="s">
        <v>14</v>
      </c>
      <c r="D373" s="30" t="s">
        <v>372</v>
      </c>
      <c r="E373" s="28" t="s">
        <v>38</v>
      </c>
      <c r="F373" s="31">
        <f>1200+160+120+600+650+300</f>
        <v>3030</v>
      </c>
      <c r="G373" s="31">
        <v>1830</v>
      </c>
      <c r="H373" s="31">
        <v>1830</v>
      </c>
    </row>
    <row r="374" spans="1:9" s="59" customFormat="1" ht="13.5" hidden="1" customHeight="1">
      <c r="A374" s="35" t="s">
        <v>401</v>
      </c>
      <c r="B374" s="28" t="s">
        <v>89</v>
      </c>
      <c r="C374" s="28" t="s">
        <v>14</v>
      </c>
      <c r="D374" s="30" t="s">
        <v>372</v>
      </c>
      <c r="E374" s="28" t="s">
        <v>390</v>
      </c>
      <c r="F374" s="31">
        <f>2000-2000</f>
        <v>0</v>
      </c>
      <c r="G374" s="31">
        <v>0</v>
      </c>
      <c r="H374" s="31">
        <v>0</v>
      </c>
    </row>
    <row r="375" spans="1:9" s="59" customFormat="1" ht="25.5" customHeight="1">
      <c r="A375" s="47" t="s">
        <v>402</v>
      </c>
      <c r="B375" s="28" t="s">
        <v>89</v>
      </c>
      <c r="C375" s="28" t="s">
        <v>14</v>
      </c>
      <c r="D375" s="30" t="s">
        <v>403</v>
      </c>
      <c r="E375" s="28"/>
      <c r="F375" s="31">
        <f>F376+F380+F382</f>
        <v>13285.1</v>
      </c>
      <c r="G375" s="31">
        <f>G376+G380</f>
        <v>500</v>
      </c>
      <c r="H375" s="31">
        <f>H376+H380</f>
        <v>500</v>
      </c>
    </row>
    <row r="376" spans="1:9" s="59" customFormat="1" ht="12.75" customHeight="1">
      <c r="A376" s="39" t="s">
        <v>371</v>
      </c>
      <c r="B376" s="28" t="s">
        <v>89</v>
      </c>
      <c r="C376" s="28" t="s">
        <v>14</v>
      </c>
      <c r="D376" s="30" t="s">
        <v>404</v>
      </c>
      <c r="E376" s="28"/>
      <c r="F376" s="31">
        <f>F377+F378+F379</f>
        <v>8875.1</v>
      </c>
      <c r="G376" s="31">
        <f>G377+G378+G379</f>
        <v>500</v>
      </c>
      <c r="H376" s="31">
        <f>H377+H378+H379</f>
        <v>500</v>
      </c>
    </row>
    <row r="377" spans="1:9" s="59" customFormat="1" ht="28.5" customHeight="1">
      <c r="A377" s="95" t="s">
        <v>37</v>
      </c>
      <c r="B377" s="28" t="s">
        <v>89</v>
      </c>
      <c r="C377" s="28" t="s">
        <v>14</v>
      </c>
      <c r="D377" s="30" t="s">
        <v>404</v>
      </c>
      <c r="E377" s="28" t="s">
        <v>38</v>
      </c>
      <c r="F377" s="31">
        <f>300+150+800+140+600+6760+645-600-150</f>
        <v>8645</v>
      </c>
      <c r="G377" s="31">
        <v>500</v>
      </c>
      <c r="H377" s="31">
        <v>500</v>
      </c>
      <c r="I377"/>
    </row>
    <row r="378" spans="1:9" s="59" customFormat="1" ht="18" hidden="1" customHeight="1">
      <c r="A378" s="42" t="s">
        <v>401</v>
      </c>
      <c r="B378" s="28" t="s">
        <v>89</v>
      </c>
      <c r="C378" s="28" t="s">
        <v>14</v>
      </c>
      <c r="D378" s="30" t="s">
        <v>404</v>
      </c>
      <c r="E378" s="28" t="s">
        <v>390</v>
      </c>
      <c r="F378" s="31">
        <v>0</v>
      </c>
      <c r="G378" s="31">
        <f>2550.8-2550.8</f>
        <v>0</v>
      </c>
      <c r="H378" s="31">
        <v>0</v>
      </c>
    </row>
    <row r="379" spans="1:9" s="59" customFormat="1" ht="32.25" customHeight="1">
      <c r="A379" s="96" t="s">
        <v>405</v>
      </c>
      <c r="B379" s="28" t="s">
        <v>89</v>
      </c>
      <c r="C379" s="28" t="s">
        <v>14</v>
      </c>
      <c r="D379" s="30" t="s">
        <v>404</v>
      </c>
      <c r="E379" s="28" t="s">
        <v>226</v>
      </c>
      <c r="F379" s="31">
        <v>230.1</v>
      </c>
      <c r="G379" s="31">
        <v>0</v>
      </c>
      <c r="H379" s="31">
        <v>0</v>
      </c>
      <c r="I379"/>
    </row>
    <row r="380" spans="1:9" s="59" customFormat="1" ht="27.75" customHeight="1">
      <c r="A380" s="96" t="s">
        <v>406</v>
      </c>
      <c r="B380" s="29" t="s">
        <v>89</v>
      </c>
      <c r="C380" s="29" t="s">
        <v>14</v>
      </c>
      <c r="D380" s="30" t="s">
        <v>407</v>
      </c>
      <c r="E380" s="29"/>
      <c r="F380" s="31">
        <f>F381</f>
        <v>3810</v>
      </c>
      <c r="G380" s="31">
        <f>G381</f>
        <v>0</v>
      </c>
      <c r="H380" s="31">
        <f>H381</f>
        <v>0</v>
      </c>
    </row>
    <row r="381" spans="1:9" s="59" customFormat="1" ht="26.25" customHeight="1">
      <c r="A381" s="58" t="s">
        <v>37</v>
      </c>
      <c r="B381" s="29" t="s">
        <v>89</v>
      </c>
      <c r="C381" s="29" t="s">
        <v>14</v>
      </c>
      <c r="D381" s="30" t="s">
        <v>407</v>
      </c>
      <c r="E381" s="29" t="s">
        <v>38</v>
      </c>
      <c r="F381" s="31">
        <f>3610+200</f>
        <v>3810</v>
      </c>
      <c r="G381" s="31">
        <v>0</v>
      </c>
      <c r="H381" s="31">
        <v>0</v>
      </c>
    </row>
    <row r="382" spans="1:9" s="59" customFormat="1" ht="26.25" customHeight="1">
      <c r="A382" s="97" t="s">
        <v>408</v>
      </c>
      <c r="B382" s="29" t="s">
        <v>89</v>
      </c>
      <c r="C382" s="29" t="s">
        <v>14</v>
      </c>
      <c r="D382" s="30" t="s">
        <v>409</v>
      </c>
      <c r="E382" s="29"/>
      <c r="F382" s="31">
        <f>F383</f>
        <v>600</v>
      </c>
      <c r="G382" s="31">
        <f>G383</f>
        <v>0</v>
      </c>
      <c r="H382" s="31">
        <f>H383</f>
        <v>0</v>
      </c>
    </row>
    <row r="383" spans="1:9" s="59" customFormat="1" ht="26.25" customHeight="1">
      <c r="A383" s="35" t="s">
        <v>37</v>
      </c>
      <c r="B383" s="29" t="s">
        <v>89</v>
      </c>
      <c r="C383" s="29" t="s">
        <v>14</v>
      </c>
      <c r="D383" s="30" t="s">
        <v>409</v>
      </c>
      <c r="E383" s="29" t="s">
        <v>38</v>
      </c>
      <c r="F383" s="31">
        <v>600</v>
      </c>
      <c r="G383" s="31">
        <v>0</v>
      </c>
      <c r="H383" s="31">
        <v>0</v>
      </c>
      <c r="I383"/>
    </row>
    <row r="384" spans="1:9" s="59" customFormat="1" ht="18" hidden="1" customHeight="1">
      <c r="A384" s="98" t="s">
        <v>410</v>
      </c>
      <c r="B384" s="28" t="s">
        <v>89</v>
      </c>
      <c r="C384" s="28" t="s">
        <v>14</v>
      </c>
      <c r="D384" s="30" t="s">
        <v>411</v>
      </c>
      <c r="E384" s="28"/>
      <c r="F384" s="31">
        <f t="shared" ref="F384:H385" si="44">F385</f>
        <v>0</v>
      </c>
      <c r="G384" s="31">
        <f t="shared" si="44"/>
        <v>0</v>
      </c>
      <c r="H384" s="31">
        <f t="shared" si="44"/>
        <v>0</v>
      </c>
    </row>
    <row r="385" spans="1:9" s="59" customFormat="1" ht="13.5" hidden="1" customHeight="1">
      <c r="A385" s="99" t="s">
        <v>412</v>
      </c>
      <c r="B385" s="28" t="s">
        <v>89</v>
      </c>
      <c r="C385" s="28" t="s">
        <v>14</v>
      </c>
      <c r="D385" s="30" t="s">
        <v>413</v>
      </c>
      <c r="E385" s="28"/>
      <c r="F385" s="31">
        <f t="shared" si="44"/>
        <v>0</v>
      </c>
      <c r="G385" s="31">
        <f t="shared" si="44"/>
        <v>0</v>
      </c>
      <c r="H385" s="31">
        <f t="shared" si="44"/>
        <v>0</v>
      </c>
    </row>
    <row r="386" spans="1:9" s="59" customFormat="1" ht="25.5" hidden="1" customHeight="1">
      <c r="A386" s="58" t="s">
        <v>37</v>
      </c>
      <c r="B386" s="28" t="s">
        <v>89</v>
      </c>
      <c r="C386" s="28" t="s">
        <v>14</v>
      </c>
      <c r="D386" s="30" t="s">
        <v>413</v>
      </c>
      <c r="E386" s="28" t="s">
        <v>38</v>
      </c>
      <c r="F386" s="31"/>
      <c r="G386" s="31"/>
      <c r="H386" s="31"/>
    </row>
    <row r="387" spans="1:9" s="59" customFormat="1" ht="25.5" customHeight="1">
      <c r="A387" s="100" t="s">
        <v>414</v>
      </c>
      <c r="B387" s="28" t="s">
        <v>89</v>
      </c>
      <c r="C387" s="28" t="s">
        <v>14</v>
      </c>
      <c r="D387" s="30" t="s">
        <v>415</v>
      </c>
      <c r="E387" s="28"/>
      <c r="F387" s="31">
        <f>F397+F388</f>
        <v>14928</v>
      </c>
      <c r="G387" s="31">
        <f>G397+G388</f>
        <v>0</v>
      </c>
      <c r="H387" s="31">
        <f>H397+H388</f>
        <v>0</v>
      </c>
    </row>
    <row r="388" spans="1:9" s="59" customFormat="1" ht="39" hidden="1" customHeight="1">
      <c r="A388" s="58" t="s">
        <v>416</v>
      </c>
      <c r="B388" s="28" t="s">
        <v>89</v>
      </c>
      <c r="C388" s="28" t="s">
        <v>14</v>
      </c>
      <c r="D388" s="30" t="s">
        <v>417</v>
      </c>
      <c r="E388" s="28"/>
      <c r="F388" s="31">
        <f>F391+F393+F395+F389</f>
        <v>0</v>
      </c>
      <c r="G388" s="31">
        <f>G391+G393+G395+G389</f>
        <v>0</v>
      </c>
      <c r="H388" s="31">
        <f>H391+H393+H395+H389</f>
        <v>0</v>
      </c>
    </row>
    <row r="389" spans="1:9" s="59" customFormat="1" ht="17.25" hidden="1" customHeight="1">
      <c r="A389" s="81" t="s">
        <v>371</v>
      </c>
      <c r="B389" s="28" t="s">
        <v>89</v>
      </c>
      <c r="C389" s="28" t="s">
        <v>14</v>
      </c>
      <c r="D389" s="30" t="s">
        <v>418</v>
      </c>
      <c r="E389" s="29"/>
      <c r="F389" s="31">
        <f>F390</f>
        <v>0</v>
      </c>
      <c r="G389" s="31">
        <f>G390</f>
        <v>0</v>
      </c>
      <c r="H389" s="31">
        <f>H390</f>
        <v>0</v>
      </c>
    </row>
    <row r="390" spans="1:9" s="59" customFormat="1" ht="15" hidden="1" customHeight="1">
      <c r="A390" s="101" t="s">
        <v>389</v>
      </c>
      <c r="B390" s="28" t="s">
        <v>89</v>
      </c>
      <c r="C390" s="28" t="s">
        <v>14</v>
      </c>
      <c r="D390" s="30" t="s">
        <v>418</v>
      </c>
      <c r="E390" s="29" t="s">
        <v>390</v>
      </c>
      <c r="F390" s="31">
        <f>5500-5500</f>
        <v>0</v>
      </c>
      <c r="G390" s="31">
        <v>0</v>
      </c>
      <c r="H390" s="31">
        <v>0</v>
      </c>
      <c r="I390"/>
    </row>
    <row r="391" spans="1:9" s="59" customFormat="1" ht="39.75" hidden="1" customHeight="1">
      <c r="A391" s="102" t="s">
        <v>419</v>
      </c>
      <c r="B391" s="28" t="s">
        <v>89</v>
      </c>
      <c r="C391" s="28" t="s">
        <v>14</v>
      </c>
      <c r="D391" s="30" t="s">
        <v>420</v>
      </c>
      <c r="E391" s="29"/>
      <c r="F391" s="31">
        <f>F392</f>
        <v>0</v>
      </c>
      <c r="G391" s="31">
        <f>G392</f>
        <v>0</v>
      </c>
      <c r="H391" s="31">
        <f>H392</f>
        <v>0</v>
      </c>
    </row>
    <row r="392" spans="1:9" s="59" customFormat="1" ht="16.5" hidden="1" customHeight="1">
      <c r="A392" s="74" t="s">
        <v>389</v>
      </c>
      <c r="B392" s="28" t="s">
        <v>89</v>
      </c>
      <c r="C392" s="28" t="s">
        <v>14</v>
      </c>
      <c r="D392" s="30" t="s">
        <v>420</v>
      </c>
      <c r="E392" s="29" t="s">
        <v>390</v>
      </c>
      <c r="F392" s="31"/>
      <c r="G392" s="31"/>
      <c r="H392" s="31"/>
    </row>
    <row r="393" spans="1:9" s="59" customFormat="1" ht="39.75" hidden="1" customHeight="1">
      <c r="A393" s="103" t="s">
        <v>421</v>
      </c>
      <c r="B393" s="28" t="s">
        <v>89</v>
      </c>
      <c r="C393" s="28" t="s">
        <v>14</v>
      </c>
      <c r="D393" s="30" t="s">
        <v>422</v>
      </c>
      <c r="E393" s="29"/>
      <c r="F393" s="31">
        <f>F394</f>
        <v>0</v>
      </c>
      <c r="G393" s="31">
        <f>G394</f>
        <v>0</v>
      </c>
      <c r="H393" s="31">
        <f>H394</f>
        <v>0</v>
      </c>
    </row>
    <row r="394" spans="1:9" s="59" customFormat="1" ht="18.75" hidden="1" customHeight="1">
      <c r="A394" s="104" t="s">
        <v>389</v>
      </c>
      <c r="B394" s="28" t="s">
        <v>89</v>
      </c>
      <c r="C394" s="28" t="s">
        <v>14</v>
      </c>
      <c r="D394" s="30" t="s">
        <v>422</v>
      </c>
      <c r="E394" s="105" t="s">
        <v>390</v>
      </c>
      <c r="F394" s="31"/>
      <c r="G394" s="31"/>
      <c r="H394" s="31"/>
    </row>
    <row r="395" spans="1:9" s="59" customFormat="1" ht="29.25" hidden="1" customHeight="1">
      <c r="A395" s="106" t="s">
        <v>423</v>
      </c>
      <c r="B395" s="28" t="s">
        <v>89</v>
      </c>
      <c r="C395" s="28" t="s">
        <v>14</v>
      </c>
      <c r="D395" s="30" t="s">
        <v>424</v>
      </c>
      <c r="E395" s="105"/>
      <c r="F395" s="31">
        <f>F396</f>
        <v>0</v>
      </c>
      <c r="G395" s="31">
        <f>G396</f>
        <v>0</v>
      </c>
      <c r="H395" s="31">
        <f>H396</f>
        <v>0</v>
      </c>
    </row>
    <row r="396" spans="1:9" s="59" customFormat="1" ht="16.5" hidden="1" customHeight="1">
      <c r="A396" s="104" t="s">
        <v>389</v>
      </c>
      <c r="B396" s="28" t="s">
        <v>89</v>
      </c>
      <c r="C396" s="28" t="s">
        <v>14</v>
      </c>
      <c r="D396" s="30" t="s">
        <v>424</v>
      </c>
      <c r="E396" s="105" t="s">
        <v>390</v>
      </c>
      <c r="F396" s="31"/>
      <c r="G396" s="31"/>
      <c r="H396" s="31"/>
    </row>
    <row r="397" spans="1:9" s="59" customFormat="1" ht="25.5" customHeight="1">
      <c r="A397" s="102" t="s">
        <v>425</v>
      </c>
      <c r="B397" s="29" t="s">
        <v>89</v>
      </c>
      <c r="C397" s="29" t="s">
        <v>14</v>
      </c>
      <c r="D397" s="30" t="s">
        <v>426</v>
      </c>
      <c r="E397" s="29"/>
      <c r="F397" s="31">
        <f t="shared" ref="F397:H398" si="45">F398</f>
        <v>14928</v>
      </c>
      <c r="G397" s="31">
        <f t="shared" si="45"/>
        <v>0</v>
      </c>
      <c r="H397" s="31">
        <f t="shared" si="45"/>
        <v>0</v>
      </c>
    </row>
    <row r="398" spans="1:9" s="59" customFormat="1" ht="39.75" customHeight="1">
      <c r="A398" s="102" t="s">
        <v>427</v>
      </c>
      <c r="B398" s="29" t="s">
        <v>89</v>
      </c>
      <c r="C398" s="29" t="s">
        <v>14</v>
      </c>
      <c r="D398" s="30" t="s">
        <v>428</v>
      </c>
      <c r="E398" s="29"/>
      <c r="F398" s="31">
        <f t="shared" si="45"/>
        <v>14928</v>
      </c>
      <c r="G398" s="31">
        <f t="shared" si="45"/>
        <v>0</v>
      </c>
      <c r="H398" s="31">
        <f t="shared" si="45"/>
        <v>0</v>
      </c>
    </row>
    <row r="399" spans="1:9" s="59" customFormat="1" ht="16.5" customHeight="1">
      <c r="A399" s="101" t="s">
        <v>389</v>
      </c>
      <c r="B399" s="29" t="s">
        <v>89</v>
      </c>
      <c r="C399" s="29" t="s">
        <v>14</v>
      </c>
      <c r="D399" s="30" t="s">
        <v>428</v>
      </c>
      <c r="E399" s="29" t="s">
        <v>390</v>
      </c>
      <c r="F399" s="31">
        <f>10600.2+327.8+4000</f>
        <v>14928</v>
      </c>
      <c r="G399" s="31">
        <v>0</v>
      </c>
      <c r="H399" s="31">
        <v>0</v>
      </c>
      <c r="I399"/>
    </row>
    <row r="400" spans="1:9" s="59" customFormat="1" ht="38.25" customHeight="1">
      <c r="A400" s="74" t="s">
        <v>429</v>
      </c>
      <c r="B400" s="28" t="s">
        <v>89</v>
      </c>
      <c r="C400" s="28" t="s">
        <v>14</v>
      </c>
      <c r="D400" s="30" t="s">
        <v>217</v>
      </c>
      <c r="E400" s="29"/>
      <c r="F400" s="31">
        <f t="shared" ref="F400:H402" si="46">F401</f>
        <v>567</v>
      </c>
      <c r="G400" s="31">
        <f t="shared" si="46"/>
        <v>0</v>
      </c>
      <c r="H400" s="31">
        <f t="shared" si="46"/>
        <v>0</v>
      </c>
    </row>
    <row r="401" spans="1:9" s="59" customFormat="1" ht="25.5" customHeight="1">
      <c r="A401" s="92" t="s">
        <v>218</v>
      </c>
      <c r="B401" s="28" t="s">
        <v>89</v>
      </c>
      <c r="C401" s="28" t="s">
        <v>14</v>
      </c>
      <c r="D401" s="30" t="s">
        <v>219</v>
      </c>
      <c r="E401" s="29"/>
      <c r="F401" s="31">
        <f t="shared" si="46"/>
        <v>567</v>
      </c>
      <c r="G401" s="31">
        <f t="shared" si="46"/>
        <v>0</v>
      </c>
      <c r="H401" s="31">
        <f t="shared" si="46"/>
        <v>0</v>
      </c>
    </row>
    <row r="402" spans="1:9" s="59" customFormat="1" ht="27.75" customHeight="1">
      <c r="A402" s="107" t="s">
        <v>220</v>
      </c>
      <c r="B402" s="28" t="s">
        <v>89</v>
      </c>
      <c r="C402" s="28" t="s">
        <v>14</v>
      </c>
      <c r="D402" s="30" t="s">
        <v>221</v>
      </c>
      <c r="E402" s="29"/>
      <c r="F402" s="31">
        <f t="shared" si="46"/>
        <v>567</v>
      </c>
      <c r="G402" s="31">
        <f t="shared" si="46"/>
        <v>0</v>
      </c>
      <c r="H402" s="31">
        <f t="shared" si="46"/>
        <v>0</v>
      </c>
    </row>
    <row r="403" spans="1:9" s="59" customFormat="1" ht="12.75" customHeight="1">
      <c r="A403" s="52" t="s">
        <v>389</v>
      </c>
      <c r="B403" s="28" t="s">
        <v>89</v>
      </c>
      <c r="C403" s="28" t="s">
        <v>14</v>
      </c>
      <c r="D403" s="30" t="s">
        <v>221</v>
      </c>
      <c r="E403" s="29" t="s">
        <v>38</v>
      </c>
      <c r="F403" s="31">
        <f>567+650+400-650-400</f>
        <v>567</v>
      </c>
      <c r="G403" s="31">
        <v>0</v>
      </c>
      <c r="H403" s="31">
        <v>0</v>
      </c>
      <c r="I403"/>
    </row>
    <row r="404" spans="1:9" s="56" customFormat="1" ht="12.75" customHeight="1">
      <c r="A404" s="41" t="s">
        <v>430</v>
      </c>
      <c r="B404" s="22" t="s">
        <v>89</v>
      </c>
      <c r="C404" s="22" t="s">
        <v>32</v>
      </c>
      <c r="D404" s="86"/>
      <c r="E404" s="22"/>
      <c r="F404" s="62">
        <f>F405+F429</f>
        <v>19320.8</v>
      </c>
      <c r="G404" s="62">
        <f>G405+G429</f>
        <v>11858.2</v>
      </c>
      <c r="H404" s="62">
        <f>H405+H429</f>
        <v>11858.2</v>
      </c>
    </row>
    <row r="405" spans="1:9" s="59" customFormat="1" ht="26.25" customHeight="1">
      <c r="A405" s="25" t="s">
        <v>431</v>
      </c>
      <c r="B405" s="28" t="s">
        <v>89</v>
      </c>
      <c r="C405" s="28" t="s">
        <v>32</v>
      </c>
      <c r="D405" s="30" t="s">
        <v>432</v>
      </c>
      <c r="E405" s="28"/>
      <c r="F405" s="31">
        <f>F406+F414</f>
        <v>14545.5</v>
      </c>
      <c r="G405" s="31">
        <f>G406+G414</f>
        <v>11858.2</v>
      </c>
      <c r="H405" s="31">
        <f>H406+H414</f>
        <v>11858.2</v>
      </c>
    </row>
    <row r="406" spans="1:9" s="59" customFormat="1" ht="24" customHeight="1">
      <c r="A406" s="74" t="s">
        <v>433</v>
      </c>
      <c r="B406" s="28" t="s">
        <v>89</v>
      </c>
      <c r="C406" s="28" t="s">
        <v>32</v>
      </c>
      <c r="D406" s="30" t="s">
        <v>434</v>
      </c>
      <c r="E406" s="28"/>
      <c r="F406" s="31">
        <f>F407</f>
        <v>3937.3</v>
      </c>
      <c r="G406" s="31">
        <f>G407</f>
        <v>0</v>
      </c>
      <c r="H406" s="31">
        <f>H407</f>
        <v>0</v>
      </c>
    </row>
    <row r="407" spans="1:9" s="59" customFormat="1" ht="38.25" customHeight="1">
      <c r="A407" s="74" t="s">
        <v>435</v>
      </c>
      <c r="B407" s="28" t="s">
        <v>89</v>
      </c>
      <c r="C407" s="28" t="s">
        <v>32</v>
      </c>
      <c r="D407" s="30" t="s">
        <v>436</v>
      </c>
      <c r="E407" s="28"/>
      <c r="F407" s="31">
        <f>F408+F412+F410</f>
        <v>3937.3</v>
      </c>
      <c r="G407" s="31">
        <f>G408+G412+G410</f>
        <v>0</v>
      </c>
      <c r="H407" s="31">
        <f>H408+H412+H410</f>
        <v>0</v>
      </c>
    </row>
    <row r="408" spans="1:9" s="59" customFormat="1" ht="12.75" customHeight="1">
      <c r="A408" s="69" t="s">
        <v>437</v>
      </c>
      <c r="B408" s="28" t="s">
        <v>89</v>
      </c>
      <c r="C408" s="28" t="s">
        <v>32</v>
      </c>
      <c r="D408" s="30" t="s">
        <v>438</v>
      </c>
      <c r="E408" s="28"/>
      <c r="F408" s="31">
        <f>F409</f>
        <v>1284.1000000000001</v>
      </c>
      <c r="G408" s="31">
        <f>G409</f>
        <v>0</v>
      </c>
      <c r="H408" s="31">
        <f>H409</f>
        <v>0</v>
      </c>
    </row>
    <row r="409" spans="1:9" s="59" customFormat="1" ht="25.5" customHeight="1">
      <c r="A409" s="39" t="s">
        <v>37</v>
      </c>
      <c r="B409" s="28" t="s">
        <v>89</v>
      </c>
      <c r="C409" s="28" t="s">
        <v>32</v>
      </c>
      <c r="D409" s="30" t="s">
        <v>438</v>
      </c>
      <c r="E409" s="28" t="s">
        <v>38</v>
      </c>
      <c r="F409" s="31">
        <f>1070.7+213.4</f>
        <v>1284.1000000000001</v>
      </c>
      <c r="G409" s="31">
        <v>0</v>
      </c>
      <c r="H409" s="31">
        <v>0</v>
      </c>
    </row>
    <row r="410" spans="1:9" s="59" customFormat="1" ht="25.5" customHeight="1">
      <c r="A410" s="69" t="s">
        <v>439</v>
      </c>
      <c r="B410" s="28" t="s">
        <v>89</v>
      </c>
      <c r="C410" s="28" t="s">
        <v>32</v>
      </c>
      <c r="D410" s="30" t="s">
        <v>440</v>
      </c>
      <c r="E410" s="28"/>
      <c r="F410" s="31">
        <f>F411</f>
        <v>2653.2000000000003</v>
      </c>
      <c r="G410" s="31">
        <f>G411</f>
        <v>0</v>
      </c>
      <c r="H410" s="31">
        <f>H411</f>
        <v>0</v>
      </c>
    </row>
    <row r="411" spans="1:9" s="59" customFormat="1" ht="25.5" customHeight="1">
      <c r="A411" s="39" t="s">
        <v>49</v>
      </c>
      <c r="B411" s="28" t="s">
        <v>89</v>
      </c>
      <c r="C411" s="28" t="s">
        <v>32</v>
      </c>
      <c r="D411" s="30" t="s">
        <v>440</v>
      </c>
      <c r="E411" s="28" t="s">
        <v>38</v>
      </c>
      <c r="F411" s="31">
        <f>2387.9+265.3</f>
        <v>2653.2000000000003</v>
      </c>
      <c r="G411" s="31">
        <v>0</v>
      </c>
      <c r="H411" s="31">
        <v>0</v>
      </c>
    </row>
    <row r="412" spans="1:9" s="59" customFormat="1" ht="25.5" hidden="1" customHeight="1">
      <c r="A412" s="74" t="s">
        <v>441</v>
      </c>
      <c r="B412" s="28" t="s">
        <v>89</v>
      </c>
      <c r="C412" s="28" t="s">
        <v>32</v>
      </c>
      <c r="D412" s="30" t="s">
        <v>442</v>
      </c>
      <c r="E412" s="29"/>
      <c r="F412" s="31">
        <f>F413</f>
        <v>0</v>
      </c>
      <c r="G412" s="31">
        <f>G413</f>
        <v>0</v>
      </c>
      <c r="H412" s="31">
        <f>H413</f>
        <v>0</v>
      </c>
    </row>
    <row r="413" spans="1:9" s="59" customFormat="1" ht="25.5" hidden="1" customHeight="1">
      <c r="A413" s="35" t="s">
        <v>49</v>
      </c>
      <c r="B413" s="28" t="s">
        <v>89</v>
      </c>
      <c r="C413" s="28" t="s">
        <v>32</v>
      </c>
      <c r="D413" s="30" t="s">
        <v>442</v>
      </c>
      <c r="E413" s="29" t="s">
        <v>38</v>
      </c>
      <c r="F413" s="31"/>
      <c r="G413" s="31"/>
      <c r="H413" s="31"/>
    </row>
    <row r="414" spans="1:9" s="59" customFormat="1" ht="25.5" customHeight="1">
      <c r="A414" s="74" t="s">
        <v>443</v>
      </c>
      <c r="B414" s="29" t="s">
        <v>89</v>
      </c>
      <c r="C414" s="29" t="s">
        <v>32</v>
      </c>
      <c r="D414" s="30" t="s">
        <v>444</v>
      </c>
      <c r="E414" s="29"/>
      <c r="F414" s="31">
        <f>F415+F421+F426</f>
        <v>10608.2</v>
      </c>
      <c r="G414" s="31">
        <f>G415+G421+G426</f>
        <v>11858.2</v>
      </c>
      <c r="H414" s="31">
        <f>H415+H421+H426</f>
        <v>11858.2</v>
      </c>
    </row>
    <row r="415" spans="1:9" s="59" customFormat="1" ht="15.75" customHeight="1">
      <c r="A415" s="35" t="s">
        <v>445</v>
      </c>
      <c r="B415" s="29" t="s">
        <v>89</v>
      </c>
      <c r="C415" s="29" t="s">
        <v>32</v>
      </c>
      <c r="D415" s="30" t="s">
        <v>446</v>
      </c>
      <c r="E415" s="29"/>
      <c r="F415" s="31">
        <f>F416+F419</f>
        <v>7951.3</v>
      </c>
      <c r="G415" s="31">
        <f>G416+G419</f>
        <v>7951.3</v>
      </c>
      <c r="H415" s="31">
        <f>H416+H419</f>
        <v>7951.3</v>
      </c>
    </row>
    <row r="416" spans="1:9" s="59" customFormat="1" ht="12.75" customHeight="1">
      <c r="A416" s="35" t="s">
        <v>447</v>
      </c>
      <c r="B416" s="29" t="s">
        <v>89</v>
      </c>
      <c r="C416" s="29" t="s">
        <v>32</v>
      </c>
      <c r="D416" s="30" t="s">
        <v>448</v>
      </c>
      <c r="E416" s="29"/>
      <c r="F416" s="31">
        <f>F417+F418</f>
        <v>7951.3</v>
      </c>
      <c r="G416" s="31">
        <f>G417+G418</f>
        <v>7951.3</v>
      </c>
      <c r="H416" s="31">
        <f>H417+H418</f>
        <v>7951.3</v>
      </c>
    </row>
    <row r="417" spans="1:9" s="59" customFormat="1" ht="25.5" customHeight="1">
      <c r="A417" s="35" t="s">
        <v>37</v>
      </c>
      <c r="B417" s="29" t="s">
        <v>89</v>
      </c>
      <c r="C417" s="29" t="s">
        <v>32</v>
      </c>
      <c r="D417" s="30" t="s">
        <v>448</v>
      </c>
      <c r="E417" s="29" t="s">
        <v>38</v>
      </c>
      <c r="F417" s="31">
        <f>5729.5+1909.8+312</f>
        <v>7951.3</v>
      </c>
      <c r="G417" s="31">
        <f>5729.5+1909.8+312</f>
        <v>7951.3</v>
      </c>
      <c r="H417" s="31">
        <f>5729.5+1909.8+312</f>
        <v>7951.3</v>
      </c>
    </row>
    <row r="418" spans="1:9" s="59" customFormat="1" ht="16.5" hidden="1" customHeight="1">
      <c r="A418" s="35" t="s">
        <v>449</v>
      </c>
      <c r="B418" s="29" t="s">
        <v>89</v>
      </c>
      <c r="C418" s="29" t="s">
        <v>32</v>
      </c>
      <c r="D418" s="30" t="s">
        <v>448</v>
      </c>
      <c r="E418" s="29" t="s">
        <v>42</v>
      </c>
      <c r="F418" s="31">
        <v>0</v>
      </c>
      <c r="G418" s="31">
        <v>0</v>
      </c>
      <c r="H418" s="31">
        <v>0</v>
      </c>
    </row>
    <row r="419" spans="1:9" s="59" customFormat="1" ht="16.5" hidden="1" customHeight="1">
      <c r="A419" s="35" t="s">
        <v>450</v>
      </c>
      <c r="B419" s="29" t="s">
        <v>89</v>
      </c>
      <c r="C419" s="29" t="s">
        <v>32</v>
      </c>
      <c r="D419" s="30" t="s">
        <v>451</v>
      </c>
      <c r="E419" s="29"/>
      <c r="F419" s="31">
        <f>F420</f>
        <v>0</v>
      </c>
      <c r="G419" s="31">
        <f>G420</f>
        <v>0</v>
      </c>
      <c r="H419" s="31">
        <f>H420</f>
        <v>0</v>
      </c>
    </row>
    <row r="420" spans="1:9" s="59" customFormat="1" ht="16.5" customHeight="1">
      <c r="A420" s="35" t="s">
        <v>37</v>
      </c>
      <c r="B420" s="29" t="s">
        <v>89</v>
      </c>
      <c r="C420" s="29" t="s">
        <v>32</v>
      </c>
      <c r="D420" s="30" t="s">
        <v>451</v>
      </c>
      <c r="E420" s="29" t="s">
        <v>38</v>
      </c>
      <c r="F420" s="31"/>
      <c r="G420" s="31"/>
      <c r="H420" s="31"/>
    </row>
    <row r="421" spans="1:9" s="59" customFormat="1" ht="17.25" customHeight="1">
      <c r="A421" s="35" t="s">
        <v>452</v>
      </c>
      <c r="B421" s="29" t="s">
        <v>89</v>
      </c>
      <c r="C421" s="29" t="s">
        <v>32</v>
      </c>
      <c r="D421" s="30" t="s">
        <v>453</v>
      </c>
      <c r="E421" s="29"/>
      <c r="F421" s="31">
        <f>F422+F424</f>
        <v>2202.8000000000002</v>
      </c>
      <c r="G421" s="31">
        <f>G422+G424</f>
        <v>3302.8</v>
      </c>
      <c r="H421" s="31">
        <f>H422+H424</f>
        <v>3302.8</v>
      </c>
    </row>
    <row r="422" spans="1:9" s="59" customFormat="1" ht="18" customHeight="1">
      <c r="A422" s="35" t="s">
        <v>454</v>
      </c>
      <c r="B422" s="29" t="s">
        <v>89</v>
      </c>
      <c r="C422" s="29" t="s">
        <v>32</v>
      </c>
      <c r="D422" s="30" t="s">
        <v>455</v>
      </c>
      <c r="E422" s="29"/>
      <c r="F422" s="31">
        <f>F423</f>
        <v>2202.8000000000002</v>
      </c>
      <c r="G422" s="31">
        <f>G423</f>
        <v>3302.8</v>
      </c>
      <c r="H422" s="31">
        <f>H423</f>
        <v>3302.8</v>
      </c>
    </row>
    <row r="423" spans="1:9" s="59" customFormat="1" ht="25.5" customHeight="1">
      <c r="A423" s="35" t="s">
        <v>37</v>
      </c>
      <c r="B423" s="29" t="s">
        <v>89</v>
      </c>
      <c r="C423" s="29" t="s">
        <v>32</v>
      </c>
      <c r="D423" s="30" t="s">
        <v>455</v>
      </c>
      <c r="E423" s="29" t="s">
        <v>38</v>
      </c>
      <c r="F423" s="31">
        <f>2432.8+100+770-1100</f>
        <v>2202.8000000000002</v>
      </c>
      <c r="G423" s="31">
        <f>2432.8+100+770</f>
        <v>3302.8</v>
      </c>
      <c r="H423" s="31">
        <f>2432.8+100+770</f>
        <v>3302.8</v>
      </c>
      <c r="I423" s="56"/>
    </row>
    <row r="424" spans="1:9" s="59" customFormat="1" ht="15" hidden="1" customHeight="1">
      <c r="A424" s="35" t="s">
        <v>450</v>
      </c>
      <c r="B424" s="29" t="s">
        <v>89</v>
      </c>
      <c r="C424" s="29" t="s">
        <v>32</v>
      </c>
      <c r="D424" s="30" t="s">
        <v>456</v>
      </c>
      <c r="E424" s="29"/>
      <c r="F424" s="31">
        <f>F425</f>
        <v>0</v>
      </c>
      <c r="G424" s="31">
        <f>G425</f>
        <v>0</v>
      </c>
      <c r="H424" s="31">
        <f>H425</f>
        <v>0</v>
      </c>
    </row>
    <row r="425" spans="1:9" s="59" customFormat="1" ht="25.5" hidden="1" customHeight="1">
      <c r="A425" s="35" t="s">
        <v>37</v>
      </c>
      <c r="B425" s="29" t="s">
        <v>89</v>
      </c>
      <c r="C425" s="29" t="s">
        <v>32</v>
      </c>
      <c r="D425" s="30" t="s">
        <v>456</v>
      </c>
      <c r="E425" s="29" t="s">
        <v>38</v>
      </c>
      <c r="F425" s="31"/>
      <c r="G425" s="31"/>
      <c r="H425" s="31"/>
    </row>
    <row r="426" spans="1:9" s="59" customFormat="1" ht="25.5" customHeight="1">
      <c r="A426" s="35" t="s">
        <v>457</v>
      </c>
      <c r="B426" s="29" t="s">
        <v>89</v>
      </c>
      <c r="C426" s="29" t="s">
        <v>32</v>
      </c>
      <c r="D426" s="30" t="s">
        <v>458</v>
      </c>
      <c r="E426" s="29"/>
      <c r="F426" s="31">
        <f t="shared" ref="F426:H427" si="47">F427</f>
        <v>454.09999999999991</v>
      </c>
      <c r="G426" s="31">
        <f t="shared" si="47"/>
        <v>604.1</v>
      </c>
      <c r="H426" s="31">
        <f t="shared" si="47"/>
        <v>604.1</v>
      </c>
    </row>
    <row r="427" spans="1:9" s="59" customFormat="1" ht="16.5" customHeight="1">
      <c r="A427" s="35" t="s">
        <v>459</v>
      </c>
      <c r="B427" s="29" t="s">
        <v>89</v>
      </c>
      <c r="C427" s="29" t="s">
        <v>32</v>
      </c>
      <c r="D427" s="30" t="s">
        <v>460</v>
      </c>
      <c r="E427" s="29"/>
      <c r="F427" s="31">
        <f t="shared" si="47"/>
        <v>454.09999999999991</v>
      </c>
      <c r="G427" s="31">
        <f t="shared" si="47"/>
        <v>604.1</v>
      </c>
      <c r="H427" s="31">
        <f t="shared" si="47"/>
        <v>604.1</v>
      </c>
    </row>
    <row r="428" spans="1:9" s="59" customFormat="1" ht="25.5" customHeight="1">
      <c r="A428" s="35" t="s">
        <v>37</v>
      </c>
      <c r="B428" s="29" t="s">
        <v>89</v>
      </c>
      <c r="C428" s="29" t="s">
        <v>32</v>
      </c>
      <c r="D428" s="30" t="s">
        <v>460</v>
      </c>
      <c r="E428" s="29" t="s">
        <v>38</v>
      </c>
      <c r="F428" s="31">
        <f>1304.1-500-350</f>
        <v>454.09999999999991</v>
      </c>
      <c r="G428" s="31">
        <v>604.1</v>
      </c>
      <c r="H428" s="31">
        <v>604.1</v>
      </c>
      <c r="I428"/>
    </row>
    <row r="429" spans="1:9" s="59" customFormat="1" ht="39.75" customHeight="1">
      <c r="A429" s="35" t="s">
        <v>461</v>
      </c>
      <c r="B429" s="29" t="s">
        <v>89</v>
      </c>
      <c r="C429" s="29" t="s">
        <v>32</v>
      </c>
      <c r="D429" s="30" t="s">
        <v>462</v>
      </c>
      <c r="E429" s="29"/>
      <c r="F429" s="31">
        <f t="shared" ref="F429:H431" si="48">F430</f>
        <v>4775.3</v>
      </c>
      <c r="G429" s="31">
        <f t="shared" si="48"/>
        <v>0</v>
      </c>
      <c r="H429" s="31">
        <f t="shared" si="48"/>
        <v>0</v>
      </c>
    </row>
    <row r="430" spans="1:9" s="59" customFormat="1" ht="30.75" customHeight="1">
      <c r="A430" s="108" t="s">
        <v>463</v>
      </c>
      <c r="B430" s="29" t="s">
        <v>89</v>
      </c>
      <c r="C430" s="29" t="s">
        <v>32</v>
      </c>
      <c r="D430" s="30" t="s">
        <v>464</v>
      </c>
      <c r="E430" s="29"/>
      <c r="F430" s="31">
        <f t="shared" si="48"/>
        <v>4775.3</v>
      </c>
      <c r="G430" s="31">
        <f t="shared" si="48"/>
        <v>0</v>
      </c>
      <c r="H430" s="31">
        <f t="shared" si="48"/>
        <v>0</v>
      </c>
    </row>
    <row r="431" spans="1:9" s="59" customFormat="1" ht="25.5" customHeight="1">
      <c r="A431" s="94" t="s">
        <v>465</v>
      </c>
      <c r="B431" s="29" t="s">
        <v>89</v>
      </c>
      <c r="C431" s="29" t="s">
        <v>32</v>
      </c>
      <c r="D431" s="30" t="s">
        <v>466</v>
      </c>
      <c r="E431" s="29"/>
      <c r="F431" s="31">
        <f t="shared" si="48"/>
        <v>4775.3</v>
      </c>
      <c r="G431" s="31">
        <f t="shared" si="48"/>
        <v>0</v>
      </c>
      <c r="H431" s="31">
        <f t="shared" si="48"/>
        <v>0</v>
      </c>
    </row>
    <row r="432" spans="1:9" s="59" customFormat="1" ht="25.5" customHeight="1">
      <c r="A432" s="35" t="s">
        <v>37</v>
      </c>
      <c r="B432" s="29" t="s">
        <v>89</v>
      </c>
      <c r="C432" s="29" t="s">
        <v>32</v>
      </c>
      <c r="D432" s="30" t="s">
        <v>466</v>
      </c>
      <c r="E432" s="29" t="s">
        <v>38</v>
      </c>
      <c r="F432" s="31">
        <f>4727.5+47.8</f>
        <v>4775.3</v>
      </c>
      <c r="G432" s="31">
        <f>0</f>
        <v>0</v>
      </c>
      <c r="H432" s="31">
        <v>0</v>
      </c>
    </row>
    <row r="433" spans="1:8" s="24" customFormat="1" ht="12.75" customHeight="1">
      <c r="A433" s="37" t="s">
        <v>467</v>
      </c>
      <c r="B433" s="109" t="s">
        <v>95</v>
      </c>
      <c r="C433" s="109"/>
      <c r="D433" s="110"/>
      <c r="E433" s="110"/>
      <c r="F433" s="62">
        <f t="shared" ref="F433:H434" si="49">F434</f>
        <v>15720.8</v>
      </c>
      <c r="G433" s="62">
        <f t="shared" si="49"/>
        <v>2367.6</v>
      </c>
      <c r="H433" s="62">
        <f t="shared" si="49"/>
        <v>2367.6</v>
      </c>
    </row>
    <row r="434" spans="1:8" s="24" customFormat="1" ht="17.25" customHeight="1">
      <c r="A434" s="82" t="s">
        <v>468</v>
      </c>
      <c r="B434" s="109" t="s">
        <v>95</v>
      </c>
      <c r="C434" s="109" t="s">
        <v>89</v>
      </c>
      <c r="D434" s="110"/>
      <c r="E434" s="110"/>
      <c r="F434" s="62">
        <f t="shared" si="49"/>
        <v>15720.8</v>
      </c>
      <c r="G434" s="62">
        <f t="shared" si="49"/>
        <v>2367.6</v>
      </c>
      <c r="H434" s="62">
        <f t="shared" si="49"/>
        <v>2367.6</v>
      </c>
    </row>
    <row r="435" spans="1:8" s="59" customFormat="1" ht="38.25" customHeight="1">
      <c r="A435" s="39" t="s">
        <v>72</v>
      </c>
      <c r="B435" s="111" t="s">
        <v>95</v>
      </c>
      <c r="C435" s="111" t="s">
        <v>89</v>
      </c>
      <c r="D435" s="30" t="s">
        <v>73</v>
      </c>
      <c r="E435" s="29"/>
      <c r="F435" s="31">
        <f>F436+F440+F447+F451</f>
        <v>15720.8</v>
      </c>
      <c r="G435" s="31">
        <f>G436+G440+G447+G451</f>
        <v>2367.6</v>
      </c>
      <c r="H435" s="31">
        <f>H436+H440+H447+H451</f>
        <v>2367.6</v>
      </c>
    </row>
    <row r="436" spans="1:8" s="59" customFormat="1" ht="25.5" customHeight="1">
      <c r="A436" s="39" t="s">
        <v>469</v>
      </c>
      <c r="B436" s="111" t="s">
        <v>95</v>
      </c>
      <c r="C436" s="111" t="s">
        <v>89</v>
      </c>
      <c r="D436" s="30" t="s">
        <v>470</v>
      </c>
      <c r="E436" s="29"/>
      <c r="F436" s="31">
        <f>F437</f>
        <v>299.60000000000002</v>
      </c>
      <c r="G436" s="31">
        <f>G437</f>
        <v>299.60000000000002</v>
      </c>
      <c r="H436" s="31">
        <f>H437</f>
        <v>299.60000000000002</v>
      </c>
    </row>
    <row r="437" spans="1:8" s="59" customFormat="1" ht="12.75" customHeight="1">
      <c r="A437" s="44" t="s">
        <v>471</v>
      </c>
      <c r="B437" s="111" t="s">
        <v>95</v>
      </c>
      <c r="C437" s="111" t="s">
        <v>89</v>
      </c>
      <c r="D437" s="30" t="s">
        <v>472</v>
      </c>
      <c r="E437" s="29"/>
      <c r="F437" s="31">
        <f>F438+F439</f>
        <v>299.60000000000002</v>
      </c>
      <c r="G437" s="31">
        <f>G438+G439</f>
        <v>299.60000000000002</v>
      </c>
      <c r="H437" s="31">
        <f>H438+H439</f>
        <v>299.60000000000002</v>
      </c>
    </row>
    <row r="438" spans="1:8" s="59" customFormat="1" ht="25.5" customHeight="1">
      <c r="A438" s="39" t="s">
        <v>37</v>
      </c>
      <c r="B438" s="111" t="s">
        <v>95</v>
      </c>
      <c r="C438" s="111" t="s">
        <v>89</v>
      </c>
      <c r="D438" s="30" t="s">
        <v>472</v>
      </c>
      <c r="E438" s="29" t="s">
        <v>38</v>
      </c>
      <c r="F438" s="31">
        <v>299</v>
      </c>
      <c r="G438" s="31">
        <v>299</v>
      </c>
      <c r="H438" s="31">
        <v>299</v>
      </c>
    </row>
    <row r="439" spans="1:8" s="59" customFormat="1" ht="17.25" customHeight="1">
      <c r="A439" s="35" t="s">
        <v>41</v>
      </c>
      <c r="B439" s="111" t="s">
        <v>95</v>
      </c>
      <c r="C439" s="111" t="s">
        <v>89</v>
      </c>
      <c r="D439" s="30" t="s">
        <v>472</v>
      </c>
      <c r="E439" s="29" t="s">
        <v>42</v>
      </c>
      <c r="F439" s="31">
        <v>0.6</v>
      </c>
      <c r="G439" s="31">
        <v>0.6</v>
      </c>
      <c r="H439" s="31">
        <v>0.6</v>
      </c>
    </row>
    <row r="440" spans="1:8" s="59" customFormat="1" ht="25.5" customHeight="1">
      <c r="A440" s="39" t="s">
        <v>74</v>
      </c>
      <c r="B440" s="111" t="s">
        <v>95</v>
      </c>
      <c r="C440" s="111" t="s">
        <v>89</v>
      </c>
      <c r="D440" s="30" t="s">
        <v>75</v>
      </c>
      <c r="E440" s="29"/>
      <c r="F440" s="31">
        <f>F441+F443+F445</f>
        <v>15335.199999999999</v>
      </c>
      <c r="G440" s="31">
        <f>G441+G443+G445</f>
        <v>2012</v>
      </c>
      <c r="H440" s="31">
        <f>H441+H443+H445</f>
        <v>2012</v>
      </c>
    </row>
    <row r="441" spans="1:8" s="59" customFormat="1" ht="12.75" customHeight="1">
      <c r="A441" s="44" t="s">
        <v>471</v>
      </c>
      <c r="B441" s="111" t="s">
        <v>95</v>
      </c>
      <c r="C441" s="111" t="s">
        <v>89</v>
      </c>
      <c r="D441" s="30" t="s">
        <v>473</v>
      </c>
      <c r="E441" s="29"/>
      <c r="F441" s="31">
        <f>F442</f>
        <v>3722</v>
      </c>
      <c r="G441" s="31">
        <f>G442</f>
        <v>2012</v>
      </c>
      <c r="H441" s="31">
        <f>H442</f>
        <v>2012</v>
      </c>
    </row>
    <row r="442" spans="1:8" s="59" customFormat="1" ht="25.5" customHeight="1">
      <c r="A442" s="39" t="s">
        <v>37</v>
      </c>
      <c r="B442" s="111" t="s">
        <v>95</v>
      </c>
      <c r="C442" s="111" t="s">
        <v>89</v>
      </c>
      <c r="D442" s="30" t="s">
        <v>473</v>
      </c>
      <c r="E442" s="29" t="s">
        <v>38</v>
      </c>
      <c r="F442" s="31">
        <f>540+875+2307</f>
        <v>3722</v>
      </c>
      <c r="G442" s="31">
        <v>2012</v>
      </c>
      <c r="H442" s="31">
        <v>2012</v>
      </c>
    </row>
    <row r="443" spans="1:8" s="112" customFormat="1" ht="25.5" hidden="1" customHeight="1">
      <c r="A443" s="44" t="s">
        <v>474</v>
      </c>
      <c r="B443" s="111" t="s">
        <v>95</v>
      </c>
      <c r="C443" s="111" t="s">
        <v>89</v>
      </c>
      <c r="D443" s="30" t="s">
        <v>475</v>
      </c>
      <c r="E443" s="29"/>
      <c r="F443" s="31">
        <f>F444</f>
        <v>0</v>
      </c>
      <c r="G443" s="31">
        <f>G444</f>
        <v>0</v>
      </c>
      <c r="H443" s="31">
        <f>H444</f>
        <v>0</v>
      </c>
    </row>
    <row r="444" spans="1:8" s="112" customFormat="1" ht="25.5" hidden="1" customHeight="1">
      <c r="A444" s="35" t="s">
        <v>37</v>
      </c>
      <c r="B444" s="111" t="s">
        <v>95</v>
      </c>
      <c r="C444" s="111" t="s">
        <v>89</v>
      </c>
      <c r="D444" s="30" t="s">
        <v>475</v>
      </c>
      <c r="E444" s="29" t="s">
        <v>38</v>
      </c>
      <c r="F444" s="31"/>
      <c r="G444" s="31"/>
      <c r="H444" s="31"/>
    </row>
    <row r="445" spans="1:8" s="112" customFormat="1" ht="25.5" customHeight="1">
      <c r="A445" s="113" t="s">
        <v>476</v>
      </c>
      <c r="B445" s="111" t="s">
        <v>95</v>
      </c>
      <c r="C445" s="111" t="s">
        <v>89</v>
      </c>
      <c r="D445" s="30" t="s">
        <v>477</v>
      </c>
      <c r="E445" s="29"/>
      <c r="F445" s="31">
        <f>F446</f>
        <v>11613.199999999999</v>
      </c>
      <c r="G445" s="31">
        <f>G446</f>
        <v>0</v>
      </c>
      <c r="H445" s="31">
        <f>H446</f>
        <v>0</v>
      </c>
    </row>
    <row r="446" spans="1:8" s="112" customFormat="1" ht="25.5" customHeight="1">
      <c r="A446" s="83" t="s">
        <v>37</v>
      </c>
      <c r="B446" s="111" t="s">
        <v>95</v>
      </c>
      <c r="C446" s="111" t="s">
        <v>89</v>
      </c>
      <c r="D446" s="30" t="s">
        <v>477</v>
      </c>
      <c r="E446" s="29" t="s">
        <v>38</v>
      </c>
      <c r="F446" s="31">
        <f>11264.8+348.4</f>
        <v>11613.199999999999</v>
      </c>
      <c r="G446" s="31">
        <v>0</v>
      </c>
      <c r="H446" s="31">
        <v>0</v>
      </c>
    </row>
    <row r="447" spans="1:8" s="59" customFormat="1" ht="25.5" customHeight="1">
      <c r="A447" s="52" t="s">
        <v>478</v>
      </c>
      <c r="B447" s="111" t="s">
        <v>95</v>
      </c>
      <c r="C447" s="111" t="s">
        <v>89</v>
      </c>
      <c r="D447" s="30" t="s">
        <v>479</v>
      </c>
      <c r="E447" s="29"/>
      <c r="F447" s="31">
        <f>F448</f>
        <v>56</v>
      </c>
      <c r="G447" s="31">
        <f>G448</f>
        <v>56</v>
      </c>
      <c r="H447" s="31">
        <f>H448</f>
        <v>56</v>
      </c>
    </row>
    <row r="448" spans="1:8" s="59" customFormat="1" ht="12.75" customHeight="1">
      <c r="A448" s="44" t="s">
        <v>471</v>
      </c>
      <c r="B448" s="111" t="s">
        <v>95</v>
      </c>
      <c r="C448" s="111" t="s">
        <v>89</v>
      </c>
      <c r="D448" s="30" t="s">
        <v>480</v>
      </c>
      <c r="E448" s="29"/>
      <c r="F448" s="31">
        <f>F449+F450</f>
        <v>56</v>
      </c>
      <c r="G448" s="31">
        <f>G449+G450</f>
        <v>56</v>
      </c>
      <c r="H448" s="31">
        <f>H449+H450</f>
        <v>56</v>
      </c>
    </row>
    <row r="449" spans="1:8" s="59" customFormat="1" ht="25.5" hidden="1" customHeight="1">
      <c r="A449" s="39" t="s">
        <v>37</v>
      </c>
      <c r="B449" s="111" t="s">
        <v>95</v>
      </c>
      <c r="C449" s="111" t="s">
        <v>89</v>
      </c>
      <c r="D449" s="30" t="s">
        <v>480</v>
      </c>
      <c r="E449" s="29" t="s">
        <v>38</v>
      </c>
      <c r="F449" s="31">
        <v>0</v>
      </c>
      <c r="G449" s="31">
        <v>0</v>
      </c>
      <c r="H449" s="31">
        <v>0</v>
      </c>
    </row>
    <row r="450" spans="1:8" s="59" customFormat="1" ht="12.75" customHeight="1">
      <c r="A450" s="69" t="s">
        <v>154</v>
      </c>
      <c r="B450" s="111" t="s">
        <v>95</v>
      </c>
      <c r="C450" s="111" t="s">
        <v>89</v>
      </c>
      <c r="D450" s="30" t="s">
        <v>480</v>
      </c>
      <c r="E450" s="29" t="s">
        <v>155</v>
      </c>
      <c r="F450" s="31">
        <f>26+30</f>
        <v>56</v>
      </c>
      <c r="G450" s="31">
        <f>26+30</f>
        <v>56</v>
      </c>
      <c r="H450" s="31">
        <f>26+30</f>
        <v>56</v>
      </c>
    </row>
    <row r="451" spans="1:8" s="59" customFormat="1" ht="25.5" customHeight="1">
      <c r="A451" s="52" t="s">
        <v>481</v>
      </c>
      <c r="B451" s="111" t="s">
        <v>95</v>
      </c>
      <c r="C451" s="111" t="s">
        <v>89</v>
      </c>
      <c r="D451" s="30" t="s">
        <v>482</v>
      </c>
      <c r="E451" s="29"/>
      <c r="F451" s="31">
        <f t="shared" ref="F451:H452" si="50">F452</f>
        <v>30</v>
      </c>
      <c r="G451" s="31">
        <f t="shared" si="50"/>
        <v>0</v>
      </c>
      <c r="H451" s="31">
        <f t="shared" si="50"/>
        <v>0</v>
      </c>
    </row>
    <row r="452" spans="1:8" s="59" customFormat="1" ht="12.75" customHeight="1">
      <c r="A452" s="44" t="s">
        <v>471</v>
      </c>
      <c r="B452" s="111" t="s">
        <v>95</v>
      </c>
      <c r="C452" s="111" t="s">
        <v>89</v>
      </c>
      <c r="D452" s="30" t="s">
        <v>483</v>
      </c>
      <c r="E452" s="29"/>
      <c r="F452" s="31">
        <f t="shared" si="50"/>
        <v>30</v>
      </c>
      <c r="G452" s="31">
        <f t="shared" si="50"/>
        <v>0</v>
      </c>
      <c r="H452" s="31">
        <f t="shared" si="50"/>
        <v>0</v>
      </c>
    </row>
    <row r="453" spans="1:8" s="59" customFormat="1" ht="25.5" customHeight="1">
      <c r="A453" s="39" t="s">
        <v>49</v>
      </c>
      <c r="B453" s="111" t="s">
        <v>95</v>
      </c>
      <c r="C453" s="111" t="s">
        <v>89</v>
      </c>
      <c r="D453" s="30" t="s">
        <v>483</v>
      </c>
      <c r="E453" s="29" t="s">
        <v>38</v>
      </c>
      <c r="F453" s="31">
        <v>30</v>
      </c>
      <c r="G453" s="31">
        <v>0</v>
      </c>
      <c r="H453" s="31">
        <v>0</v>
      </c>
    </row>
    <row r="454" spans="1:8" s="24" customFormat="1" ht="13.5" customHeight="1">
      <c r="A454" s="37" t="s">
        <v>484</v>
      </c>
      <c r="B454" s="109" t="s">
        <v>110</v>
      </c>
      <c r="C454" s="109"/>
      <c r="D454" s="110"/>
      <c r="E454" s="110"/>
      <c r="F454" s="62">
        <f>F455+F470+F546+F555+F522</f>
        <v>331978.5</v>
      </c>
      <c r="G454" s="62">
        <f>G455+G470+G546+G555+G522</f>
        <v>370211.39999999997</v>
      </c>
      <c r="H454" s="62">
        <f>H455+H470+H546+H555+H522</f>
        <v>365805.9</v>
      </c>
    </row>
    <row r="455" spans="1:8" s="24" customFormat="1" ht="13.5" customHeight="1">
      <c r="A455" s="37" t="s">
        <v>485</v>
      </c>
      <c r="B455" s="109" t="s">
        <v>110</v>
      </c>
      <c r="C455" s="109" t="s">
        <v>12</v>
      </c>
      <c r="D455" s="110"/>
      <c r="E455" s="110"/>
      <c r="F455" s="62">
        <f t="shared" ref="F455:H456" si="51">F456</f>
        <v>90215</v>
      </c>
      <c r="G455" s="62">
        <f t="shared" si="51"/>
        <v>99998.5</v>
      </c>
      <c r="H455" s="62">
        <f t="shared" si="51"/>
        <v>102753.20000000001</v>
      </c>
    </row>
    <row r="456" spans="1:8" s="59" customFormat="1" ht="27.75" customHeight="1">
      <c r="A456" s="69" t="s">
        <v>486</v>
      </c>
      <c r="B456" s="29" t="s">
        <v>110</v>
      </c>
      <c r="C456" s="29" t="s">
        <v>12</v>
      </c>
      <c r="D456" s="30" t="s">
        <v>487</v>
      </c>
      <c r="E456" s="29"/>
      <c r="F456" s="31">
        <f t="shared" si="51"/>
        <v>90215</v>
      </c>
      <c r="G456" s="31">
        <f t="shared" si="51"/>
        <v>99998.5</v>
      </c>
      <c r="H456" s="31">
        <f t="shared" si="51"/>
        <v>102753.20000000001</v>
      </c>
    </row>
    <row r="457" spans="1:8" s="59" customFormat="1" ht="25.5" customHeight="1">
      <c r="A457" s="39" t="s">
        <v>488</v>
      </c>
      <c r="B457" s="29" t="s">
        <v>110</v>
      </c>
      <c r="C457" s="29" t="s">
        <v>12</v>
      </c>
      <c r="D457" s="30" t="s">
        <v>489</v>
      </c>
      <c r="E457" s="29"/>
      <c r="F457" s="31">
        <f>F458+F467</f>
        <v>90215</v>
      </c>
      <c r="G457" s="31">
        <f>G458+G467</f>
        <v>99998.5</v>
      </c>
      <c r="H457" s="31">
        <f>H458+H467</f>
        <v>102753.20000000001</v>
      </c>
    </row>
    <row r="458" spans="1:8" s="59" customFormat="1" ht="26.25" customHeight="1">
      <c r="A458" s="52" t="s">
        <v>490</v>
      </c>
      <c r="B458" s="29" t="s">
        <v>110</v>
      </c>
      <c r="C458" s="29" t="s">
        <v>12</v>
      </c>
      <c r="D458" s="30" t="s">
        <v>491</v>
      </c>
      <c r="E458" s="29"/>
      <c r="F458" s="31">
        <f>F459+F461+F465+F463</f>
        <v>90215</v>
      </c>
      <c r="G458" s="31">
        <f>G459+G461+G465+G463</f>
        <v>99998.5</v>
      </c>
      <c r="H458" s="31">
        <f>H459+H461+H465+H463</f>
        <v>102753.20000000001</v>
      </c>
    </row>
    <row r="459" spans="1:8" s="59" customFormat="1" ht="25.5" customHeight="1">
      <c r="A459" s="52" t="s">
        <v>492</v>
      </c>
      <c r="B459" s="29" t="s">
        <v>110</v>
      </c>
      <c r="C459" s="29" t="s">
        <v>12</v>
      </c>
      <c r="D459" s="30" t="s">
        <v>493</v>
      </c>
      <c r="E459" s="29"/>
      <c r="F459" s="31">
        <f>F460</f>
        <v>67221.2</v>
      </c>
      <c r="G459" s="31">
        <f>G460</f>
        <v>71258.7</v>
      </c>
      <c r="H459" s="31">
        <f>H460</f>
        <v>74513.400000000009</v>
      </c>
    </row>
    <row r="460" spans="1:8" s="59" customFormat="1" ht="12.75" customHeight="1">
      <c r="A460" s="69" t="s">
        <v>154</v>
      </c>
      <c r="B460" s="29" t="s">
        <v>110</v>
      </c>
      <c r="C460" s="29" t="s">
        <v>12</v>
      </c>
      <c r="D460" s="30" t="s">
        <v>493</v>
      </c>
      <c r="E460" s="29" t="s">
        <v>155</v>
      </c>
      <c r="F460" s="68">
        <f>50193.2+16268.5+759.5</f>
        <v>67221.2</v>
      </c>
      <c r="G460" s="68">
        <f>54286.4+16214.5+757.8</f>
        <v>71258.7</v>
      </c>
      <c r="H460" s="68">
        <f>57541.1+16214.5+757.8</f>
        <v>74513.400000000009</v>
      </c>
    </row>
    <row r="461" spans="1:8" s="59" customFormat="1" ht="12.75" customHeight="1">
      <c r="A461" s="52" t="s">
        <v>494</v>
      </c>
      <c r="B461" s="29" t="s">
        <v>110</v>
      </c>
      <c r="C461" s="29" t="s">
        <v>12</v>
      </c>
      <c r="D461" s="30" t="s">
        <v>495</v>
      </c>
      <c r="E461" s="29"/>
      <c r="F461" s="31">
        <f>F462</f>
        <v>22630.5</v>
      </c>
      <c r="G461" s="31">
        <f>G462</f>
        <v>28631.5</v>
      </c>
      <c r="H461" s="31">
        <f>H462</f>
        <v>28131.5</v>
      </c>
    </row>
    <row r="462" spans="1:8" s="59" customFormat="1" ht="12.75" customHeight="1">
      <c r="A462" s="69" t="s">
        <v>154</v>
      </c>
      <c r="B462" s="29" t="s">
        <v>110</v>
      </c>
      <c r="C462" s="29" t="s">
        <v>12</v>
      </c>
      <c r="D462" s="30" t="s">
        <v>495</v>
      </c>
      <c r="E462" s="29" t="s">
        <v>155</v>
      </c>
      <c r="F462" s="68">
        <f>28631.5+599-6600</f>
        <v>22630.5</v>
      </c>
      <c r="G462" s="68">
        <f>28631.5</f>
        <v>28631.5</v>
      </c>
      <c r="H462" s="68">
        <f>28631.5-500</f>
        <v>28131.5</v>
      </c>
    </row>
    <row r="463" spans="1:8" s="59" customFormat="1" ht="54" customHeight="1">
      <c r="A463" s="114" t="s">
        <v>496</v>
      </c>
      <c r="B463" s="29" t="s">
        <v>110</v>
      </c>
      <c r="C463" s="29" t="s">
        <v>12</v>
      </c>
      <c r="D463" s="30" t="s">
        <v>497</v>
      </c>
      <c r="E463" s="29"/>
      <c r="F463" s="68">
        <f>F464</f>
        <v>255</v>
      </c>
      <c r="G463" s="68">
        <f>G464</f>
        <v>0</v>
      </c>
      <c r="H463" s="68">
        <f>H464</f>
        <v>0</v>
      </c>
    </row>
    <row r="464" spans="1:8" s="59" customFormat="1" ht="12.75" customHeight="1">
      <c r="A464" s="69" t="s">
        <v>154</v>
      </c>
      <c r="B464" s="29" t="s">
        <v>110</v>
      </c>
      <c r="C464" s="29" t="s">
        <v>12</v>
      </c>
      <c r="D464" s="30" t="s">
        <v>497</v>
      </c>
      <c r="E464" s="29" t="s">
        <v>155</v>
      </c>
      <c r="F464" s="68">
        <f>247.4+7.6</f>
        <v>255</v>
      </c>
      <c r="G464" s="68">
        <v>0</v>
      </c>
      <c r="H464" s="68">
        <v>0</v>
      </c>
    </row>
    <row r="465" spans="1:9" s="59" customFormat="1" ht="51" customHeight="1">
      <c r="A465" s="102" t="s">
        <v>498</v>
      </c>
      <c r="B465" s="29" t="s">
        <v>110</v>
      </c>
      <c r="C465" s="29" t="s">
        <v>12</v>
      </c>
      <c r="D465" s="30" t="s">
        <v>499</v>
      </c>
      <c r="E465" s="29"/>
      <c r="F465" s="68">
        <f>F466</f>
        <v>108.30000000000001</v>
      </c>
      <c r="G465" s="68">
        <f>G466</f>
        <v>108.30000000000001</v>
      </c>
      <c r="H465" s="68">
        <f>H466</f>
        <v>108.30000000000001</v>
      </c>
      <c r="I465" s="115"/>
    </row>
    <row r="466" spans="1:9" s="59" customFormat="1" ht="15" customHeight="1">
      <c r="A466" s="69" t="s">
        <v>154</v>
      </c>
      <c r="B466" s="29" t="s">
        <v>110</v>
      </c>
      <c r="C466" s="29" t="s">
        <v>12</v>
      </c>
      <c r="D466" s="30" t="s">
        <v>499</v>
      </c>
      <c r="E466" s="29" t="s">
        <v>155</v>
      </c>
      <c r="F466" s="31">
        <f>90.2+18.1</f>
        <v>108.30000000000001</v>
      </c>
      <c r="G466" s="31">
        <f>90.2+18.1</f>
        <v>108.30000000000001</v>
      </c>
      <c r="H466" s="31">
        <f>90.2+18.1</f>
        <v>108.30000000000001</v>
      </c>
    </row>
    <row r="467" spans="1:9" s="59" customFormat="1" ht="39" hidden="1" customHeight="1">
      <c r="A467" s="69" t="s">
        <v>500</v>
      </c>
      <c r="B467" s="29" t="s">
        <v>110</v>
      </c>
      <c r="C467" s="29" t="s">
        <v>12</v>
      </c>
      <c r="D467" s="30" t="s">
        <v>501</v>
      </c>
      <c r="E467" s="29"/>
      <c r="F467" s="31">
        <f t="shared" ref="F467:H468" si="52">F468</f>
        <v>0</v>
      </c>
      <c r="G467" s="31">
        <f t="shared" si="52"/>
        <v>0</v>
      </c>
      <c r="H467" s="31">
        <f t="shared" si="52"/>
        <v>0</v>
      </c>
    </row>
    <row r="468" spans="1:9" s="59" customFormat="1" ht="12.75" hidden="1" customHeight="1">
      <c r="A468" s="52" t="s">
        <v>494</v>
      </c>
      <c r="B468" s="29" t="s">
        <v>110</v>
      </c>
      <c r="C468" s="29" t="s">
        <v>12</v>
      </c>
      <c r="D468" s="30" t="s">
        <v>502</v>
      </c>
      <c r="E468" s="29"/>
      <c r="F468" s="31">
        <f t="shared" si="52"/>
        <v>0</v>
      </c>
      <c r="G468" s="31">
        <f t="shared" si="52"/>
        <v>0</v>
      </c>
      <c r="H468" s="31">
        <f t="shared" si="52"/>
        <v>0</v>
      </c>
    </row>
    <row r="469" spans="1:9" s="59" customFormat="1" ht="12.75" hidden="1" customHeight="1">
      <c r="A469" s="69" t="s">
        <v>154</v>
      </c>
      <c r="B469" s="29" t="s">
        <v>110</v>
      </c>
      <c r="C469" s="29" t="s">
        <v>12</v>
      </c>
      <c r="D469" s="30" t="s">
        <v>502</v>
      </c>
      <c r="E469" s="29" t="s">
        <v>155</v>
      </c>
      <c r="F469" s="31">
        <v>0</v>
      </c>
      <c r="G469" s="31">
        <v>0</v>
      </c>
      <c r="H469" s="31">
        <v>0</v>
      </c>
    </row>
    <row r="470" spans="1:9" s="24" customFormat="1" ht="13.5" customHeight="1">
      <c r="A470" s="21" t="s">
        <v>503</v>
      </c>
      <c r="B470" s="109" t="s">
        <v>110</v>
      </c>
      <c r="C470" s="109" t="s">
        <v>14</v>
      </c>
      <c r="D470" s="110"/>
      <c r="E470" s="110"/>
      <c r="F470" s="62">
        <f t="shared" ref="F470:H471" si="53">F471</f>
        <v>213005.49999999997</v>
      </c>
      <c r="G470" s="62">
        <f t="shared" si="53"/>
        <v>238411.3</v>
      </c>
      <c r="H470" s="62">
        <f t="shared" si="53"/>
        <v>230820.3</v>
      </c>
    </row>
    <row r="471" spans="1:9" s="59" customFormat="1" ht="25.5" customHeight="1">
      <c r="A471" s="69" t="s">
        <v>486</v>
      </c>
      <c r="B471" s="29" t="s">
        <v>110</v>
      </c>
      <c r="C471" s="29" t="s">
        <v>14</v>
      </c>
      <c r="D471" s="30" t="s">
        <v>487</v>
      </c>
      <c r="E471" s="29"/>
      <c r="F471" s="31">
        <f t="shared" si="53"/>
        <v>213005.49999999997</v>
      </c>
      <c r="G471" s="31">
        <f t="shared" si="53"/>
        <v>238411.3</v>
      </c>
      <c r="H471" s="31">
        <f t="shared" si="53"/>
        <v>230820.3</v>
      </c>
    </row>
    <row r="472" spans="1:9" s="59" customFormat="1" ht="27" customHeight="1">
      <c r="A472" s="39" t="s">
        <v>488</v>
      </c>
      <c r="B472" s="29" t="s">
        <v>110</v>
      </c>
      <c r="C472" s="29" t="s">
        <v>14</v>
      </c>
      <c r="D472" s="30" t="s">
        <v>489</v>
      </c>
      <c r="E472" s="29"/>
      <c r="F472" s="31">
        <f>F473+F497+F500+F503+F510+F516+F513+F506+F519</f>
        <v>213005.49999999997</v>
      </c>
      <c r="G472" s="31">
        <f>G473+G497+G500+G503+G510+G516+G513+G506+G519</f>
        <v>238411.3</v>
      </c>
      <c r="H472" s="31">
        <f>H473+H497+H500+H503+H510+H516+H513+H506+H519</f>
        <v>230820.3</v>
      </c>
    </row>
    <row r="473" spans="1:9" s="59" customFormat="1" ht="49.5" customHeight="1">
      <c r="A473" s="39" t="s">
        <v>504</v>
      </c>
      <c r="B473" s="29" t="s">
        <v>110</v>
      </c>
      <c r="C473" s="29" t="s">
        <v>14</v>
      </c>
      <c r="D473" s="30" t="s">
        <v>505</v>
      </c>
      <c r="E473" s="29"/>
      <c r="F473" s="31">
        <f>F476+F478+F481+F474+F495+F483+F493+F489+F485+F487+F491</f>
        <v>208072.3</v>
      </c>
      <c r="G473" s="31">
        <f>G476+G478+G481+G474+G495+G483+G493+G489+G485+G487+G491</f>
        <v>233478.1</v>
      </c>
      <c r="H473" s="31">
        <f>H476+H478+H481+H474+H495+H483+H493+H489+H485+H487+H491</f>
        <v>226031.1</v>
      </c>
    </row>
    <row r="474" spans="1:9" s="59" customFormat="1" ht="105.75" customHeight="1">
      <c r="A474" s="113" t="s">
        <v>506</v>
      </c>
      <c r="B474" s="29" t="s">
        <v>110</v>
      </c>
      <c r="C474" s="29" t="s">
        <v>14</v>
      </c>
      <c r="D474" s="30" t="s">
        <v>507</v>
      </c>
      <c r="E474" s="29"/>
      <c r="F474" s="31">
        <f>F475</f>
        <v>7726.1</v>
      </c>
      <c r="G474" s="31">
        <f>G475</f>
        <v>7834.2</v>
      </c>
      <c r="H474" s="31">
        <f>H475</f>
        <v>7873.3</v>
      </c>
    </row>
    <row r="475" spans="1:9" s="59" customFormat="1" ht="15.75" customHeight="1">
      <c r="A475" s="74" t="s">
        <v>154</v>
      </c>
      <c r="B475" s="29" t="s">
        <v>110</v>
      </c>
      <c r="C475" s="29" t="s">
        <v>14</v>
      </c>
      <c r="D475" s="30" t="s">
        <v>507</v>
      </c>
      <c r="E475" s="29" t="s">
        <v>155</v>
      </c>
      <c r="F475" s="31">
        <f>7726.1</f>
        <v>7726.1</v>
      </c>
      <c r="G475" s="31">
        <f>7834.2</f>
        <v>7834.2</v>
      </c>
      <c r="H475" s="31">
        <f>7873.3</f>
        <v>7873.3</v>
      </c>
    </row>
    <row r="476" spans="1:9" s="59" customFormat="1" ht="26.25" customHeight="1">
      <c r="A476" s="52" t="s">
        <v>492</v>
      </c>
      <c r="B476" s="29" t="s">
        <v>110</v>
      </c>
      <c r="C476" s="29" t="s">
        <v>14</v>
      </c>
      <c r="D476" s="30" t="s">
        <v>508</v>
      </c>
      <c r="E476" s="29"/>
      <c r="F476" s="31">
        <f>F477</f>
        <v>125532.5</v>
      </c>
      <c r="G476" s="31">
        <f>G477</f>
        <v>133877</v>
      </c>
      <c r="H476" s="31">
        <f>H477</f>
        <v>144192.30000000002</v>
      </c>
    </row>
    <row r="477" spans="1:9" s="59" customFormat="1" ht="15.75" customHeight="1">
      <c r="A477" s="69" t="s">
        <v>154</v>
      </c>
      <c r="B477" s="29" t="s">
        <v>110</v>
      </c>
      <c r="C477" s="29" t="s">
        <v>14</v>
      </c>
      <c r="D477" s="30" t="s">
        <v>508</v>
      </c>
      <c r="E477" s="29" t="s">
        <v>155</v>
      </c>
      <c r="F477" s="31">
        <f>105004+16807.6+1635.4+2085.5</f>
        <v>125532.5</v>
      </c>
      <c r="G477" s="31">
        <f>114252.9+17192+1038+1394.1</f>
        <v>133877</v>
      </c>
      <c r="H477" s="31">
        <f>124568.2+17192+1038+1394.1</f>
        <v>144192.30000000002</v>
      </c>
    </row>
    <row r="478" spans="1:9" s="59" customFormat="1" ht="15.75" customHeight="1">
      <c r="A478" s="52" t="s">
        <v>509</v>
      </c>
      <c r="B478" s="29" t="s">
        <v>110</v>
      </c>
      <c r="C478" s="29" t="s">
        <v>14</v>
      </c>
      <c r="D478" s="30" t="s">
        <v>510</v>
      </c>
      <c r="E478" s="29"/>
      <c r="F478" s="31">
        <f>F479+F480</f>
        <v>51878.100000000006</v>
      </c>
      <c r="G478" s="31">
        <f>G479+G480</f>
        <v>67334.100000000006</v>
      </c>
      <c r="H478" s="31">
        <f>H479+H480</f>
        <v>66834.100000000006</v>
      </c>
    </row>
    <row r="479" spans="1:9" s="59" customFormat="1" ht="15.75" customHeight="1">
      <c r="A479" s="69" t="s">
        <v>154</v>
      </c>
      <c r="B479" s="29" t="s">
        <v>110</v>
      </c>
      <c r="C479" s="29" t="s">
        <v>14</v>
      </c>
      <c r="D479" s="30" t="s">
        <v>510</v>
      </c>
      <c r="E479" s="29" t="s">
        <v>155</v>
      </c>
      <c r="F479" s="31">
        <f>69114.1-17250+14</f>
        <v>51878.100000000006</v>
      </c>
      <c r="G479" s="31">
        <f>69114.1-1700-80</f>
        <v>67334.100000000006</v>
      </c>
      <c r="H479" s="31">
        <f>69114.1-2200-80</f>
        <v>66834.100000000006</v>
      </c>
      <c r="I479" s="3"/>
    </row>
    <row r="480" spans="1:9" s="59" customFormat="1" ht="15.75" hidden="1" customHeight="1">
      <c r="A480" s="69" t="s">
        <v>154</v>
      </c>
      <c r="B480" s="29" t="s">
        <v>110</v>
      </c>
      <c r="C480" s="29" t="s">
        <v>14</v>
      </c>
      <c r="D480" s="30" t="s">
        <v>510</v>
      </c>
      <c r="E480" s="29" t="s">
        <v>511</v>
      </c>
      <c r="F480" s="31">
        <v>0</v>
      </c>
      <c r="G480" s="31">
        <v>0</v>
      </c>
      <c r="H480" s="31">
        <v>0</v>
      </c>
    </row>
    <row r="481" spans="1:8" s="59" customFormat="1" ht="24.75" hidden="1" customHeight="1">
      <c r="A481" s="69" t="s">
        <v>60</v>
      </c>
      <c r="B481" s="29" t="s">
        <v>110</v>
      </c>
      <c r="C481" s="29" t="s">
        <v>14</v>
      </c>
      <c r="D481" s="30" t="s">
        <v>512</v>
      </c>
      <c r="E481" s="29"/>
      <c r="F481" s="31">
        <f>F482</f>
        <v>0</v>
      </c>
      <c r="G481" s="31">
        <f>G482</f>
        <v>0</v>
      </c>
      <c r="H481" s="31">
        <f>H482</f>
        <v>0</v>
      </c>
    </row>
    <row r="482" spans="1:8" s="59" customFormat="1" ht="15.75" hidden="1" customHeight="1">
      <c r="A482" s="69" t="s">
        <v>202</v>
      </c>
      <c r="B482" s="29" t="s">
        <v>110</v>
      </c>
      <c r="C482" s="29" t="s">
        <v>14</v>
      </c>
      <c r="D482" s="30" t="s">
        <v>512</v>
      </c>
      <c r="E482" s="29" t="s">
        <v>155</v>
      </c>
      <c r="F482" s="31">
        <v>0</v>
      </c>
      <c r="G482" s="31">
        <v>0</v>
      </c>
      <c r="H482" s="31">
        <v>0</v>
      </c>
    </row>
    <row r="483" spans="1:8" s="59" customFormat="1" ht="38.25" customHeight="1">
      <c r="A483" s="74" t="s">
        <v>513</v>
      </c>
      <c r="B483" s="29" t="s">
        <v>110</v>
      </c>
      <c r="C483" s="29" t="s">
        <v>14</v>
      </c>
      <c r="D483" s="30" t="s">
        <v>514</v>
      </c>
      <c r="E483" s="29"/>
      <c r="F483" s="31">
        <f>F484</f>
        <v>6125.5</v>
      </c>
      <c r="G483" s="31">
        <f>G484</f>
        <v>5987.2</v>
      </c>
      <c r="H483" s="31">
        <f>H484</f>
        <v>5817.0999999999995</v>
      </c>
    </row>
    <row r="484" spans="1:8" s="59" customFormat="1" ht="15.75" customHeight="1">
      <c r="A484" s="103" t="s">
        <v>154</v>
      </c>
      <c r="B484" s="29" t="s">
        <v>110</v>
      </c>
      <c r="C484" s="29" t="s">
        <v>14</v>
      </c>
      <c r="D484" s="30" t="s">
        <v>514</v>
      </c>
      <c r="E484" s="29" t="s">
        <v>155</v>
      </c>
      <c r="F484" s="31">
        <f>6003+122.5</f>
        <v>6125.5</v>
      </c>
      <c r="G484" s="31">
        <f>5867.5+119.7</f>
        <v>5987.2</v>
      </c>
      <c r="H484" s="31">
        <f>5700.7+116.4</f>
        <v>5817.0999999999995</v>
      </c>
    </row>
    <row r="485" spans="1:8" s="59" customFormat="1" ht="25.5" customHeight="1">
      <c r="A485" s="116" t="s">
        <v>515</v>
      </c>
      <c r="B485" s="29" t="s">
        <v>110</v>
      </c>
      <c r="C485" s="29" t="s">
        <v>14</v>
      </c>
      <c r="D485" s="30" t="s">
        <v>516</v>
      </c>
      <c r="E485" s="29"/>
      <c r="F485" s="31">
        <f>F486</f>
        <v>15130.8</v>
      </c>
      <c r="G485" s="31">
        <f>G486</f>
        <v>12297</v>
      </c>
      <c r="H485" s="31">
        <f>H486</f>
        <v>0</v>
      </c>
    </row>
    <row r="486" spans="1:8" s="59" customFormat="1" ht="15.75" customHeight="1">
      <c r="A486" s="103" t="s">
        <v>154</v>
      </c>
      <c r="B486" s="29" t="s">
        <v>110</v>
      </c>
      <c r="C486" s="29" t="s">
        <v>14</v>
      </c>
      <c r="D486" s="30" t="s">
        <v>516</v>
      </c>
      <c r="E486" s="29" t="s">
        <v>155</v>
      </c>
      <c r="F486" s="31">
        <f>15127.8+3</f>
        <v>15130.8</v>
      </c>
      <c r="G486" s="31">
        <f>12294.5+2.5</f>
        <v>12297</v>
      </c>
      <c r="H486" s="31">
        <v>0</v>
      </c>
    </row>
    <row r="487" spans="1:8" s="59" customFormat="1" ht="75" customHeight="1">
      <c r="A487" s="117" t="s">
        <v>517</v>
      </c>
      <c r="B487" s="29" t="s">
        <v>110</v>
      </c>
      <c r="C487" s="29" t="s">
        <v>14</v>
      </c>
      <c r="D487" s="30" t="s">
        <v>518</v>
      </c>
      <c r="E487" s="29"/>
      <c r="F487" s="31">
        <f>F488</f>
        <v>0</v>
      </c>
      <c r="G487" s="31">
        <f>G488</f>
        <v>2000.4</v>
      </c>
      <c r="H487" s="31">
        <f>H488</f>
        <v>0</v>
      </c>
    </row>
    <row r="488" spans="1:8" s="59" customFormat="1" ht="15.75" customHeight="1">
      <c r="A488" s="103" t="s">
        <v>154</v>
      </c>
      <c r="B488" s="29" t="s">
        <v>110</v>
      </c>
      <c r="C488" s="29" t="s">
        <v>14</v>
      </c>
      <c r="D488" s="30" t="s">
        <v>518</v>
      </c>
      <c r="E488" s="29" t="s">
        <v>155</v>
      </c>
      <c r="F488" s="31">
        <f>0</f>
        <v>0</v>
      </c>
      <c r="G488" s="31">
        <f>2000+0.4</f>
        <v>2000.4</v>
      </c>
      <c r="H488" s="31">
        <v>0</v>
      </c>
    </row>
    <row r="489" spans="1:8" s="59" customFormat="1" ht="51" customHeight="1">
      <c r="A489" s="116" t="s">
        <v>519</v>
      </c>
      <c r="B489" s="29" t="s">
        <v>110</v>
      </c>
      <c r="C489" s="29" t="s">
        <v>14</v>
      </c>
      <c r="D489" s="30" t="s">
        <v>520</v>
      </c>
      <c r="E489" s="29"/>
      <c r="F489" s="31">
        <f>F490</f>
        <v>0</v>
      </c>
      <c r="G489" s="31">
        <f>G490</f>
        <v>2833.9</v>
      </c>
      <c r="H489" s="31">
        <f>H490</f>
        <v>0</v>
      </c>
    </row>
    <row r="490" spans="1:8" s="59" customFormat="1" ht="15.75" customHeight="1">
      <c r="A490" s="74" t="s">
        <v>154</v>
      </c>
      <c r="B490" s="29" t="s">
        <v>110</v>
      </c>
      <c r="C490" s="29" t="s">
        <v>14</v>
      </c>
      <c r="D490" s="30" t="s">
        <v>520</v>
      </c>
      <c r="E490" s="29" t="s">
        <v>155</v>
      </c>
      <c r="F490" s="31">
        <v>0</v>
      </c>
      <c r="G490" s="31">
        <f>2833.3+0.6</f>
        <v>2833.9</v>
      </c>
      <c r="H490" s="31">
        <v>0</v>
      </c>
    </row>
    <row r="491" spans="1:8" s="59" customFormat="1" ht="54.75" customHeight="1">
      <c r="A491" s="114" t="s">
        <v>496</v>
      </c>
      <c r="B491" s="29" t="s">
        <v>110</v>
      </c>
      <c r="C491" s="29" t="s">
        <v>14</v>
      </c>
      <c r="D491" s="30" t="s">
        <v>521</v>
      </c>
      <c r="E491" s="29"/>
      <c r="F491" s="68">
        <f>F492</f>
        <v>365</v>
      </c>
      <c r="G491" s="68">
        <f>G492</f>
        <v>0</v>
      </c>
      <c r="H491" s="68">
        <f>H492</f>
        <v>0</v>
      </c>
    </row>
    <row r="492" spans="1:8" s="59" customFormat="1" ht="15.75" customHeight="1">
      <c r="A492" s="69" t="s">
        <v>154</v>
      </c>
      <c r="B492" s="29" t="s">
        <v>110</v>
      </c>
      <c r="C492" s="29" t="s">
        <v>14</v>
      </c>
      <c r="D492" s="30" t="s">
        <v>521</v>
      </c>
      <c r="E492" s="29" t="s">
        <v>155</v>
      </c>
      <c r="F492" s="68">
        <f>354+11</f>
        <v>365</v>
      </c>
      <c r="G492" s="68">
        <v>0</v>
      </c>
      <c r="H492" s="68">
        <v>0</v>
      </c>
    </row>
    <row r="493" spans="1:8" s="59" customFormat="1" ht="41.25" hidden="1" customHeight="1">
      <c r="A493" s="102" t="s">
        <v>522</v>
      </c>
      <c r="B493" s="29" t="s">
        <v>110</v>
      </c>
      <c r="C493" s="29" t="s">
        <v>14</v>
      </c>
      <c r="D493" s="30" t="s">
        <v>523</v>
      </c>
      <c r="E493" s="29"/>
      <c r="F493" s="31">
        <f>F494</f>
        <v>0</v>
      </c>
      <c r="G493" s="31">
        <f>G494</f>
        <v>0</v>
      </c>
      <c r="H493" s="31">
        <f>H494</f>
        <v>0</v>
      </c>
    </row>
    <row r="494" spans="1:8" s="59" customFormat="1" ht="17.25" hidden="1" customHeight="1">
      <c r="A494" s="69" t="s">
        <v>154</v>
      </c>
      <c r="B494" s="29" t="s">
        <v>110</v>
      </c>
      <c r="C494" s="29" t="s">
        <v>14</v>
      </c>
      <c r="D494" s="30" t="s">
        <v>523</v>
      </c>
      <c r="E494" s="29" t="s">
        <v>155</v>
      </c>
      <c r="F494" s="31"/>
      <c r="G494" s="31"/>
      <c r="H494" s="31"/>
    </row>
    <row r="495" spans="1:8" s="59" customFormat="1" ht="51.75" customHeight="1">
      <c r="A495" s="102" t="s">
        <v>498</v>
      </c>
      <c r="B495" s="29" t="s">
        <v>110</v>
      </c>
      <c r="C495" s="29" t="s">
        <v>14</v>
      </c>
      <c r="D495" s="30" t="s">
        <v>524</v>
      </c>
      <c r="E495" s="29"/>
      <c r="F495" s="31">
        <f>F496</f>
        <v>1314.3</v>
      </c>
      <c r="G495" s="31">
        <f>G496</f>
        <v>1314.3</v>
      </c>
      <c r="H495" s="31">
        <f>H496</f>
        <v>1314.3</v>
      </c>
    </row>
    <row r="496" spans="1:8" s="59" customFormat="1" ht="18.75" customHeight="1">
      <c r="A496" s="69" t="s">
        <v>154</v>
      </c>
      <c r="B496" s="29" t="s">
        <v>110</v>
      </c>
      <c r="C496" s="29" t="s">
        <v>14</v>
      </c>
      <c r="D496" s="30" t="s">
        <v>524</v>
      </c>
      <c r="E496" s="29" t="s">
        <v>155</v>
      </c>
      <c r="F496" s="31">
        <f>1095.3+219</f>
        <v>1314.3</v>
      </c>
      <c r="G496" s="31">
        <f>1095.3+219</f>
        <v>1314.3</v>
      </c>
      <c r="H496" s="31">
        <f>1095.3+219</f>
        <v>1314.3</v>
      </c>
    </row>
    <row r="497" spans="1:8" s="59" customFormat="1" ht="39.75" customHeight="1">
      <c r="A497" s="70" t="s">
        <v>525</v>
      </c>
      <c r="B497" s="29" t="s">
        <v>110</v>
      </c>
      <c r="C497" s="29" t="s">
        <v>14</v>
      </c>
      <c r="D497" s="30" t="s">
        <v>526</v>
      </c>
      <c r="E497" s="29"/>
      <c r="F497" s="31">
        <f t="shared" ref="F497:H498" si="54">F498</f>
        <v>4100.4000000000005</v>
      </c>
      <c r="G497" s="31">
        <f t="shared" si="54"/>
        <v>4100.4000000000005</v>
      </c>
      <c r="H497" s="31">
        <f t="shared" si="54"/>
        <v>4100.4000000000005</v>
      </c>
    </row>
    <row r="498" spans="1:8" s="59" customFormat="1" ht="51" customHeight="1">
      <c r="A498" s="52" t="s">
        <v>527</v>
      </c>
      <c r="B498" s="29" t="s">
        <v>110</v>
      </c>
      <c r="C498" s="29" t="s">
        <v>14</v>
      </c>
      <c r="D498" s="30" t="s">
        <v>528</v>
      </c>
      <c r="E498" s="29"/>
      <c r="F498" s="31">
        <f t="shared" si="54"/>
        <v>4100.4000000000005</v>
      </c>
      <c r="G498" s="31">
        <f t="shared" si="54"/>
        <v>4100.4000000000005</v>
      </c>
      <c r="H498" s="31">
        <f t="shared" si="54"/>
        <v>4100.4000000000005</v>
      </c>
    </row>
    <row r="499" spans="1:8" s="59" customFormat="1" ht="15.75" customHeight="1">
      <c r="A499" s="69" t="s">
        <v>154</v>
      </c>
      <c r="B499" s="29" t="s">
        <v>110</v>
      </c>
      <c r="C499" s="29" t="s">
        <v>14</v>
      </c>
      <c r="D499" s="30" t="s">
        <v>528</v>
      </c>
      <c r="E499" s="29" t="s">
        <v>155</v>
      </c>
      <c r="F499" s="31">
        <f>407.1+3693.3</f>
        <v>4100.4000000000005</v>
      </c>
      <c r="G499" s="31">
        <f>407.1+3693.3</f>
        <v>4100.4000000000005</v>
      </c>
      <c r="H499" s="31">
        <f>407.1+3693.3</f>
        <v>4100.4000000000005</v>
      </c>
    </row>
    <row r="500" spans="1:8" s="59" customFormat="1" ht="38.25" hidden="1" customHeight="1">
      <c r="A500" s="69" t="s">
        <v>500</v>
      </c>
      <c r="B500" s="29" t="s">
        <v>110</v>
      </c>
      <c r="C500" s="29" t="s">
        <v>14</v>
      </c>
      <c r="D500" s="30" t="s">
        <v>501</v>
      </c>
      <c r="E500" s="29"/>
      <c r="F500" s="31">
        <f t="shared" ref="F500:H501" si="55">F501</f>
        <v>0</v>
      </c>
      <c r="G500" s="31">
        <f t="shared" si="55"/>
        <v>0</v>
      </c>
      <c r="H500" s="31">
        <f t="shared" si="55"/>
        <v>0</v>
      </c>
    </row>
    <row r="501" spans="1:8" s="59" customFormat="1" ht="15.75" hidden="1" customHeight="1">
      <c r="A501" s="52" t="s">
        <v>509</v>
      </c>
      <c r="B501" s="29" t="s">
        <v>110</v>
      </c>
      <c r="C501" s="29" t="s">
        <v>14</v>
      </c>
      <c r="D501" s="30" t="s">
        <v>529</v>
      </c>
      <c r="E501" s="29"/>
      <c r="F501" s="31">
        <f t="shared" si="55"/>
        <v>0</v>
      </c>
      <c r="G501" s="31">
        <f t="shared" si="55"/>
        <v>0</v>
      </c>
      <c r="H501" s="31">
        <f t="shared" si="55"/>
        <v>0</v>
      </c>
    </row>
    <row r="502" spans="1:8" s="59" customFormat="1" ht="15.75" hidden="1" customHeight="1">
      <c r="A502" s="69" t="s">
        <v>154</v>
      </c>
      <c r="B502" s="29" t="s">
        <v>110</v>
      </c>
      <c r="C502" s="29" t="s">
        <v>14</v>
      </c>
      <c r="D502" s="30" t="s">
        <v>529</v>
      </c>
      <c r="E502" s="29" t="s">
        <v>155</v>
      </c>
      <c r="F502" s="31">
        <v>0</v>
      </c>
      <c r="G502" s="31">
        <v>0</v>
      </c>
      <c r="H502" s="31">
        <v>0</v>
      </c>
    </row>
    <row r="503" spans="1:8" s="59" customFormat="1" ht="24" customHeight="1">
      <c r="A503" s="69" t="s">
        <v>530</v>
      </c>
      <c r="B503" s="29" t="s">
        <v>110</v>
      </c>
      <c r="C503" s="29" t="s">
        <v>14</v>
      </c>
      <c r="D503" s="30" t="s">
        <v>531</v>
      </c>
      <c r="E503" s="29"/>
      <c r="F503" s="31">
        <f t="shared" ref="F503:H504" si="56">F504</f>
        <v>50</v>
      </c>
      <c r="G503" s="31">
        <f t="shared" si="56"/>
        <v>50</v>
      </c>
      <c r="H503" s="31">
        <f t="shared" si="56"/>
        <v>50</v>
      </c>
    </row>
    <row r="504" spans="1:8" s="59" customFormat="1" ht="15.75" customHeight="1">
      <c r="A504" s="52" t="s">
        <v>509</v>
      </c>
      <c r="B504" s="29" t="s">
        <v>110</v>
      </c>
      <c r="C504" s="29" t="s">
        <v>14</v>
      </c>
      <c r="D504" s="30" t="s">
        <v>532</v>
      </c>
      <c r="E504" s="29"/>
      <c r="F504" s="31">
        <f t="shared" si="56"/>
        <v>50</v>
      </c>
      <c r="G504" s="31">
        <f t="shared" si="56"/>
        <v>50</v>
      </c>
      <c r="H504" s="31">
        <f t="shared" si="56"/>
        <v>50</v>
      </c>
    </row>
    <row r="505" spans="1:8" s="59" customFormat="1" ht="15.75" customHeight="1">
      <c r="A505" s="69" t="s">
        <v>154</v>
      </c>
      <c r="B505" s="29" t="s">
        <v>110</v>
      </c>
      <c r="C505" s="29" t="s">
        <v>14</v>
      </c>
      <c r="D505" s="30" t="s">
        <v>532</v>
      </c>
      <c r="E505" s="29" t="s">
        <v>155</v>
      </c>
      <c r="F505" s="31">
        <v>50</v>
      </c>
      <c r="G505" s="31">
        <v>50</v>
      </c>
      <c r="H505" s="31">
        <v>50</v>
      </c>
    </row>
    <row r="506" spans="1:8" s="59" customFormat="1" ht="30" hidden="1" customHeight="1">
      <c r="A506" s="101" t="s">
        <v>533</v>
      </c>
      <c r="B506" s="29" t="s">
        <v>110</v>
      </c>
      <c r="C506" s="29" t="s">
        <v>14</v>
      </c>
      <c r="D506" s="30" t="s">
        <v>534</v>
      </c>
      <c r="E506" s="29"/>
      <c r="F506" s="31">
        <f>F507</f>
        <v>0</v>
      </c>
      <c r="G506" s="31">
        <f>G507</f>
        <v>0</v>
      </c>
      <c r="H506" s="31">
        <f>H507</f>
        <v>0</v>
      </c>
    </row>
    <row r="507" spans="1:8" s="59" customFormat="1" ht="37.5" hidden="1" customHeight="1">
      <c r="A507" s="101" t="s">
        <v>535</v>
      </c>
      <c r="B507" s="29" t="s">
        <v>110</v>
      </c>
      <c r="C507" s="29" t="s">
        <v>14</v>
      </c>
      <c r="D507" s="30" t="s">
        <v>536</v>
      </c>
      <c r="E507" s="29"/>
      <c r="F507" s="31">
        <f>F508+F509</f>
        <v>0</v>
      </c>
      <c r="G507" s="31">
        <f>G508+G509</f>
        <v>0</v>
      </c>
      <c r="H507" s="31">
        <f>H508+H509</f>
        <v>0</v>
      </c>
    </row>
    <row r="508" spans="1:8" s="59" customFormat="1" ht="15.75" hidden="1" customHeight="1">
      <c r="A508" s="74" t="s">
        <v>401</v>
      </c>
      <c r="B508" s="29" t="s">
        <v>110</v>
      </c>
      <c r="C508" s="29" t="s">
        <v>14</v>
      </c>
      <c r="D508" s="30" t="s">
        <v>536</v>
      </c>
      <c r="E508" s="29" t="s">
        <v>390</v>
      </c>
      <c r="F508" s="31"/>
      <c r="G508" s="31"/>
      <c r="H508" s="31"/>
    </row>
    <row r="509" spans="1:8" s="59" customFormat="1" ht="15.75" hidden="1" customHeight="1">
      <c r="A509" s="74" t="s">
        <v>154</v>
      </c>
      <c r="B509" s="29" t="s">
        <v>110</v>
      </c>
      <c r="C509" s="29" t="s">
        <v>14</v>
      </c>
      <c r="D509" s="30" t="s">
        <v>536</v>
      </c>
      <c r="E509" s="29" t="s">
        <v>155</v>
      </c>
      <c r="F509" s="31"/>
      <c r="G509" s="31"/>
      <c r="H509" s="31"/>
    </row>
    <row r="510" spans="1:8" s="59" customFormat="1" ht="27.75" hidden="1" customHeight="1">
      <c r="A510" s="69" t="s">
        <v>537</v>
      </c>
      <c r="B510" s="29" t="s">
        <v>110</v>
      </c>
      <c r="C510" s="29" t="s">
        <v>14</v>
      </c>
      <c r="D510" s="30" t="s">
        <v>538</v>
      </c>
      <c r="E510" s="29"/>
      <c r="F510" s="31">
        <f t="shared" ref="F510:H511" si="57">F511</f>
        <v>0</v>
      </c>
      <c r="G510" s="31">
        <f t="shared" si="57"/>
        <v>0</v>
      </c>
      <c r="H510" s="31">
        <f t="shared" si="57"/>
        <v>0</v>
      </c>
    </row>
    <row r="511" spans="1:8" s="59" customFormat="1" ht="64.5" hidden="1" customHeight="1">
      <c r="A511" s="74" t="s">
        <v>539</v>
      </c>
      <c r="B511" s="29" t="s">
        <v>110</v>
      </c>
      <c r="C511" s="29" t="s">
        <v>14</v>
      </c>
      <c r="D511" s="30" t="s">
        <v>540</v>
      </c>
      <c r="E511" s="29"/>
      <c r="F511" s="31">
        <f t="shared" si="57"/>
        <v>0</v>
      </c>
      <c r="G511" s="31">
        <f t="shared" si="57"/>
        <v>0</v>
      </c>
      <c r="H511" s="31">
        <f t="shared" si="57"/>
        <v>0</v>
      </c>
    </row>
    <row r="512" spans="1:8" s="59" customFormat="1" ht="15.75" hidden="1" customHeight="1">
      <c r="A512" s="69" t="s">
        <v>202</v>
      </c>
      <c r="B512" s="29" t="s">
        <v>110</v>
      </c>
      <c r="C512" s="29" t="s">
        <v>14</v>
      </c>
      <c r="D512" s="30" t="s">
        <v>540</v>
      </c>
      <c r="E512" s="29" t="s">
        <v>38</v>
      </c>
      <c r="F512" s="31"/>
      <c r="G512" s="31"/>
      <c r="H512" s="31"/>
    </row>
    <row r="513" spans="1:9" s="59" customFormat="1" ht="27.75" hidden="1" customHeight="1">
      <c r="A513" s="74" t="s">
        <v>541</v>
      </c>
      <c r="B513" s="29" t="s">
        <v>110</v>
      </c>
      <c r="C513" s="29" t="s">
        <v>14</v>
      </c>
      <c r="D513" s="30" t="s">
        <v>542</v>
      </c>
      <c r="E513" s="29"/>
      <c r="F513" s="31">
        <f t="shared" ref="F513:H514" si="58">F514</f>
        <v>0</v>
      </c>
      <c r="G513" s="31">
        <f t="shared" si="58"/>
        <v>0</v>
      </c>
      <c r="H513" s="31">
        <f t="shared" si="58"/>
        <v>0</v>
      </c>
    </row>
    <row r="514" spans="1:9" s="59" customFormat="1" ht="36.75" hidden="1" customHeight="1">
      <c r="A514" s="102" t="s">
        <v>543</v>
      </c>
      <c r="B514" s="29" t="s">
        <v>110</v>
      </c>
      <c r="C514" s="29" t="s">
        <v>14</v>
      </c>
      <c r="D514" s="30" t="s">
        <v>544</v>
      </c>
      <c r="E514" s="29"/>
      <c r="F514" s="31">
        <f t="shared" si="58"/>
        <v>0</v>
      </c>
      <c r="G514" s="31">
        <f t="shared" si="58"/>
        <v>0</v>
      </c>
      <c r="H514" s="31">
        <f t="shared" si="58"/>
        <v>0</v>
      </c>
    </row>
    <row r="515" spans="1:9" s="59" customFormat="1" ht="15.75" hidden="1" customHeight="1">
      <c r="A515" s="74" t="s">
        <v>202</v>
      </c>
      <c r="B515" s="29" t="s">
        <v>110</v>
      </c>
      <c r="C515" s="29" t="s">
        <v>14</v>
      </c>
      <c r="D515" s="30" t="s">
        <v>544</v>
      </c>
      <c r="E515" s="29" t="s">
        <v>155</v>
      </c>
      <c r="F515" s="31">
        <v>0</v>
      </c>
      <c r="G515" s="31">
        <v>0</v>
      </c>
      <c r="H515" s="31">
        <v>0</v>
      </c>
    </row>
    <row r="516" spans="1:9" s="59" customFormat="1" ht="25.5" hidden="1" customHeight="1">
      <c r="A516" s="69" t="s">
        <v>545</v>
      </c>
      <c r="B516" s="29" t="s">
        <v>110</v>
      </c>
      <c r="C516" s="29" t="s">
        <v>14</v>
      </c>
      <c r="D516" s="30" t="s">
        <v>546</v>
      </c>
      <c r="E516" s="29"/>
      <c r="F516" s="31">
        <f t="shared" ref="F516:H517" si="59">F517</f>
        <v>0</v>
      </c>
      <c r="G516" s="31">
        <f t="shared" si="59"/>
        <v>0</v>
      </c>
      <c r="H516" s="31">
        <f t="shared" si="59"/>
        <v>0</v>
      </c>
    </row>
    <row r="517" spans="1:9" s="59" customFormat="1" ht="42.75" hidden="1" customHeight="1">
      <c r="A517" s="74" t="s">
        <v>547</v>
      </c>
      <c r="B517" s="29" t="s">
        <v>110</v>
      </c>
      <c r="C517" s="29" t="s">
        <v>14</v>
      </c>
      <c r="D517" s="30" t="s">
        <v>548</v>
      </c>
      <c r="E517" s="29"/>
      <c r="F517" s="31">
        <f t="shared" si="59"/>
        <v>0</v>
      </c>
      <c r="G517" s="31">
        <f t="shared" si="59"/>
        <v>0</v>
      </c>
      <c r="H517" s="31">
        <f t="shared" si="59"/>
        <v>0</v>
      </c>
    </row>
    <row r="518" spans="1:9" s="59" customFormat="1" ht="15.75" hidden="1" customHeight="1">
      <c r="A518" s="69" t="s">
        <v>202</v>
      </c>
      <c r="B518" s="29" t="s">
        <v>110</v>
      </c>
      <c r="C518" s="29" t="s">
        <v>14</v>
      </c>
      <c r="D518" s="30" t="s">
        <v>548</v>
      </c>
      <c r="E518" s="29" t="s">
        <v>38</v>
      </c>
      <c r="F518" s="31"/>
      <c r="G518" s="31"/>
      <c r="H518" s="31"/>
    </row>
    <row r="519" spans="1:9" s="59" customFormat="1" ht="42.75" customHeight="1">
      <c r="A519" s="69" t="s">
        <v>549</v>
      </c>
      <c r="B519" s="29" t="s">
        <v>110</v>
      </c>
      <c r="C519" s="29" t="s">
        <v>14</v>
      </c>
      <c r="D519" s="30" t="s">
        <v>550</v>
      </c>
      <c r="E519" s="29"/>
      <c r="F519" s="31">
        <f t="shared" ref="F519:H520" si="60">F520</f>
        <v>782.8</v>
      </c>
      <c r="G519" s="31">
        <f t="shared" si="60"/>
        <v>782.8</v>
      </c>
      <c r="H519" s="31">
        <f t="shared" si="60"/>
        <v>638.79999999999995</v>
      </c>
    </row>
    <row r="520" spans="1:9" s="59" customFormat="1" ht="39" customHeight="1">
      <c r="A520" s="69" t="s">
        <v>551</v>
      </c>
      <c r="B520" s="29" t="s">
        <v>110</v>
      </c>
      <c r="C520" s="29" t="s">
        <v>14</v>
      </c>
      <c r="D520" s="30" t="s">
        <v>552</v>
      </c>
      <c r="E520" s="29"/>
      <c r="F520" s="31">
        <f t="shared" si="60"/>
        <v>782.8</v>
      </c>
      <c r="G520" s="31">
        <f t="shared" si="60"/>
        <v>782.8</v>
      </c>
      <c r="H520" s="31">
        <f t="shared" si="60"/>
        <v>638.79999999999995</v>
      </c>
    </row>
    <row r="521" spans="1:9" s="59" customFormat="1" ht="15.75" customHeight="1">
      <c r="A521" s="69" t="s">
        <v>202</v>
      </c>
      <c r="B521" s="29" t="s">
        <v>110</v>
      </c>
      <c r="C521" s="29" t="s">
        <v>14</v>
      </c>
      <c r="D521" s="30" t="s">
        <v>552</v>
      </c>
      <c r="E521" s="29" t="s">
        <v>155</v>
      </c>
      <c r="F521" s="31">
        <f>782.8</f>
        <v>782.8</v>
      </c>
      <c r="G521" s="31">
        <f>782.8</f>
        <v>782.8</v>
      </c>
      <c r="H521" s="31">
        <f>638.8</f>
        <v>638.79999999999995</v>
      </c>
    </row>
    <row r="522" spans="1:9" s="56" customFormat="1" ht="13.5" customHeight="1">
      <c r="A522" s="118" t="s">
        <v>553</v>
      </c>
      <c r="B522" s="63" t="s">
        <v>110</v>
      </c>
      <c r="C522" s="63" t="s">
        <v>32</v>
      </c>
      <c r="D522" s="86"/>
      <c r="E522" s="63"/>
      <c r="F522" s="62">
        <f>F523+F529</f>
        <v>22997.899999999998</v>
      </c>
      <c r="G522" s="62">
        <f>G523+G529</f>
        <v>25361.5</v>
      </c>
      <c r="H522" s="62">
        <f>H523+H529</f>
        <v>26069.9</v>
      </c>
    </row>
    <row r="523" spans="1:9" s="59" customFormat="1" ht="27.75" customHeight="1">
      <c r="A523" s="69" t="s">
        <v>192</v>
      </c>
      <c r="B523" s="29" t="s">
        <v>110</v>
      </c>
      <c r="C523" s="29" t="s">
        <v>32</v>
      </c>
      <c r="D523" s="30" t="s">
        <v>193</v>
      </c>
      <c r="E523" s="29"/>
      <c r="F523" s="31">
        <f>F524</f>
        <v>5487.2</v>
      </c>
      <c r="G523" s="31">
        <f>G524</f>
        <v>6037.6</v>
      </c>
      <c r="H523" s="31">
        <f>H524</f>
        <v>6037.6</v>
      </c>
    </row>
    <row r="524" spans="1:9" s="59" customFormat="1" ht="27.75" customHeight="1">
      <c r="A524" s="39" t="s">
        <v>554</v>
      </c>
      <c r="B524" s="29" t="s">
        <v>110</v>
      </c>
      <c r="C524" s="29" t="s">
        <v>32</v>
      </c>
      <c r="D524" s="30" t="s">
        <v>555</v>
      </c>
      <c r="E524" s="29"/>
      <c r="F524" s="31">
        <f>F525+F527</f>
        <v>5487.2</v>
      </c>
      <c r="G524" s="31">
        <f>G525+G527</f>
        <v>6037.6</v>
      </c>
      <c r="H524" s="31">
        <f>H525+H527</f>
        <v>6037.6</v>
      </c>
    </row>
    <row r="525" spans="1:9" s="59" customFormat="1" ht="17.25" customHeight="1">
      <c r="A525" s="39" t="s">
        <v>556</v>
      </c>
      <c r="B525" s="29" t="s">
        <v>110</v>
      </c>
      <c r="C525" s="29" t="s">
        <v>32</v>
      </c>
      <c r="D525" s="30" t="s">
        <v>557</v>
      </c>
      <c r="E525" s="29"/>
      <c r="F525" s="31">
        <f>F526</f>
        <v>3120.6</v>
      </c>
      <c r="G525" s="31">
        <f>G526</f>
        <v>3667.3</v>
      </c>
      <c r="H525" s="31">
        <f>H526</f>
        <v>3667.3</v>
      </c>
    </row>
    <row r="526" spans="1:9" s="59" customFormat="1" ht="17.25" customHeight="1">
      <c r="A526" s="69" t="s">
        <v>154</v>
      </c>
      <c r="B526" s="29" t="s">
        <v>110</v>
      </c>
      <c r="C526" s="29" t="s">
        <v>32</v>
      </c>
      <c r="D526" s="30" t="s">
        <v>557</v>
      </c>
      <c r="E526" s="29" t="s">
        <v>155</v>
      </c>
      <c r="F526" s="31">
        <f>5687.2-200-2366.6</f>
        <v>3120.6</v>
      </c>
      <c r="G526" s="31">
        <f>6037.6-2370.3</f>
        <v>3667.3</v>
      </c>
      <c r="H526" s="31">
        <f>6037.6-2370.3</f>
        <v>3667.3</v>
      </c>
      <c r="I526"/>
    </row>
    <row r="527" spans="1:9" s="59" customFormat="1" ht="28.5" customHeight="1">
      <c r="A527" s="74" t="s">
        <v>60</v>
      </c>
      <c r="B527" s="29" t="s">
        <v>110</v>
      </c>
      <c r="C527" s="29" t="s">
        <v>32</v>
      </c>
      <c r="D527" s="30" t="s">
        <v>558</v>
      </c>
      <c r="E527" s="29"/>
      <c r="F527" s="31">
        <f>F528</f>
        <v>2366.6</v>
      </c>
      <c r="G527" s="31">
        <f>G528</f>
        <v>2370.3000000000002</v>
      </c>
      <c r="H527" s="31">
        <f>H528</f>
        <v>2370.3000000000002</v>
      </c>
    </row>
    <row r="528" spans="1:9" s="59" customFormat="1" ht="17.25" customHeight="1">
      <c r="A528" s="69" t="s">
        <v>154</v>
      </c>
      <c r="B528" s="29" t="s">
        <v>110</v>
      </c>
      <c r="C528" s="29" t="s">
        <v>32</v>
      </c>
      <c r="D528" s="30" t="s">
        <v>558</v>
      </c>
      <c r="E528" s="29" t="s">
        <v>155</v>
      </c>
      <c r="F528" s="31">
        <v>2366.6</v>
      </c>
      <c r="G528" s="31">
        <v>2370.3000000000002</v>
      </c>
      <c r="H528" s="31">
        <v>2370.3000000000002</v>
      </c>
    </row>
    <row r="529" spans="1:9" s="59" customFormat="1" ht="27" customHeight="1">
      <c r="A529" s="69" t="s">
        <v>486</v>
      </c>
      <c r="B529" s="29" t="s">
        <v>110</v>
      </c>
      <c r="C529" s="29" t="s">
        <v>32</v>
      </c>
      <c r="D529" s="30" t="s">
        <v>487</v>
      </c>
      <c r="E529" s="29"/>
      <c r="F529" s="31">
        <f>F530</f>
        <v>17510.699999999997</v>
      </c>
      <c r="G529" s="31">
        <f>G530</f>
        <v>19323.900000000001</v>
      </c>
      <c r="H529" s="31">
        <f>H530</f>
        <v>20032.3</v>
      </c>
    </row>
    <row r="530" spans="1:9" s="59" customFormat="1" ht="28.5" customHeight="1">
      <c r="A530" s="39" t="s">
        <v>488</v>
      </c>
      <c r="B530" s="29" t="s">
        <v>110</v>
      </c>
      <c r="C530" s="29" t="s">
        <v>32</v>
      </c>
      <c r="D530" s="30" t="s">
        <v>489</v>
      </c>
      <c r="E530" s="29"/>
      <c r="F530" s="31">
        <f>F531+F540+F543</f>
        <v>17510.699999999997</v>
      </c>
      <c r="G530" s="31">
        <f>G531+G540+G543</f>
        <v>19323.900000000001</v>
      </c>
      <c r="H530" s="31">
        <f>H531+H540+H543</f>
        <v>20032.3</v>
      </c>
    </row>
    <row r="531" spans="1:9" s="59" customFormat="1" ht="24" customHeight="1">
      <c r="A531" s="74" t="s">
        <v>554</v>
      </c>
      <c r="B531" s="29" t="s">
        <v>110</v>
      </c>
      <c r="C531" s="29" t="s">
        <v>32</v>
      </c>
      <c r="D531" s="30" t="s">
        <v>559</v>
      </c>
      <c r="E531" s="29"/>
      <c r="F531" s="31">
        <f>F532+F536+F534+F538</f>
        <v>17460.699999999997</v>
      </c>
      <c r="G531" s="31">
        <f>G532+G536+G534+G538</f>
        <v>19273.900000000001</v>
      </c>
      <c r="H531" s="31">
        <f>H532+H536+H534+H538</f>
        <v>19982.3</v>
      </c>
    </row>
    <row r="532" spans="1:9" s="59" customFormat="1" ht="18" customHeight="1">
      <c r="A532" s="39" t="s">
        <v>556</v>
      </c>
      <c r="B532" s="29" t="s">
        <v>110</v>
      </c>
      <c r="C532" s="29" t="s">
        <v>32</v>
      </c>
      <c r="D532" s="30" t="s">
        <v>560</v>
      </c>
      <c r="E532" s="29"/>
      <c r="F532" s="31">
        <f>F533</f>
        <v>2015.099999999999</v>
      </c>
      <c r="G532" s="31">
        <f>G533</f>
        <v>1834.8000000000011</v>
      </c>
      <c r="H532" s="31">
        <f>H533</f>
        <v>1537.3999999999996</v>
      </c>
    </row>
    <row r="533" spans="1:9" s="59" customFormat="1" ht="17.25" customHeight="1">
      <c r="A533" s="69" t="s">
        <v>154</v>
      </c>
      <c r="B533" s="29" t="s">
        <v>110</v>
      </c>
      <c r="C533" s="29" t="s">
        <v>32</v>
      </c>
      <c r="D533" s="30" t="s">
        <v>560</v>
      </c>
      <c r="E533" s="29" t="s">
        <v>155</v>
      </c>
      <c r="F533" s="31">
        <f>16371.8-14215.6-141.1</f>
        <v>2015.099999999999</v>
      </c>
      <c r="G533" s="31">
        <f>17073.9-15239.1</f>
        <v>1834.8000000000011</v>
      </c>
      <c r="H533" s="31">
        <f>17782.3-16244.9</f>
        <v>1537.3999999999996</v>
      </c>
      <c r="I533"/>
    </row>
    <row r="534" spans="1:9" s="59" customFormat="1" ht="28.5" customHeight="1">
      <c r="A534" s="74" t="s">
        <v>60</v>
      </c>
      <c r="B534" s="29" t="s">
        <v>110</v>
      </c>
      <c r="C534" s="29" t="s">
        <v>32</v>
      </c>
      <c r="D534" s="30" t="s">
        <v>561</v>
      </c>
      <c r="E534" s="29"/>
      <c r="F534" s="31">
        <f>F535</f>
        <v>14215.6</v>
      </c>
      <c r="G534" s="31">
        <f>G535</f>
        <v>15239.1</v>
      </c>
      <c r="H534" s="31">
        <f>H535</f>
        <v>16244.9</v>
      </c>
    </row>
    <row r="535" spans="1:9" s="59" customFormat="1" ht="17.25" customHeight="1">
      <c r="A535" s="74" t="s">
        <v>202</v>
      </c>
      <c r="B535" s="29" t="s">
        <v>110</v>
      </c>
      <c r="C535" s="29" t="s">
        <v>32</v>
      </c>
      <c r="D535" s="30" t="s">
        <v>561</v>
      </c>
      <c r="E535" s="29" t="s">
        <v>155</v>
      </c>
      <c r="F535" s="31">
        <v>14215.6</v>
      </c>
      <c r="G535" s="31">
        <v>15239.1</v>
      </c>
      <c r="H535" s="31">
        <v>16244.9</v>
      </c>
    </row>
    <row r="536" spans="1:9" s="59" customFormat="1" ht="40.5" hidden="1" customHeight="1">
      <c r="A536" s="119" t="s">
        <v>562</v>
      </c>
      <c r="B536" s="29" t="s">
        <v>110</v>
      </c>
      <c r="C536" s="29" t="s">
        <v>32</v>
      </c>
      <c r="D536" s="30" t="s">
        <v>563</v>
      </c>
      <c r="E536" s="29"/>
      <c r="F536" s="31">
        <f>F537</f>
        <v>0</v>
      </c>
      <c r="G536" s="31">
        <f>G537</f>
        <v>0</v>
      </c>
      <c r="H536" s="31">
        <f>H537</f>
        <v>0</v>
      </c>
    </row>
    <row r="537" spans="1:9" s="59" customFormat="1" ht="39.75" hidden="1" customHeight="1">
      <c r="A537" s="120" t="s">
        <v>147</v>
      </c>
      <c r="B537" s="29" t="s">
        <v>110</v>
      </c>
      <c r="C537" s="29" t="s">
        <v>32</v>
      </c>
      <c r="D537" s="30" t="s">
        <v>563</v>
      </c>
      <c r="E537" s="29" t="s">
        <v>143</v>
      </c>
      <c r="F537" s="31"/>
      <c r="G537" s="31"/>
      <c r="H537" s="31"/>
    </row>
    <row r="538" spans="1:9" s="59" customFormat="1" ht="25.5" customHeight="1">
      <c r="A538" s="96" t="s">
        <v>564</v>
      </c>
      <c r="B538" s="29" t="s">
        <v>110</v>
      </c>
      <c r="C538" s="29" t="s">
        <v>32</v>
      </c>
      <c r="D538" s="30" t="s">
        <v>565</v>
      </c>
      <c r="E538" s="29"/>
      <c r="F538" s="31">
        <f>F539</f>
        <v>1230</v>
      </c>
      <c r="G538" s="31">
        <f>G539</f>
        <v>2200</v>
      </c>
      <c r="H538" s="31">
        <f>H539</f>
        <v>2200</v>
      </c>
    </row>
    <row r="539" spans="1:9" s="59" customFormat="1" ht="16.5" customHeight="1">
      <c r="A539" s="99" t="s">
        <v>154</v>
      </c>
      <c r="B539" s="29" t="s">
        <v>110</v>
      </c>
      <c r="C539" s="29" t="s">
        <v>32</v>
      </c>
      <c r="D539" s="30" t="s">
        <v>565</v>
      </c>
      <c r="E539" s="29" t="s">
        <v>155</v>
      </c>
      <c r="F539" s="31">
        <f>2200-970</f>
        <v>1230</v>
      </c>
      <c r="G539" s="31">
        <v>2200</v>
      </c>
      <c r="H539" s="31">
        <v>2200</v>
      </c>
      <c r="I539"/>
    </row>
    <row r="540" spans="1:9" s="59" customFormat="1" ht="42" hidden="1" customHeight="1">
      <c r="A540" s="69" t="s">
        <v>500</v>
      </c>
      <c r="B540" s="29" t="s">
        <v>110</v>
      </c>
      <c r="C540" s="29" t="s">
        <v>32</v>
      </c>
      <c r="D540" s="30" t="s">
        <v>501</v>
      </c>
      <c r="E540" s="29"/>
      <c r="F540" s="31">
        <f t="shared" ref="F540:H541" si="61">F541</f>
        <v>0</v>
      </c>
      <c r="G540" s="31">
        <f t="shared" si="61"/>
        <v>0</v>
      </c>
      <c r="H540" s="31">
        <f t="shared" si="61"/>
        <v>0</v>
      </c>
    </row>
    <row r="541" spans="1:9" s="59" customFormat="1" ht="16.5" hidden="1" customHeight="1">
      <c r="A541" s="39" t="s">
        <v>556</v>
      </c>
      <c r="B541" s="29" t="s">
        <v>110</v>
      </c>
      <c r="C541" s="29" t="s">
        <v>32</v>
      </c>
      <c r="D541" s="30" t="s">
        <v>566</v>
      </c>
      <c r="E541" s="29"/>
      <c r="F541" s="31">
        <f t="shared" si="61"/>
        <v>0</v>
      </c>
      <c r="G541" s="31">
        <f t="shared" si="61"/>
        <v>0</v>
      </c>
      <c r="H541" s="31">
        <f t="shared" si="61"/>
        <v>0</v>
      </c>
    </row>
    <row r="542" spans="1:9" s="59" customFormat="1" ht="17.25" hidden="1" customHeight="1">
      <c r="A542" s="69" t="s">
        <v>154</v>
      </c>
      <c r="B542" s="29" t="s">
        <v>110</v>
      </c>
      <c r="C542" s="29" t="s">
        <v>32</v>
      </c>
      <c r="D542" s="30" t="s">
        <v>566</v>
      </c>
      <c r="E542" s="29" t="s">
        <v>155</v>
      </c>
      <c r="F542" s="31"/>
      <c r="G542" s="31"/>
      <c r="H542" s="31"/>
    </row>
    <row r="543" spans="1:9" s="59" customFormat="1" ht="24.75" customHeight="1">
      <c r="A543" s="69" t="s">
        <v>530</v>
      </c>
      <c r="B543" s="29" t="s">
        <v>110</v>
      </c>
      <c r="C543" s="29" t="s">
        <v>32</v>
      </c>
      <c r="D543" s="30" t="s">
        <v>531</v>
      </c>
      <c r="E543" s="29"/>
      <c r="F543" s="31">
        <f t="shared" ref="F543:H544" si="62">F544</f>
        <v>50</v>
      </c>
      <c r="G543" s="31">
        <f t="shared" si="62"/>
        <v>50</v>
      </c>
      <c r="H543" s="31">
        <f t="shared" si="62"/>
        <v>50</v>
      </c>
    </row>
    <row r="544" spans="1:9" s="59" customFormat="1" ht="17.25" customHeight="1">
      <c r="A544" s="39" t="s">
        <v>556</v>
      </c>
      <c r="B544" s="29" t="s">
        <v>110</v>
      </c>
      <c r="C544" s="29" t="s">
        <v>32</v>
      </c>
      <c r="D544" s="30" t="s">
        <v>567</v>
      </c>
      <c r="E544" s="29"/>
      <c r="F544" s="31">
        <f t="shared" si="62"/>
        <v>50</v>
      </c>
      <c r="G544" s="31">
        <f t="shared" si="62"/>
        <v>50</v>
      </c>
      <c r="H544" s="31">
        <f t="shared" si="62"/>
        <v>50</v>
      </c>
    </row>
    <row r="545" spans="1:8" s="59" customFormat="1" ht="17.25" customHeight="1">
      <c r="A545" s="69" t="s">
        <v>154</v>
      </c>
      <c r="B545" s="29" t="s">
        <v>110</v>
      </c>
      <c r="C545" s="29" t="s">
        <v>32</v>
      </c>
      <c r="D545" s="30" t="s">
        <v>567</v>
      </c>
      <c r="E545" s="29" t="s">
        <v>155</v>
      </c>
      <c r="F545" s="31">
        <v>50</v>
      </c>
      <c r="G545" s="31">
        <v>50</v>
      </c>
      <c r="H545" s="31">
        <v>50</v>
      </c>
    </row>
    <row r="546" spans="1:8" s="24" customFormat="1" ht="13.5" customHeight="1">
      <c r="A546" s="82" t="s">
        <v>568</v>
      </c>
      <c r="B546" s="63" t="s">
        <v>110</v>
      </c>
      <c r="C546" s="63" t="s">
        <v>110</v>
      </c>
      <c r="D546" s="63"/>
      <c r="E546" s="63"/>
      <c r="F546" s="62">
        <f>F547</f>
        <v>277.60000000000002</v>
      </c>
      <c r="G546" s="62">
        <f>G547</f>
        <v>547.6</v>
      </c>
      <c r="H546" s="62">
        <f>H547</f>
        <v>270</v>
      </c>
    </row>
    <row r="547" spans="1:8" s="59" customFormat="1" ht="26.25" customHeight="1">
      <c r="A547" s="69" t="s">
        <v>569</v>
      </c>
      <c r="B547" s="29" t="s">
        <v>110</v>
      </c>
      <c r="C547" s="29" t="s">
        <v>110</v>
      </c>
      <c r="D547" s="30" t="s">
        <v>570</v>
      </c>
      <c r="E547" s="29"/>
      <c r="F547" s="31">
        <f>F548+F552</f>
        <v>277.60000000000002</v>
      </c>
      <c r="G547" s="31">
        <f>G548+G552</f>
        <v>547.6</v>
      </c>
      <c r="H547" s="31">
        <f>H548+H552</f>
        <v>270</v>
      </c>
    </row>
    <row r="548" spans="1:8" s="59" customFormat="1" ht="39.75" customHeight="1">
      <c r="A548" s="39" t="s">
        <v>571</v>
      </c>
      <c r="B548" s="29" t="s">
        <v>110</v>
      </c>
      <c r="C548" s="29" t="s">
        <v>110</v>
      </c>
      <c r="D548" s="30" t="s">
        <v>572</v>
      </c>
      <c r="E548" s="29"/>
      <c r="F548" s="31">
        <f>F549</f>
        <v>261.60000000000002</v>
      </c>
      <c r="G548" s="31">
        <f>G549</f>
        <v>531.6</v>
      </c>
      <c r="H548" s="31">
        <f>H549</f>
        <v>254</v>
      </c>
    </row>
    <row r="549" spans="1:8" s="59" customFormat="1" ht="14.25" customHeight="1">
      <c r="A549" s="39" t="s">
        <v>573</v>
      </c>
      <c r="B549" s="29" t="s">
        <v>110</v>
      </c>
      <c r="C549" s="29" t="s">
        <v>110</v>
      </c>
      <c r="D549" s="30" t="s">
        <v>574</v>
      </c>
      <c r="E549" s="29"/>
      <c r="F549" s="31">
        <f>F551+F550</f>
        <v>261.60000000000002</v>
      </c>
      <c r="G549" s="31">
        <f>G551+G550</f>
        <v>531.6</v>
      </c>
      <c r="H549" s="31">
        <f>H551+H550</f>
        <v>254</v>
      </c>
    </row>
    <row r="550" spans="1:8" s="59" customFormat="1" ht="25.5" customHeight="1">
      <c r="A550" s="35" t="s">
        <v>22</v>
      </c>
      <c r="B550" s="29" t="s">
        <v>110</v>
      </c>
      <c r="C550" s="29" t="s">
        <v>110</v>
      </c>
      <c r="D550" s="30" t="s">
        <v>574</v>
      </c>
      <c r="E550" s="29" t="s">
        <v>24</v>
      </c>
      <c r="F550" s="31">
        <f>183-70</f>
        <v>113</v>
      </c>
      <c r="G550" s="31">
        <v>183</v>
      </c>
      <c r="H550" s="31">
        <v>84</v>
      </c>
    </row>
    <row r="551" spans="1:8" s="59" customFormat="1" ht="24" customHeight="1">
      <c r="A551" s="39" t="s">
        <v>37</v>
      </c>
      <c r="B551" s="29" t="s">
        <v>110</v>
      </c>
      <c r="C551" s="29" t="s">
        <v>110</v>
      </c>
      <c r="D551" s="30" t="s">
        <v>574</v>
      </c>
      <c r="E551" s="29" t="s">
        <v>38</v>
      </c>
      <c r="F551" s="31">
        <f>348.6-200</f>
        <v>148.60000000000002</v>
      </c>
      <c r="G551" s="31">
        <v>348.6</v>
      </c>
      <c r="H551" s="31">
        <v>170</v>
      </c>
    </row>
    <row r="552" spans="1:8" s="59" customFormat="1" ht="37.5" customHeight="1">
      <c r="A552" s="39" t="s">
        <v>575</v>
      </c>
      <c r="B552" s="29" t="s">
        <v>110</v>
      </c>
      <c r="C552" s="29" t="s">
        <v>110</v>
      </c>
      <c r="D552" s="30" t="s">
        <v>576</v>
      </c>
      <c r="E552" s="29"/>
      <c r="F552" s="31">
        <f t="shared" ref="F552:H553" si="63">F553</f>
        <v>16</v>
      </c>
      <c r="G552" s="31">
        <f t="shared" si="63"/>
        <v>16</v>
      </c>
      <c r="H552" s="31">
        <f t="shared" si="63"/>
        <v>16</v>
      </c>
    </row>
    <row r="553" spans="1:8" s="59" customFormat="1" ht="14.25" customHeight="1">
      <c r="A553" s="39" t="s">
        <v>573</v>
      </c>
      <c r="B553" s="29" t="s">
        <v>110</v>
      </c>
      <c r="C553" s="29" t="s">
        <v>110</v>
      </c>
      <c r="D553" s="30" t="s">
        <v>577</v>
      </c>
      <c r="E553" s="29"/>
      <c r="F553" s="31">
        <f t="shared" si="63"/>
        <v>16</v>
      </c>
      <c r="G553" s="31">
        <f t="shared" si="63"/>
        <v>16</v>
      </c>
      <c r="H553" s="31">
        <f t="shared" si="63"/>
        <v>16</v>
      </c>
    </row>
    <row r="554" spans="1:8" s="59" customFormat="1" ht="26.25" customHeight="1">
      <c r="A554" s="39" t="s">
        <v>37</v>
      </c>
      <c r="B554" s="29" t="s">
        <v>110</v>
      </c>
      <c r="C554" s="29" t="s">
        <v>110</v>
      </c>
      <c r="D554" s="30" t="s">
        <v>577</v>
      </c>
      <c r="E554" s="29" t="s">
        <v>38</v>
      </c>
      <c r="F554" s="31">
        <v>16</v>
      </c>
      <c r="G554" s="31">
        <v>16</v>
      </c>
      <c r="H554" s="31">
        <v>16</v>
      </c>
    </row>
    <row r="555" spans="1:8" s="24" customFormat="1" ht="13.5" customHeight="1">
      <c r="A555" s="37" t="s">
        <v>578</v>
      </c>
      <c r="B555" s="109" t="s">
        <v>110</v>
      </c>
      <c r="C555" s="109" t="s">
        <v>239</v>
      </c>
      <c r="D555" s="110"/>
      <c r="E555" s="22"/>
      <c r="F555" s="62">
        <f>F566+F556+F561</f>
        <v>5482.5</v>
      </c>
      <c r="G555" s="62">
        <f>G566+G556+G561</f>
        <v>5892.5</v>
      </c>
      <c r="H555" s="62">
        <f>H566+H556+H561</f>
        <v>5892.5</v>
      </c>
    </row>
    <row r="556" spans="1:8" s="59" customFormat="1" ht="38.25" hidden="1" customHeight="1">
      <c r="A556" s="39" t="s">
        <v>579</v>
      </c>
      <c r="B556" s="29" t="s">
        <v>110</v>
      </c>
      <c r="C556" s="29" t="s">
        <v>239</v>
      </c>
      <c r="D556" s="30" t="s">
        <v>269</v>
      </c>
      <c r="E556" s="29"/>
      <c r="F556" s="31">
        <f t="shared" ref="F556:H557" si="64">F557</f>
        <v>0</v>
      </c>
      <c r="G556" s="31">
        <f t="shared" si="64"/>
        <v>0</v>
      </c>
      <c r="H556" s="31">
        <f t="shared" si="64"/>
        <v>0</v>
      </c>
    </row>
    <row r="557" spans="1:8" s="59" customFormat="1" ht="24" hidden="1" customHeight="1">
      <c r="A557" s="69" t="s">
        <v>270</v>
      </c>
      <c r="B557" s="29" t="s">
        <v>110</v>
      </c>
      <c r="C557" s="29" t="s">
        <v>239</v>
      </c>
      <c r="D557" s="30" t="s">
        <v>271</v>
      </c>
      <c r="E557" s="29"/>
      <c r="F557" s="31">
        <f t="shared" si="64"/>
        <v>0</v>
      </c>
      <c r="G557" s="31">
        <f t="shared" si="64"/>
        <v>0</v>
      </c>
      <c r="H557" s="31">
        <f t="shared" si="64"/>
        <v>0</v>
      </c>
    </row>
    <row r="558" spans="1:8" s="59" customFormat="1" ht="36.75" hidden="1" customHeight="1">
      <c r="A558" s="78" t="s">
        <v>580</v>
      </c>
      <c r="B558" s="29" t="s">
        <v>110</v>
      </c>
      <c r="C558" s="29" t="s">
        <v>239</v>
      </c>
      <c r="D558" s="30" t="s">
        <v>581</v>
      </c>
      <c r="E558" s="29"/>
      <c r="F558" s="31">
        <f>F559+F560</f>
        <v>0</v>
      </c>
      <c r="G558" s="31">
        <f>G559+G560</f>
        <v>0</v>
      </c>
      <c r="H558" s="31">
        <f>H559+H560</f>
        <v>0</v>
      </c>
    </row>
    <row r="559" spans="1:8" s="59" customFormat="1" ht="27" hidden="1" customHeight="1">
      <c r="A559" s="78" t="s">
        <v>37</v>
      </c>
      <c r="B559" s="29" t="s">
        <v>110</v>
      </c>
      <c r="C559" s="29" t="s">
        <v>239</v>
      </c>
      <c r="D559" s="30" t="s">
        <v>581</v>
      </c>
      <c r="E559" s="29" t="s">
        <v>38</v>
      </c>
      <c r="F559" s="31"/>
      <c r="G559" s="31"/>
      <c r="H559" s="31"/>
    </row>
    <row r="560" spans="1:8" s="59" customFormat="1" ht="19.5" hidden="1" customHeight="1">
      <c r="A560" s="69" t="s">
        <v>202</v>
      </c>
      <c r="B560" s="29" t="s">
        <v>110</v>
      </c>
      <c r="C560" s="29" t="s">
        <v>239</v>
      </c>
      <c r="D560" s="30" t="s">
        <v>581</v>
      </c>
      <c r="E560" s="29" t="s">
        <v>155</v>
      </c>
      <c r="F560" s="31">
        <v>0</v>
      </c>
      <c r="G560" s="31">
        <v>0</v>
      </c>
      <c r="H560" s="31">
        <v>0</v>
      </c>
    </row>
    <row r="561" spans="1:8" s="59" customFormat="1" ht="27" hidden="1" customHeight="1">
      <c r="A561" s="34" t="s">
        <v>25</v>
      </c>
      <c r="B561" s="29" t="s">
        <v>110</v>
      </c>
      <c r="C561" s="29" t="s">
        <v>239</v>
      </c>
      <c r="D561" s="28" t="s">
        <v>17</v>
      </c>
      <c r="E561" s="28"/>
      <c r="F561" s="31">
        <f t="shared" ref="F561:H564" si="65">F562</f>
        <v>0</v>
      </c>
      <c r="G561" s="31">
        <f t="shared" si="65"/>
        <v>0</v>
      </c>
      <c r="H561" s="31">
        <f t="shared" si="65"/>
        <v>0</v>
      </c>
    </row>
    <row r="562" spans="1:8" s="59" customFormat="1" ht="41.25" hidden="1" customHeight="1">
      <c r="A562" s="34" t="s">
        <v>26</v>
      </c>
      <c r="B562" s="29" t="s">
        <v>110</v>
      </c>
      <c r="C562" s="29" t="s">
        <v>239</v>
      </c>
      <c r="D562" s="28" t="s">
        <v>19</v>
      </c>
      <c r="E562" s="28"/>
      <c r="F562" s="31">
        <f t="shared" si="65"/>
        <v>0</v>
      </c>
      <c r="G562" s="31">
        <f t="shared" si="65"/>
        <v>0</v>
      </c>
      <c r="H562" s="31">
        <f t="shared" si="65"/>
        <v>0</v>
      </c>
    </row>
    <row r="563" spans="1:8" s="59" customFormat="1" ht="27" hidden="1" customHeight="1">
      <c r="A563" s="35" t="s">
        <v>27</v>
      </c>
      <c r="B563" s="29" t="s">
        <v>110</v>
      </c>
      <c r="C563" s="29" t="s">
        <v>239</v>
      </c>
      <c r="D563" s="28" t="s">
        <v>28</v>
      </c>
      <c r="E563" s="28"/>
      <c r="F563" s="31">
        <f t="shared" si="65"/>
        <v>0</v>
      </c>
      <c r="G563" s="31">
        <f t="shared" si="65"/>
        <v>0</v>
      </c>
      <c r="H563" s="31">
        <f t="shared" si="65"/>
        <v>0</v>
      </c>
    </row>
    <row r="564" spans="1:8" s="59" customFormat="1" ht="123.75" hidden="1" customHeight="1">
      <c r="A564" s="36" t="s">
        <v>29</v>
      </c>
      <c r="B564" s="29" t="s">
        <v>110</v>
      </c>
      <c r="C564" s="29" t="s">
        <v>239</v>
      </c>
      <c r="D564" s="30" t="s">
        <v>30</v>
      </c>
      <c r="E564" s="28"/>
      <c r="F564" s="31">
        <f t="shared" si="65"/>
        <v>0</v>
      </c>
      <c r="G564" s="31">
        <f t="shared" si="65"/>
        <v>0</v>
      </c>
      <c r="H564" s="31">
        <f t="shared" si="65"/>
        <v>0</v>
      </c>
    </row>
    <row r="565" spans="1:8" s="59" customFormat="1" ht="27" hidden="1" customHeight="1">
      <c r="A565" s="36" t="s">
        <v>22</v>
      </c>
      <c r="B565" s="29" t="s">
        <v>110</v>
      </c>
      <c r="C565" s="29" t="s">
        <v>239</v>
      </c>
      <c r="D565" s="30" t="s">
        <v>30</v>
      </c>
      <c r="E565" s="28" t="s">
        <v>24</v>
      </c>
      <c r="F565" s="31"/>
      <c r="G565" s="31"/>
      <c r="H565" s="31"/>
    </row>
    <row r="566" spans="1:8" s="59" customFormat="1" ht="25.5" customHeight="1">
      <c r="A566" s="69" t="s">
        <v>486</v>
      </c>
      <c r="B566" s="29" t="s">
        <v>110</v>
      </c>
      <c r="C566" s="29" t="s">
        <v>239</v>
      </c>
      <c r="D566" s="30" t="s">
        <v>487</v>
      </c>
      <c r="E566" s="29"/>
      <c r="F566" s="31">
        <f>F567+F588</f>
        <v>5482.5</v>
      </c>
      <c r="G566" s="31">
        <f>G567+G588</f>
        <v>5892.5</v>
      </c>
      <c r="H566" s="31">
        <f>H567+H588</f>
        <v>5892.5</v>
      </c>
    </row>
    <row r="567" spans="1:8" s="59" customFormat="1" ht="24.75" customHeight="1">
      <c r="A567" s="39" t="s">
        <v>488</v>
      </c>
      <c r="B567" s="29" t="s">
        <v>110</v>
      </c>
      <c r="C567" s="29" t="s">
        <v>239</v>
      </c>
      <c r="D567" s="30" t="s">
        <v>489</v>
      </c>
      <c r="E567" s="29"/>
      <c r="F567" s="31">
        <f>F571+F574+F577+F568+F581</f>
        <v>510</v>
      </c>
      <c r="G567" s="31">
        <f>G571+G574+G577+G568+G581</f>
        <v>890</v>
      </c>
      <c r="H567" s="31">
        <f>H571+H574+H577+H568+H581</f>
        <v>890</v>
      </c>
    </row>
    <row r="568" spans="1:8" s="59" customFormat="1" ht="50.25" hidden="1" customHeight="1">
      <c r="A568" s="83" t="s">
        <v>504</v>
      </c>
      <c r="B568" s="29" t="s">
        <v>110</v>
      </c>
      <c r="C568" s="29" t="s">
        <v>239</v>
      </c>
      <c r="D568" s="30" t="s">
        <v>505</v>
      </c>
      <c r="E568" s="29"/>
      <c r="F568" s="31">
        <f t="shared" ref="F568:H569" si="66">F569</f>
        <v>0</v>
      </c>
      <c r="G568" s="31">
        <f t="shared" si="66"/>
        <v>0</v>
      </c>
      <c r="H568" s="31">
        <f t="shared" si="66"/>
        <v>0</v>
      </c>
    </row>
    <row r="569" spans="1:8" s="59" customFormat="1" ht="29.25" hidden="1" customHeight="1">
      <c r="A569" s="113" t="s">
        <v>492</v>
      </c>
      <c r="B569" s="29" t="s">
        <v>110</v>
      </c>
      <c r="C569" s="29" t="s">
        <v>239</v>
      </c>
      <c r="D569" s="30" t="s">
        <v>508</v>
      </c>
      <c r="E569" s="29"/>
      <c r="F569" s="31">
        <f t="shared" si="66"/>
        <v>0</v>
      </c>
      <c r="G569" s="31">
        <f t="shared" si="66"/>
        <v>0</v>
      </c>
      <c r="H569" s="31">
        <f t="shared" si="66"/>
        <v>0</v>
      </c>
    </row>
    <row r="570" spans="1:8" s="59" customFormat="1" ht="24" hidden="1" customHeight="1">
      <c r="A570" s="88" t="s">
        <v>37</v>
      </c>
      <c r="B570" s="29" t="s">
        <v>110</v>
      </c>
      <c r="C570" s="29" t="s">
        <v>239</v>
      </c>
      <c r="D570" s="30" t="s">
        <v>508</v>
      </c>
      <c r="E570" s="29" t="s">
        <v>38</v>
      </c>
      <c r="F570" s="31"/>
      <c r="G570" s="31"/>
      <c r="H570" s="31"/>
    </row>
    <row r="571" spans="1:8" s="59" customFormat="1" ht="37.5" hidden="1" customHeight="1">
      <c r="A571" s="70" t="s">
        <v>525</v>
      </c>
      <c r="B571" s="29" t="s">
        <v>110</v>
      </c>
      <c r="C571" s="29" t="s">
        <v>239</v>
      </c>
      <c r="D571" s="30" t="s">
        <v>526</v>
      </c>
      <c r="E571" s="29"/>
      <c r="F571" s="31">
        <f t="shared" ref="F571:H572" si="67">F572</f>
        <v>0</v>
      </c>
      <c r="G571" s="31">
        <f t="shared" si="67"/>
        <v>0</v>
      </c>
      <c r="H571" s="31">
        <f t="shared" si="67"/>
        <v>0</v>
      </c>
    </row>
    <row r="572" spans="1:8" s="59" customFormat="1" ht="50.25" hidden="1" customHeight="1">
      <c r="A572" s="52" t="s">
        <v>527</v>
      </c>
      <c r="B572" s="29" t="s">
        <v>110</v>
      </c>
      <c r="C572" s="29" t="s">
        <v>239</v>
      </c>
      <c r="D572" s="30" t="s">
        <v>528</v>
      </c>
      <c r="E572" s="29"/>
      <c r="F572" s="31">
        <f t="shared" si="67"/>
        <v>0</v>
      </c>
      <c r="G572" s="31">
        <f t="shared" si="67"/>
        <v>0</v>
      </c>
      <c r="H572" s="31">
        <f t="shared" si="67"/>
        <v>0</v>
      </c>
    </row>
    <row r="573" spans="1:8" s="59" customFormat="1" ht="24.75" hidden="1" customHeight="1">
      <c r="A573" s="69" t="s">
        <v>582</v>
      </c>
      <c r="B573" s="29" t="s">
        <v>110</v>
      </c>
      <c r="C573" s="29" t="s">
        <v>239</v>
      </c>
      <c r="D573" s="30" t="s">
        <v>528</v>
      </c>
      <c r="E573" s="29" t="s">
        <v>40</v>
      </c>
      <c r="F573" s="31"/>
      <c r="G573" s="31"/>
      <c r="H573" s="31"/>
    </row>
    <row r="574" spans="1:8" s="59" customFormat="1" ht="36.75" customHeight="1">
      <c r="A574" s="69" t="s">
        <v>500</v>
      </c>
      <c r="B574" s="29" t="s">
        <v>110</v>
      </c>
      <c r="C574" s="29" t="s">
        <v>239</v>
      </c>
      <c r="D574" s="30" t="s">
        <v>501</v>
      </c>
      <c r="E574" s="29"/>
      <c r="F574" s="31">
        <f t="shared" ref="F574:H575" si="68">F575</f>
        <v>240</v>
      </c>
      <c r="G574" s="31">
        <f t="shared" si="68"/>
        <v>240</v>
      </c>
      <c r="H574" s="31">
        <f t="shared" si="68"/>
        <v>240</v>
      </c>
    </row>
    <row r="575" spans="1:8" s="59" customFormat="1" ht="16.5" customHeight="1">
      <c r="A575" s="78" t="s">
        <v>35</v>
      </c>
      <c r="B575" s="29" t="s">
        <v>110</v>
      </c>
      <c r="C575" s="29" t="s">
        <v>239</v>
      </c>
      <c r="D575" s="30" t="s">
        <v>583</v>
      </c>
      <c r="E575" s="29"/>
      <c r="F575" s="31">
        <f t="shared" si="68"/>
        <v>240</v>
      </c>
      <c r="G575" s="31">
        <f t="shared" si="68"/>
        <v>240</v>
      </c>
      <c r="H575" s="31">
        <f t="shared" si="68"/>
        <v>240</v>
      </c>
    </row>
    <row r="576" spans="1:8" s="59" customFormat="1" ht="27" customHeight="1">
      <c r="A576" s="78" t="s">
        <v>37</v>
      </c>
      <c r="B576" s="29" t="s">
        <v>110</v>
      </c>
      <c r="C576" s="29" t="s">
        <v>239</v>
      </c>
      <c r="D576" s="30" t="s">
        <v>583</v>
      </c>
      <c r="E576" s="29" t="s">
        <v>38</v>
      </c>
      <c r="F576" s="31">
        <v>240</v>
      </c>
      <c r="G576" s="31">
        <v>240</v>
      </c>
      <c r="H576" s="31">
        <v>240</v>
      </c>
    </row>
    <row r="577" spans="1:10" s="59" customFormat="1" ht="28.5" customHeight="1">
      <c r="A577" s="69" t="s">
        <v>530</v>
      </c>
      <c r="B577" s="29" t="s">
        <v>110</v>
      </c>
      <c r="C577" s="29" t="s">
        <v>239</v>
      </c>
      <c r="D577" s="30" t="s">
        <v>531</v>
      </c>
      <c r="E577" s="29"/>
      <c r="F577" s="31">
        <f>F578</f>
        <v>270</v>
      </c>
      <c r="G577" s="31">
        <f>G578</f>
        <v>50</v>
      </c>
      <c r="H577" s="31">
        <f>H578</f>
        <v>50</v>
      </c>
    </row>
    <row r="578" spans="1:10" s="59" customFormat="1" ht="15" customHeight="1">
      <c r="A578" s="39" t="s">
        <v>584</v>
      </c>
      <c r="B578" s="29" t="s">
        <v>110</v>
      </c>
      <c r="C578" s="29" t="s">
        <v>239</v>
      </c>
      <c r="D578" s="30" t="s">
        <v>585</v>
      </c>
      <c r="E578" s="29"/>
      <c r="F578" s="31">
        <f>F579+F580</f>
        <v>270</v>
      </c>
      <c r="G578" s="31">
        <f>G579+G580</f>
        <v>50</v>
      </c>
      <c r="H578" s="31">
        <f>H579+H580</f>
        <v>50</v>
      </c>
    </row>
    <row r="579" spans="1:10" s="59" customFormat="1" ht="24.75" customHeight="1">
      <c r="A579" s="78" t="s">
        <v>22</v>
      </c>
      <c r="B579" s="29" t="s">
        <v>110</v>
      </c>
      <c r="C579" s="29" t="s">
        <v>239</v>
      </c>
      <c r="D579" s="30" t="s">
        <v>585</v>
      </c>
      <c r="E579" s="29" t="s">
        <v>24</v>
      </c>
      <c r="F579" s="31">
        <v>66</v>
      </c>
      <c r="G579" s="31">
        <v>30</v>
      </c>
      <c r="H579" s="31">
        <v>30</v>
      </c>
    </row>
    <row r="580" spans="1:10" s="59" customFormat="1" ht="27" customHeight="1">
      <c r="A580" s="78" t="s">
        <v>37</v>
      </c>
      <c r="B580" s="29" t="s">
        <v>110</v>
      </c>
      <c r="C580" s="29" t="s">
        <v>239</v>
      </c>
      <c r="D580" s="30" t="s">
        <v>585</v>
      </c>
      <c r="E580" s="29" t="s">
        <v>38</v>
      </c>
      <c r="F580" s="31">
        <v>204</v>
      </c>
      <c r="G580" s="31">
        <v>20</v>
      </c>
      <c r="H580" s="31">
        <v>20</v>
      </c>
    </row>
    <row r="581" spans="1:10" s="59" customFormat="1" ht="24.75" customHeight="1">
      <c r="A581" s="69" t="s">
        <v>586</v>
      </c>
      <c r="B581" s="29" t="s">
        <v>110</v>
      </c>
      <c r="C581" s="29" t="s">
        <v>239</v>
      </c>
      <c r="D581" s="30" t="s">
        <v>587</v>
      </c>
      <c r="E581" s="29"/>
      <c r="F581" s="31">
        <f>F582+F584+F586</f>
        <v>0</v>
      </c>
      <c r="G581" s="31">
        <f>G582+G584+G586</f>
        <v>600</v>
      </c>
      <c r="H581" s="31">
        <f>H582+H584+H586</f>
        <v>600</v>
      </c>
      <c r="I581"/>
    </row>
    <row r="582" spans="1:10" s="59" customFormat="1" ht="14.25" customHeight="1">
      <c r="A582" s="52" t="s">
        <v>509</v>
      </c>
      <c r="B582" s="29" t="s">
        <v>110</v>
      </c>
      <c r="C582" s="29" t="s">
        <v>239</v>
      </c>
      <c r="D582" s="30" t="s">
        <v>588</v>
      </c>
      <c r="E582" s="29"/>
      <c r="F582" s="31">
        <f>F583</f>
        <v>0</v>
      </c>
      <c r="G582" s="31">
        <f>G583</f>
        <v>388</v>
      </c>
      <c r="H582" s="31">
        <f>H583</f>
        <v>388</v>
      </c>
    </row>
    <row r="583" spans="1:10" s="59" customFormat="1" ht="14.25" customHeight="1">
      <c r="A583" s="69" t="s">
        <v>154</v>
      </c>
      <c r="B583" s="29" t="s">
        <v>110</v>
      </c>
      <c r="C583" s="29" t="s">
        <v>239</v>
      </c>
      <c r="D583" s="30" t="s">
        <v>588</v>
      </c>
      <c r="E583" s="29" t="s">
        <v>155</v>
      </c>
      <c r="F583" s="31">
        <f>388-388</f>
        <v>0</v>
      </c>
      <c r="G583" s="31">
        <v>388</v>
      </c>
      <c r="H583" s="31">
        <v>388</v>
      </c>
    </row>
    <row r="584" spans="1:10" s="59" customFormat="1" ht="14.25" customHeight="1">
      <c r="A584" s="52" t="s">
        <v>494</v>
      </c>
      <c r="B584" s="29" t="s">
        <v>110</v>
      </c>
      <c r="C584" s="29" t="s">
        <v>239</v>
      </c>
      <c r="D584" s="30" t="s">
        <v>589</v>
      </c>
      <c r="E584" s="29"/>
      <c r="F584" s="31">
        <f>F585</f>
        <v>0</v>
      </c>
      <c r="G584" s="31">
        <f>G585</f>
        <v>82</v>
      </c>
      <c r="H584" s="31">
        <f>H585</f>
        <v>82</v>
      </c>
    </row>
    <row r="585" spans="1:10" s="59" customFormat="1" ht="14.25" customHeight="1">
      <c r="A585" s="69" t="s">
        <v>154</v>
      </c>
      <c r="B585" s="29" t="s">
        <v>110</v>
      </c>
      <c r="C585" s="29" t="s">
        <v>239</v>
      </c>
      <c r="D585" s="30" t="s">
        <v>589</v>
      </c>
      <c r="E585" s="29" t="s">
        <v>155</v>
      </c>
      <c r="F585" s="31">
        <f>82-82</f>
        <v>0</v>
      </c>
      <c r="G585" s="31">
        <v>82</v>
      </c>
      <c r="H585" s="31">
        <v>82</v>
      </c>
    </row>
    <row r="586" spans="1:10" s="59" customFormat="1" ht="14.25" customHeight="1">
      <c r="A586" s="39" t="s">
        <v>556</v>
      </c>
      <c r="B586" s="29" t="s">
        <v>110</v>
      </c>
      <c r="C586" s="29" t="s">
        <v>239</v>
      </c>
      <c r="D586" s="30" t="s">
        <v>590</v>
      </c>
      <c r="E586" s="29"/>
      <c r="F586" s="31">
        <f>F587</f>
        <v>0</v>
      </c>
      <c r="G586" s="31">
        <f>G587</f>
        <v>130</v>
      </c>
      <c r="H586" s="31">
        <f>H587</f>
        <v>130</v>
      </c>
    </row>
    <row r="587" spans="1:10" s="59" customFormat="1" ht="14.25" customHeight="1">
      <c r="A587" s="69" t="s">
        <v>154</v>
      </c>
      <c r="B587" s="29" t="s">
        <v>110</v>
      </c>
      <c r="C587" s="29" t="s">
        <v>239</v>
      </c>
      <c r="D587" s="30" t="s">
        <v>590</v>
      </c>
      <c r="E587" s="29" t="s">
        <v>155</v>
      </c>
      <c r="F587" s="31">
        <f>130-130</f>
        <v>0</v>
      </c>
      <c r="G587" s="31">
        <v>130</v>
      </c>
      <c r="H587" s="31">
        <v>130</v>
      </c>
    </row>
    <row r="588" spans="1:10" s="59" customFormat="1" ht="27.75" customHeight="1">
      <c r="A588" s="39" t="s">
        <v>591</v>
      </c>
      <c r="B588" s="29" t="s">
        <v>110</v>
      </c>
      <c r="C588" s="29" t="s">
        <v>239</v>
      </c>
      <c r="D588" s="30" t="s">
        <v>592</v>
      </c>
      <c r="E588" s="29"/>
      <c r="F588" s="31">
        <f>F589+F594</f>
        <v>4972.5</v>
      </c>
      <c r="G588" s="31">
        <f>G589+G594</f>
        <v>5002.5</v>
      </c>
      <c r="H588" s="31">
        <f>H589+H594</f>
        <v>5002.5</v>
      </c>
    </row>
    <row r="589" spans="1:10" s="59" customFormat="1" ht="27.75" customHeight="1">
      <c r="A589" s="39" t="s">
        <v>593</v>
      </c>
      <c r="B589" s="29" t="s">
        <v>110</v>
      </c>
      <c r="C589" s="29" t="s">
        <v>239</v>
      </c>
      <c r="D589" s="30" t="s">
        <v>594</v>
      </c>
      <c r="E589" s="29"/>
      <c r="F589" s="31">
        <f>F590</f>
        <v>4444</v>
      </c>
      <c r="G589" s="31">
        <f>G590</f>
        <v>4474</v>
      </c>
      <c r="H589" s="31">
        <f>H590</f>
        <v>4474</v>
      </c>
    </row>
    <row r="590" spans="1:10" s="59" customFormat="1" ht="15" customHeight="1">
      <c r="A590" s="39" t="s">
        <v>584</v>
      </c>
      <c r="B590" s="29" t="s">
        <v>110</v>
      </c>
      <c r="C590" s="29" t="s">
        <v>239</v>
      </c>
      <c r="D590" s="30" t="s">
        <v>595</v>
      </c>
      <c r="E590" s="29"/>
      <c r="F590" s="31">
        <f>F591+F592+F593</f>
        <v>4444</v>
      </c>
      <c r="G590" s="31">
        <f>G591+G592+G593</f>
        <v>4474</v>
      </c>
      <c r="H590" s="31">
        <f>H591+H592+H593</f>
        <v>4474</v>
      </c>
    </row>
    <row r="591" spans="1:10" s="59" customFormat="1" ht="27.75" customHeight="1">
      <c r="A591" s="78" t="s">
        <v>22</v>
      </c>
      <c r="B591" s="29" t="s">
        <v>110</v>
      </c>
      <c r="C591" s="29" t="s">
        <v>239</v>
      </c>
      <c r="D591" s="30" t="s">
        <v>595</v>
      </c>
      <c r="E591" s="29" t="s">
        <v>24</v>
      </c>
      <c r="F591" s="31">
        <f>4000.5+22</f>
        <v>4022.5</v>
      </c>
      <c r="G591" s="31">
        <f>4000.5+22</f>
        <v>4022.5</v>
      </c>
      <c r="H591" s="31">
        <f>4000.5+22</f>
        <v>4022.5</v>
      </c>
    </row>
    <row r="592" spans="1:10" s="59" customFormat="1" ht="26.25" customHeight="1">
      <c r="A592" s="78" t="s">
        <v>37</v>
      </c>
      <c r="B592" s="29" t="s">
        <v>110</v>
      </c>
      <c r="C592" s="29" t="s">
        <v>239</v>
      </c>
      <c r="D592" s="30" t="s">
        <v>595</v>
      </c>
      <c r="E592" s="29" t="s">
        <v>38</v>
      </c>
      <c r="F592" s="68">
        <f>451.5-30</f>
        <v>421.5</v>
      </c>
      <c r="G592" s="31">
        <v>451.5</v>
      </c>
      <c r="H592" s="31">
        <v>451.5</v>
      </c>
      <c r="I592"/>
      <c r="J592"/>
    </row>
    <row r="593" spans="1:9" s="59" customFormat="1" ht="15.75" hidden="1" customHeight="1">
      <c r="A593" s="39" t="s">
        <v>41</v>
      </c>
      <c r="B593" s="29" t="s">
        <v>110</v>
      </c>
      <c r="C593" s="29" t="s">
        <v>239</v>
      </c>
      <c r="D593" s="30" t="s">
        <v>595</v>
      </c>
      <c r="E593" s="29" t="s">
        <v>42</v>
      </c>
      <c r="F593" s="31">
        <v>0</v>
      </c>
      <c r="G593" s="31">
        <v>0</v>
      </c>
      <c r="H593" s="31">
        <v>0</v>
      </c>
    </row>
    <row r="594" spans="1:9" s="59" customFormat="1" ht="25.5" customHeight="1">
      <c r="A594" s="88" t="s">
        <v>596</v>
      </c>
      <c r="B594" s="29" t="s">
        <v>110</v>
      </c>
      <c r="C594" s="29" t="s">
        <v>239</v>
      </c>
      <c r="D594" s="30" t="s">
        <v>597</v>
      </c>
      <c r="E594" s="29"/>
      <c r="F594" s="31">
        <f t="shared" ref="F594:H595" si="69">F595</f>
        <v>528.5</v>
      </c>
      <c r="G594" s="31">
        <f t="shared" si="69"/>
        <v>528.5</v>
      </c>
      <c r="H594" s="31">
        <f t="shared" si="69"/>
        <v>528.5</v>
      </c>
    </row>
    <row r="595" spans="1:9" s="59" customFormat="1" ht="51" customHeight="1">
      <c r="A595" s="102" t="s">
        <v>598</v>
      </c>
      <c r="B595" s="29" t="s">
        <v>110</v>
      </c>
      <c r="C595" s="29" t="s">
        <v>239</v>
      </c>
      <c r="D595" s="30" t="s">
        <v>599</v>
      </c>
      <c r="E595" s="29"/>
      <c r="F595" s="31">
        <f t="shared" si="69"/>
        <v>528.5</v>
      </c>
      <c r="G595" s="31">
        <f t="shared" si="69"/>
        <v>528.5</v>
      </c>
      <c r="H595" s="31">
        <f t="shared" si="69"/>
        <v>528.5</v>
      </c>
    </row>
    <row r="596" spans="1:9" s="59" customFormat="1" ht="26.25" customHeight="1">
      <c r="A596" s="88" t="s">
        <v>49</v>
      </c>
      <c r="B596" s="29" t="s">
        <v>110</v>
      </c>
      <c r="C596" s="29" t="s">
        <v>239</v>
      </c>
      <c r="D596" s="30" t="s">
        <v>599</v>
      </c>
      <c r="E596" s="29" t="s">
        <v>38</v>
      </c>
      <c r="F596" s="31">
        <f>523.2+5.3</f>
        <v>528.5</v>
      </c>
      <c r="G596" s="31">
        <f>523.2+5.3</f>
        <v>528.5</v>
      </c>
      <c r="H596" s="31">
        <f>523.2+5.3</f>
        <v>528.5</v>
      </c>
    </row>
    <row r="597" spans="1:9" s="32" customFormat="1" ht="15.75" customHeight="1">
      <c r="A597" s="37" t="s">
        <v>600</v>
      </c>
      <c r="B597" s="109" t="s">
        <v>301</v>
      </c>
      <c r="C597" s="109"/>
      <c r="D597" s="110"/>
      <c r="E597" s="110"/>
      <c r="F597" s="62">
        <f>F598+F651</f>
        <v>209295.9</v>
      </c>
      <c r="G597" s="62">
        <f>G598+G651</f>
        <v>66698.3</v>
      </c>
      <c r="H597" s="62">
        <f>H598+H651</f>
        <v>69106.7</v>
      </c>
    </row>
    <row r="598" spans="1:9" s="24" customFormat="1" ht="14.25" customHeight="1">
      <c r="A598" s="37" t="s">
        <v>601</v>
      </c>
      <c r="B598" s="109" t="s">
        <v>301</v>
      </c>
      <c r="C598" s="109" t="s">
        <v>12</v>
      </c>
      <c r="D598" s="110"/>
      <c r="E598" s="110"/>
      <c r="F598" s="62">
        <f>F599</f>
        <v>67394.899999999994</v>
      </c>
      <c r="G598" s="62">
        <f>G599</f>
        <v>66698.3</v>
      </c>
      <c r="H598" s="62">
        <f>H599</f>
        <v>69106.7</v>
      </c>
    </row>
    <row r="599" spans="1:9" s="59" customFormat="1" ht="26.25" customHeight="1">
      <c r="A599" s="69" t="s">
        <v>192</v>
      </c>
      <c r="B599" s="29" t="s">
        <v>301</v>
      </c>
      <c r="C599" s="29" t="s">
        <v>12</v>
      </c>
      <c r="D599" s="30" t="s">
        <v>193</v>
      </c>
      <c r="E599" s="29"/>
      <c r="F599" s="31">
        <f>F600+F610+F620+F633+F645</f>
        <v>67394.899999999994</v>
      </c>
      <c r="G599" s="31">
        <f>G600+G610+G620+G633+G645</f>
        <v>66698.3</v>
      </c>
      <c r="H599" s="31">
        <f>H600+H610+H620+H633+H645</f>
        <v>69106.7</v>
      </c>
    </row>
    <row r="600" spans="1:9" s="59" customFormat="1" ht="25.5" customHeight="1">
      <c r="A600" s="69" t="s">
        <v>602</v>
      </c>
      <c r="B600" s="29" t="s">
        <v>301</v>
      </c>
      <c r="C600" s="29" t="s">
        <v>12</v>
      </c>
      <c r="D600" s="30" t="s">
        <v>603</v>
      </c>
      <c r="E600" s="29"/>
      <c r="F600" s="31">
        <f>F601+F603+F608+F605</f>
        <v>5143.8</v>
      </c>
      <c r="G600" s="31">
        <f>G601+G603+G608+G605</f>
        <v>5206.7</v>
      </c>
      <c r="H600" s="31">
        <f>H601+H603+H608+H605</f>
        <v>5554</v>
      </c>
    </row>
    <row r="601" spans="1:9" s="59" customFormat="1" ht="15.75" customHeight="1">
      <c r="A601" s="69" t="s">
        <v>200</v>
      </c>
      <c r="B601" s="29" t="s">
        <v>301</v>
      </c>
      <c r="C601" s="29" t="s">
        <v>12</v>
      </c>
      <c r="D601" s="30" t="s">
        <v>604</v>
      </c>
      <c r="E601" s="29"/>
      <c r="F601" s="31">
        <f>F602</f>
        <v>5143.8</v>
      </c>
      <c r="G601" s="31">
        <f>G602</f>
        <v>5206.7</v>
      </c>
      <c r="H601" s="31">
        <f>H602</f>
        <v>5554</v>
      </c>
    </row>
    <row r="602" spans="1:9" s="59" customFormat="1" ht="15.75" customHeight="1">
      <c r="A602" s="69" t="s">
        <v>202</v>
      </c>
      <c r="B602" s="29" t="s">
        <v>301</v>
      </c>
      <c r="C602" s="29" t="s">
        <v>12</v>
      </c>
      <c r="D602" s="30" t="s">
        <v>604</v>
      </c>
      <c r="E602" s="29" t="s">
        <v>155</v>
      </c>
      <c r="F602" s="31">
        <f>4993.8-350+500</f>
        <v>5143.8</v>
      </c>
      <c r="G602" s="31">
        <v>5206.7</v>
      </c>
      <c r="H602" s="31">
        <v>5554</v>
      </c>
      <c r="I602"/>
    </row>
    <row r="603" spans="1:9" s="59" customFormat="1" ht="25.5" hidden="1" customHeight="1">
      <c r="A603" s="69" t="s">
        <v>60</v>
      </c>
      <c r="B603" s="29" t="s">
        <v>301</v>
      </c>
      <c r="C603" s="29" t="s">
        <v>12</v>
      </c>
      <c r="D603" s="30" t="s">
        <v>605</v>
      </c>
      <c r="E603" s="29"/>
      <c r="F603" s="31">
        <f>F604</f>
        <v>0</v>
      </c>
      <c r="G603" s="31">
        <f>G604</f>
        <v>0</v>
      </c>
      <c r="H603" s="31">
        <f>H604</f>
        <v>0</v>
      </c>
    </row>
    <row r="604" spans="1:9" s="59" customFormat="1" ht="15.75" hidden="1" customHeight="1">
      <c r="A604" s="69" t="s">
        <v>202</v>
      </c>
      <c r="B604" s="29" t="s">
        <v>301</v>
      </c>
      <c r="C604" s="29" t="s">
        <v>12</v>
      </c>
      <c r="D604" s="30" t="s">
        <v>605</v>
      </c>
      <c r="E604" s="29" t="s">
        <v>155</v>
      </c>
      <c r="F604" s="31"/>
      <c r="G604" s="31"/>
      <c r="H604" s="31"/>
    </row>
    <row r="605" spans="1:9" s="59" customFormat="1" ht="25.5" hidden="1" customHeight="1">
      <c r="A605" s="101" t="s">
        <v>606</v>
      </c>
      <c r="B605" s="29" t="s">
        <v>301</v>
      </c>
      <c r="C605" s="29" t="s">
        <v>12</v>
      </c>
      <c r="D605" s="30" t="s">
        <v>607</v>
      </c>
      <c r="E605" s="29"/>
      <c r="F605" s="31">
        <f t="shared" ref="F605:H606" si="70">F606</f>
        <v>0</v>
      </c>
      <c r="G605" s="31">
        <f t="shared" si="70"/>
        <v>0</v>
      </c>
      <c r="H605" s="31">
        <f t="shared" si="70"/>
        <v>0</v>
      </c>
    </row>
    <row r="606" spans="1:9" s="59" customFormat="1" ht="36.75" hidden="1" customHeight="1">
      <c r="A606" s="101" t="s">
        <v>608</v>
      </c>
      <c r="B606" s="29" t="s">
        <v>301</v>
      </c>
      <c r="C606" s="29" t="s">
        <v>12</v>
      </c>
      <c r="D606" s="30" t="s">
        <v>609</v>
      </c>
      <c r="E606" s="29"/>
      <c r="F606" s="31">
        <f t="shared" si="70"/>
        <v>0</v>
      </c>
      <c r="G606" s="31">
        <f t="shared" si="70"/>
        <v>0</v>
      </c>
      <c r="H606" s="31">
        <f t="shared" si="70"/>
        <v>0</v>
      </c>
    </row>
    <row r="607" spans="1:9" s="59" customFormat="1" ht="15.75" hidden="1" customHeight="1">
      <c r="A607" s="74" t="s">
        <v>202</v>
      </c>
      <c r="B607" s="29" t="s">
        <v>301</v>
      </c>
      <c r="C607" s="29" t="s">
        <v>12</v>
      </c>
      <c r="D607" s="30" t="s">
        <v>609</v>
      </c>
      <c r="E607" s="29" t="s">
        <v>155</v>
      </c>
      <c r="F607" s="31"/>
      <c r="G607" s="31"/>
      <c r="H607" s="31"/>
    </row>
    <row r="608" spans="1:9" s="59" customFormat="1" ht="37.5" hidden="1" customHeight="1">
      <c r="A608" s="74" t="s">
        <v>610</v>
      </c>
      <c r="B608" s="29" t="s">
        <v>301</v>
      </c>
      <c r="C608" s="29" t="s">
        <v>12</v>
      </c>
      <c r="D608" s="30" t="s">
        <v>607</v>
      </c>
      <c r="E608" s="29"/>
      <c r="F608" s="31">
        <f>F609</f>
        <v>0</v>
      </c>
      <c r="G608" s="31">
        <f>G609</f>
        <v>0</v>
      </c>
      <c r="H608" s="31">
        <f>H609</f>
        <v>0</v>
      </c>
    </row>
    <row r="609" spans="1:9" s="59" customFormat="1" ht="15.75" hidden="1" customHeight="1">
      <c r="A609" s="74" t="s">
        <v>202</v>
      </c>
      <c r="B609" s="29" t="s">
        <v>301</v>
      </c>
      <c r="C609" s="29" t="s">
        <v>12</v>
      </c>
      <c r="D609" s="30" t="s">
        <v>609</v>
      </c>
      <c r="E609" s="29" t="s">
        <v>155</v>
      </c>
      <c r="F609" s="31">
        <v>0</v>
      </c>
      <c r="G609" s="31">
        <v>0</v>
      </c>
      <c r="H609" s="31">
        <v>0</v>
      </c>
    </row>
    <row r="610" spans="1:9" s="59" customFormat="1" ht="53.25" customHeight="1">
      <c r="A610" s="75" t="s">
        <v>611</v>
      </c>
      <c r="B610" s="29" t="s">
        <v>301</v>
      </c>
      <c r="C610" s="29" t="s">
        <v>12</v>
      </c>
      <c r="D610" s="30" t="s">
        <v>612</v>
      </c>
      <c r="E610" s="29"/>
      <c r="F610" s="31">
        <f>F611+F613+F617+F615</f>
        <v>15475.199999999999</v>
      </c>
      <c r="G610" s="31">
        <f>G611+G613+G617+G615</f>
        <v>16391.2</v>
      </c>
      <c r="H610" s="31">
        <f>H611+H613+H617+H615</f>
        <v>17355.599999999999</v>
      </c>
    </row>
    <row r="611" spans="1:9" s="59" customFormat="1" ht="15.75" customHeight="1">
      <c r="A611" s="69" t="s">
        <v>200</v>
      </c>
      <c r="B611" s="29" t="s">
        <v>301</v>
      </c>
      <c r="C611" s="29" t="s">
        <v>12</v>
      </c>
      <c r="D611" s="30" t="s">
        <v>613</v>
      </c>
      <c r="E611" s="29"/>
      <c r="F611" s="31">
        <f>F612</f>
        <v>8792.9</v>
      </c>
      <c r="G611" s="31">
        <f>G612</f>
        <v>11410.800000000001</v>
      </c>
      <c r="H611" s="31">
        <f>H612</f>
        <v>13380.999999999998</v>
      </c>
    </row>
    <row r="612" spans="1:9" s="59" customFormat="1" ht="15.75" customHeight="1">
      <c r="A612" s="69" t="s">
        <v>202</v>
      </c>
      <c r="B612" s="29" t="s">
        <v>301</v>
      </c>
      <c r="C612" s="29" t="s">
        <v>12</v>
      </c>
      <c r="D612" s="30" t="s">
        <v>613</v>
      </c>
      <c r="E612" s="29" t="s">
        <v>155</v>
      </c>
      <c r="F612" s="31">
        <f>5404.3+10005.5+2.5-6003.9-615.5</f>
        <v>8792.9</v>
      </c>
      <c r="G612" s="31">
        <f>5746.2+10645-4980.4</f>
        <v>11410.800000000001</v>
      </c>
      <c r="H612" s="31">
        <f>6082.2+11273.4-3974.6</f>
        <v>13380.999999999998</v>
      </c>
      <c r="I612"/>
    </row>
    <row r="613" spans="1:9" s="59" customFormat="1" ht="24.75" customHeight="1">
      <c r="A613" s="69" t="s">
        <v>60</v>
      </c>
      <c r="B613" s="29" t="s">
        <v>301</v>
      </c>
      <c r="C613" s="29" t="s">
        <v>12</v>
      </c>
      <c r="D613" s="30" t="s">
        <v>614</v>
      </c>
      <c r="E613" s="29"/>
      <c r="F613" s="31">
        <f>F614</f>
        <v>6003.9</v>
      </c>
      <c r="G613" s="31">
        <f>G614</f>
        <v>4980.3999999999996</v>
      </c>
      <c r="H613" s="31">
        <f>H614</f>
        <v>3974.6</v>
      </c>
    </row>
    <row r="614" spans="1:9" s="59" customFormat="1" ht="15.75" customHeight="1">
      <c r="A614" s="69" t="s">
        <v>202</v>
      </c>
      <c r="B614" s="29" t="s">
        <v>301</v>
      </c>
      <c r="C614" s="29" t="s">
        <v>12</v>
      </c>
      <c r="D614" s="30" t="s">
        <v>614</v>
      </c>
      <c r="E614" s="29" t="s">
        <v>155</v>
      </c>
      <c r="F614" s="31">
        <v>6003.9</v>
      </c>
      <c r="G614" s="31">
        <v>4980.3999999999996</v>
      </c>
      <c r="H614" s="31">
        <v>3974.6</v>
      </c>
    </row>
    <row r="615" spans="1:9" s="59" customFormat="1" ht="15.75" customHeight="1">
      <c r="A615" s="74" t="s">
        <v>615</v>
      </c>
      <c r="B615" s="29" t="s">
        <v>301</v>
      </c>
      <c r="C615" s="29" t="s">
        <v>12</v>
      </c>
      <c r="D615" s="30" t="s">
        <v>616</v>
      </c>
      <c r="E615" s="29"/>
      <c r="F615" s="31">
        <f>F616</f>
        <v>678.4</v>
      </c>
      <c r="G615" s="31">
        <f>G616</f>
        <v>0</v>
      </c>
      <c r="H615" s="31">
        <f>H616</f>
        <v>0</v>
      </c>
    </row>
    <row r="616" spans="1:9" s="59" customFormat="1" ht="15.75" customHeight="1">
      <c r="A616" s="74" t="s">
        <v>202</v>
      </c>
      <c r="B616" s="29" t="s">
        <v>301</v>
      </c>
      <c r="C616" s="29" t="s">
        <v>12</v>
      </c>
      <c r="D616" s="30" t="s">
        <v>616</v>
      </c>
      <c r="E616" s="29" t="s">
        <v>155</v>
      </c>
      <c r="F616" s="31">
        <f>658+20.4</f>
        <v>678.4</v>
      </c>
      <c r="G616" s="31">
        <v>0</v>
      </c>
      <c r="H616" s="31">
        <v>0</v>
      </c>
    </row>
    <row r="617" spans="1:9" s="59" customFormat="1" ht="27" hidden="1" customHeight="1">
      <c r="A617" s="101" t="s">
        <v>606</v>
      </c>
      <c r="B617" s="29" t="s">
        <v>301</v>
      </c>
      <c r="C617" s="29" t="s">
        <v>12</v>
      </c>
      <c r="D617" s="30" t="s">
        <v>617</v>
      </c>
      <c r="E617" s="29"/>
      <c r="F617" s="31">
        <f t="shared" ref="F617:H618" si="71">F618</f>
        <v>0</v>
      </c>
      <c r="G617" s="31">
        <f t="shared" si="71"/>
        <v>0</v>
      </c>
      <c r="H617" s="31">
        <f t="shared" si="71"/>
        <v>0</v>
      </c>
    </row>
    <row r="618" spans="1:9" s="59" customFormat="1" ht="24.75" hidden="1" customHeight="1">
      <c r="A618" s="101" t="s">
        <v>608</v>
      </c>
      <c r="B618" s="29" t="s">
        <v>301</v>
      </c>
      <c r="C618" s="29" t="s">
        <v>12</v>
      </c>
      <c r="D618" s="30" t="s">
        <v>618</v>
      </c>
      <c r="E618" s="29"/>
      <c r="F618" s="31">
        <f t="shared" si="71"/>
        <v>0</v>
      </c>
      <c r="G618" s="31">
        <f t="shared" si="71"/>
        <v>0</v>
      </c>
      <c r="H618" s="31">
        <f t="shared" si="71"/>
        <v>0</v>
      </c>
    </row>
    <row r="619" spans="1:9" s="59" customFormat="1" ht="15.75" hidden="1" customHeight="1">
      <c r="A619" s="74" t="s">
        <v>202</v>
      </c>
      <c r="B619" s="29" t="s">
        <v>301</v>
      </c>
      <c r="C619" s="29" t="s">
        <v>12</v>
      </c>
      <c r="D619" s="30" t="s">
        <v>618</v>
      </c>
      <c r="E619" s="29" t="s">
        <v>155</v>
      </c>
      <c r="F619" s="31"/>
      <c r="G619" s="31"/>
      <c r="H619" s="31"/>
    </row>
    <row r="620" spans="1:9" s="59" customFormat="1" ht="15.75" customHeight="1">
      <c r="A620" s="39" t="s">
        <v>619</v>
      </c>
      <c r="B620" s="29" t="s">
        <v>301</v>
      </c>
      <c r="C620" s="29" t="s">
        <v>12</v>
      </c>
      <c r="D620" s="30" t="s">
        <v>620</v>
      </c>
      <c r="E620" s="29"/>
      <c r="F620" s="31">
        <f>F621+F631+F629+F625+F627</f>
        <v>19779.5</v>
      </c>
      <c r="G620" s="31">
        <f>G621+G631+G629+G625+G627</f>
        <v>19832.800000000003</v>
      </c>
      <c r="H620" s="31">
        <f>H621+H631+H629+H625+H627</f>
        <v>20929.5</v>
      </c>
    </row>
    <row r="621" spans="1:9" s="59" customFormat="1" ht="15.75" customHeight="1">
      <c r="A621" s="69" t="s">
        <v>200</v>
      </c>
      <c r="B621" s="29" t="s">
        <v>301</v>
      </c>
      <c r="C621" s="29" t="s">
        <v>12</v>
      </c>
      <c r="D621" s="30" t="s">
        <v>621</v>
      </c>
      <c r="E621" s="29"/>
      <c r="F621" s="31">
        <f>F622+F623+F624</f>
        <v>10444.299999999999</v>
      </c>
      <c r="G621" s="31">
        <f>G622+G623+G624</f>
        <v>9202.2000000000007</v>
      </c>
      <c r="H621" s="31">
        <f>H622+H623+H624</f>
        <v>7301.5999999999985</v>
      </c>
    </row>
    <row r="622" spans="1:9" s="59" customFormat="1" ht="15.75" customHeight="1">
      <c r="A622" s="39" t="s">
        <v>184</v>
      </c>
      <c r="B622" s="29" t="s">
        <v>301</v>
      </c>
      <c r="C622" s="29" t="s">
        <v>12</v>
      </c>
      <c r="D622" s="30" t="s">
        <v>621</v>
      </c>
      <c r="E622" s="29" t="s">
        <v>185</v>
      </c>
      <c r="F622" s="31">
        <f>15500.4+20-7542.5-521</f>
        <v>7456.9</v>
      </c>
      <c r="G622" s="31">
        <f>16616.4+20-10630.6</f>
        <v>6005.8000000000011</v>
      </c>
      <c r="H622" s="31">
        <f>17713.1+20-13627.9</f>
        <v>4105.1999999999989</v>
      </c>
    </row>
    <row r="623" spans="1:9" s="59" customFormat="1" ht="24" customHeight="1">
      <c r="A623" s="39" t="s">
        <v>37</v>
      </c>
      <c r="B623" s="29" t="s">
        <v>301</v>
      </c>
      <c r="C623" s="29" t="s">
        <v>12</v>
      </c>
      <c r="D623" s="30" t="s">
        <v>621</v>
      </c>
      <c r="E623" s="29" t="s">
        <v>38</v>
      </c>
      <c r="F623" s="31">
        <f>3196.4-209</f>
        <v>2987.4</v>
      </c>
      <c r="G623" s="31">
        <v>3196.4</v>
      </c>
      <c r="H623" s="31">
        <v>3196.4</v>
      </c>
    </row>
    <row r="624" spans="1:9" s="59" customFormat="1" ht="15.75" hidden="1" customHeight="1">
      <c r="A624" s="39" t="s">
        <v>41</v>
      </c>
      <c r="B624" s="29" t="s">
        <v>301</v>
      </c>
      <c r="C624" s="29" t="s">
        <v>12</v>
      </c>
      <c r="D624" s="30" t="s">
        <v>621</v>
      </c>
      <c r="E624" s="29" t="s">
        <v>42</v>
      </c>
      <c r="F624" s="31"/>
      <c r="G624" s="31"/>
      <c r="H624" s="31"/>
    </row>
    <row r="625" spans="1:10" s="59" customFormat="1" ht="24.75" customHeight="1">
      <c r="A625" s="69" t="s">
        <v>60</v>
      </c>
      <c r="B625" s="29" t="s">
        <v>301</v>
      </c>
      <c r="C625" s="29" t="s">
        <v>12</v>
      </c>
      <c r="D625" s="30" t="s">
        <v>622</v>
      </c>
      <c r="E625" s="29"/>
      <c r="F625" s="31">
        <f>F626</f>
        <v>7542.5</v>
      </c>
      <c r="G625" s="31">
        <f>G626</f>
        <v>10630.6</v>
      </c>
      <c r="H625" s="31">
        <f>H626</f>
        <v>13627.9</v>
      </c>
    </row>
    <row r="626" spans="1:10" s="59" customFormat="1" ht="15.75" customHeight="1">
      <c r="A626" s="39" t="s">
        <v>184</v>
      </c>
      <c r="B626" s="29" t="s">
        <v>301</v>
      </c>
      <c r="C626" s="29" t="s">
        <v>12</v>
      </c>
      <c r="D626" s="30" t="s">
        <v>622</v>
      </c>
      <c r="E626" s="29" t="s">
        <v>185</v>
      </c>
      <c r="F626" s="31">
        <v>7542.5</v>
      </c>
      <c r="G626" s="31">
        <f>10630.6</f>
        <v>10630.6</v>
      </c>
      <c r="H626" s="31">
        <f>13627.9</f>
        <v>13627.9</v>
      </c>
      <c r="J626" s="115"/>
    </row>
    <row r="627" spans="1:10" s="59" customFormat="1" ht="25.5" hidden="1" customHeight="1">
      <c r="A627" s="94" t="s">
        <v>623</v>
      </c>
      <c r="B627" s="29" t="s">
        <v>301</v>
      </c>
      <c r="C627" s="29" t="s">
        <v>12</v>
      </c>
      <c r="D627" s="30" t="s">
        <v>624</v>
      </c>
      <c r="E627" s="29"/>
      <c r="F627" s="68">
        <f>F628</f>
        <v>0</v>
      </c>
      <c r="G627" s="68">
        <f>G628</f>
        <v>0</v>
      </c>
      <c r="H627" s="68">
        <f>H628</f>
        <v>0</v>
      </c>
    </row>
    <row r="628" spans="1:10" s="59" customFormat="1" ht="25.5" hidden="1" customHeight="1">
      <c r="A628" s="35" t="s">
        <v>37</v>
      </c>
      <c r="B628" s="29" t="s">
        <v>301</v>
      </c>
      <c r="C628" s="29" t="s">
        <v>12</v>
      </c>
      <c r="D628" s="30" t="s">
        <v>624</v>
      </c>
      <c r="E628" s="29" t="s">
        <v>38</v>
      </c>
      <c r="F628" s="68"/>
      <c r="G628" s="68"/>
      <c r="H628" s="68"/>
    </row>
    <row r="629" spans="1:10" s="59" customFormat="1" ht="43.5" customHeight="1">
      <c r="A629" s="95" t="s">
        <v>625</v>
      </c>
      <c r="B629" s="29" t="s">
        <v>301</v>
      </c>
      <c r="C629" s="29" t="s">
        <v>12</v>
      </c>
      <c r="D629" s="30" t="s">
        <v>626</v>
      </c>
      <c r="E629" s="29"/>
      <c r="F629" s="68">
        <f>F630</f>
        <v>1792.7</v>
      </c>
      <c r="G629" s="68">
        <f>G630</f>
        <v>0</v>
      </c>
      <c r="H629" s="68">
        <f>H630</f>
        <v>0</v>
      </c>
    </row>
    <row r="630" spans="1:10" s="59" customFormat="1" ht="25.5" customHeight="1">
      <c r="A630" s="35" t="s">
        <v>37</v>
      </c>
      <c r="B630" s="29" t="s">
        <v>301</v>
      </c>
      <c r="C630" s="29" t="s">
        <v>12</v>
      </c>
      <c r="D630" s="30" t="s">
        <v>626</v>
      </c>
      <c r="E630" s="29" t="s">
        <v>38</v>
      </c>
      <c r="F630" s="31">
        <f>1372.5+42.4+340+37.8</f>
        <v>1792.7</v>
      </c>
      <c r="G630" s="68">
        <v>0</v>
      </c>
      <c r="H630" s="68">
        <v>0</v>
      </c>
    </row>
    <row r="631" spans="1:10" s="59" customFormat="1" ht="24.75" hidden="1" customHeight="1">
      <c r="A631" s="69" t="s">
        <v>627</v>
      </c>
      <c r="B631" s="29" t="s">
        <v>301</v>
      </c>
      <c r="C631" s="29" t="s">
        <v>12</v>
      </c>
      <c r="D631" s="30" t="s">
        <v>628</v>
      </c>
      <c r="E631" s="29"/>
      <c r="F631" s="31">
        <f>F632</f>
        <v>0</v>
      </c>
      <c r="G631" s="31">
        <f>G632</f>
        <v>0</v>
      </c>
      <c r="H631" s="31">
        <f>H632</f>
        <v>0</v>
      </c>
    </row>
    <row r="632" spans="1:10" s="59" customFormat="1" ht="26.25" hidden="1" customHeight="1">
      <c r="A632" s="39" t="s">
        <v>37</v>
      </c>
      <c r="B632" s="29" t="s">
        <v>301</v>
      </c>
      <c r="C632" s="29" t="s">
        <v>12</v>
      </c>
      <c r="D632" s="30" t="s">
        <v>628</v>
      </c>
      <c r="E632" s="29" t="s">
        <v>38</v>
      </c>
      <c r="F632" s="31"/>
      <c r="G632" s="31"/>
      <c r="H632" s="31"/>
    </row>
    <row r="633" spans="1:10" s="59" customFormat="1" ht="39" customHeight="1">
      <c r="A633" s="69" t="s">
        <v>194</v>
      </c>
      <c r="B633" s="29" t="s">
        <v>301</v>
      </c>
      <c r="C633" s="29" t="s">
        <v>12</v>
      </c>
      <c r="D633" s="30" t="s">
        <v>195</v>
      </c>
      <c r="E633" s="29"/>
      <c r="F633" s="31">
        <f>F634+F637+F639+F641+F643</f>
        <v>26996.399999999998</v>
      </c>
      <c r="G633" s="31">
        <f>G634+G637+G639+G641+G643</f>
        <v>25267.599999999999</v>
      </c>
      <c r="H633" s="31">
        <f>H634+H637+H639+H641+H643</f>
        <v>25267.599999999999</v>
      </c>
    </row>
    <row r="634" spans="1:10" s="59" customFormat="1" ht="15.75" customHeight="1">
      <c r="A634" s="69" t="s">
        <v>196</v>
      </c>
      <c r="B634" s="29" t="s">
        <v>301</v>
      </c>
      <c r="C634" s="29" t="s">
        <v>12</v>
      </c>
      <c r="D634" s="30" t="s">
        <v>197</v>
      </c>
      <c r="E634" s="29"/>
      <c r="F634" s="31">
        <f>F636+F635</f>
        <v>627</v>
      </c>
      <c r="G634" s="31">
        <f>G636+G635</f>
        <v>627</v>
      </c>
      <c r="H634" s="31">
        <f>H636+H635</f>
        <v>627</v>
      </c>
    </row>
    <row r="635" spans="1:10" s="59" customFormat="1" ht="25.5">
      <c r="A635" s="39" t="s">
        <v>37</v>
      </c>
      <c r="B635" s="29" t="s">
        <v>301</v>
      </c>
      <c r="C635" s="29" t="s">
        <v>12</v>
      </c>
      <c r="D635" s="30" t="s">
        <v>197</v>
      </c>
      <c r="E635" s="29" t="s">
        <v>38</v>
      </c>
      <c r="F635" s="31">
        <f>5+315</f>
        <v>320</v>
      </c>
      <c r="G635" s="31">
        <f>5+315</f>
        <v>320</v>
      </c>
      <c r="H635" s="31">
        <f>5+315</f>
        <v>320</v>
      </c>
      <c r="I635"/>
    </row>
    <row r="636" spans="1:10" s="59" customFormat="1" ht="15.75" customHeight="1">
      <c r="A636" s="69" t="s">
        <v>202</v>
      </c>
      <c r="B636" s="29" t="s">
        <v>301</v>
      </c>
      <c r="C636" s="29" t="s">
        <v>12</v>
      </c>
      <c r="D636" s="30" t="s">
        <v>197</v>
      </c>
      <c r="E636" s="29" t="s">
        <v>155</v>
      </c>
      <c r="F636" s="31">
        <v>307</v>
      </c>
      <c r="G636" s="31">
        <v>307</v>
      </c>
      <c r="H636" s="31">
        <v>307</v>
      </c>
    </row>
    <row r="637" spans="1:10" s="59" customFormat="1" ht="15.75" customHeight="1">
      <c r="A637" s="69" t="s">
        <v>200</v>
      </c>
      <c r="B637" s="29" t="s">
        <v>301</v>
      </c>
      <c r="C637" s="29" t="s">
        <v>12</v>
      </c>
      <c r="D637" s="30" t="s">
        <v>629</v>
      </c>
      <c r="E637" s="29"/>
      <c r="F637" s="31">
        <f>F638</f>
        <v>9503.8999999999978</v>
      </c>
      <c r="G637" s="31">
        <f>G638</f>
        <v>9046.4999999999982</v>
      </c>
      <c r="H637" s="31">
        <f>H638</f>
        <v>8017.2999999999993</v>
      </c>
    </row>
    <row r="638" spans="1:10" s="59" customFormat="1" ht="15.75" customHeight="1">
      <c r="A638" s="69" t="s">
        <v>202</v>
      </c>
      <c r="B638" s="29" t="s">
        <v>301</v>
      </c>
      <c r="C638" s="29" t="s">
        <v>12</v>
      </c>
      <c r="D638" s="30" t="s">
        <v>629</v>
      </c>
      <c r="E638" s="29" t="s">
        <v>155</v>
      </c>
      <c r="F638" s="31">
        <f>24640.6-14546.7+120+80+100-100-120-670</f>
        <v>9503.8999999999978</v>
      </c>
      <c r="G638" s="31">
        <f>24640.6-15594.1</f>
        <v>9046.4999999999982</v>
      </c>
      <c r="H638" s="31">
        <f>24640.6-16623.3</f>
        <v>8017.2999999999993</v>
      </c>
      <c r="I638"/>
    </row>
    <row r="639" spans="1:10" s="59" customFormat="1" ht="28.5" customHeight="1">
      <c r="A639" s="69" t="s">
        <v>60</v>
      </c>
      <c r="B639" s="29" t="s">
        <v>301</v>
      </c>
      <c r="C639" s="29" t="s">
        <v>12</v>
      </c>
      <c r="D639" s="30" t="s">
        <v>630</v>
      </c>
      <c r="E639" s="29"/>
      <c r="F639" s="31">
        <f>F640</f>
        <v>14546.7</v>
      </c>
      <c r="G639" s="31">
        <f>G640</f>
        <v>15594.1</v>
      </c>
      <c r="H639" s="31">
        <f>H640</f>
        <v>16623.3</v>
      </c>
    </row>
    <row r="640" spans="1:10" s="59" customFormat="1" ht="15.75" customHeight="1">
      <c r="A640" s="69" t="s">
        <v>202</v>
      </c>
      <c r="B640" s="29" t="s">
        <v>301</v>
      </c>
      <c r="C640" s="29" t="s">
        <v>12</v>
      </c>
      <c r="D640" s="30" t="s">
        <v>630</v>
      </c>
      <c r="E640" s="29" t="s">
        <v>155</v>
      </c>
      <c r="F640" s="121">
        <v>14546.7</v>
      </c>
      <c r="G640" s="121">
        <v>15594.1</v>
      </c>
      <c r="H640" s="121">
        <v>16623.3</v>
      </c>
    </row>
    <row r="641" spans="1:10" s="59" customFormat="1" ht="37.5" customHeight="1">
      <c r="A641" s="95" t="s">
        <v>625</v>
      </c>
      <c r="B641" s="29" t="s">
        <v>301</v>
      </c>
      <c r="C641" s="29" t="s">
        <v>12</v>
      </c>
      <c r="D641" s="30" t="s">
        <v>631</v>
      </c>
      <c r="E641" s="29"/>
      <c r="F641" s="31">
        <f>F642</f>
        <v>2318.7999999999997</v>
      </c>
      <c r="G641" s="31">
        <f>G642</f>
        <v>0</v>
      </c>
      <c r="H641" s="31">
        <f>H642</f>
        <v>0</v>
      </c>
    </row>
    <row r="642" spans="1:10" s="59" customFormat="1" ht="15.75" customHeight="1">
      <c r="A642" s="74" t="s">
        <v>202</v>
      </c>
      <c r="B642" s="29" t="s">
        <v>301</v>
      </c>
      <c r="C642" s="29" t="s">
        <v>12</v>
      </c>
      <c r="D642" s="30" t="s">
        <v>631</v>
      </c>
      <c r="E642" s="29" t="s">
        <v>155</v>
      </c>
      <c r="F642" s="31">
        <f>2249.2+69.6</f>
        <v>2318.7999999999997</v>
      </c>
      <c r="G642" s="31">
        <v>0</v>
      </c>
      <c r="H642" s="31">
        <v>0</v>
      </c>
      <c r="J642" s="87"/>
    </row>
    <row r="643" spans="1:10" s="59" customFormat="1" ht="15.75" hidden="1" customHeight="1">
      <c r="A643" s="35" t="s">
        <v>450</v>
      </c>
      <c r="B643" s="29" t="s">
        <v>301</v>
      </c>
      <c r="C643" s="29" t="s">
        <v>12</v>
      </c>
      <c r="D643" s="30" t="s">
        <v>632</v>
      </c>
      <c r="E643" s="29"/>
      <c r="F643" s="31">
        <f>F644</f>
        <v>0</v>
      </c>
      <c r="G643" s="31">
        <f>G644</f>
        <v>0</v>
      </c>
      <c r="H643" s="31">
        <f>H644</f>
        <v>0</v>
      </c>
    </row>
    <row r="644" spans="1:10" s="59" customFormat="1" ht="27.75" hidden="1" customHeight="1">
      <c r="A644" s="35" t="s">
        <v>37</v>
      </c>
      <c r="B644" s="29" t="s">
        <v>301</v>
      </c>
      <c r="C644" s="29" t="s">
        <v>12</v>
      </c>
      <c r="D644" s="30" t="s">
        <v>632</v>
      </c>
      <c r="E644" s="29" t="s">
        <v>38</v>
      </c>
      <c r="F644" s="31"/>
      <c r="G644" s="31"/>
      <c r="H644" s="31"/>
    </row>
    <row r="645" spans="1:10" s="59" customFormat="1" ht="26.25" hidden="1" customHeight="1">
      <c r="A645" s="74" t="s">
        <v>633</v>
      </c>
      <c r="B645" s="29" t="s">
        <v>301</v>
      </c>
      <c r="C645" s="29" t="s">
        <v>12</v>
      </c>
      <c r="D645" s="30" t="s">
        <v>634</v>
      </c>
      <c r="E645" s="29"/>
      <c r="F645" s="31">
        <f>F646+F648</f>
        <v>0</v>
      </c>
      <c r="G645" s="31">
        <f>G646+G648</f>
        <v>0</v>
      </c>
      <c r="H645" s="31">
        <f>H646+H648</f>
        <v>0</v>
      </c>
    </row>
    <row r="646" spans="1:10" s="59" customFormat="1" ht="39" hidden="1" customHeight="1">
      <c r="A646" s="74" t="s">
        <v>635</v>
      </c>
      <c r="B646" s="29" t="s">
        <v>301</v>
      </c>
      <c r="C646" s="29" t="s">
        <v>12</v>
      </c>
      <c r="D646" s="30" t="s">
        <v>636</v>
      </c>
      <c r="E646" s="29"/>
      <c r="F646" s="31">
        <f>F647</f>
        <v>0</v>
      </c>
      <c r="G646" s="31">
        <f>G647</f>
        <v>0</v>
      </c>
      <c r="H646" s="31">
        <f>H647</f>
        <v>0</v>
      </c>
    </row>
    <row r="647" spans="1:10" s="59" customFormat="1" ht="15.75" hidden="1" customHeight="1">
      <c r="A647" s="74" t="s">
        <v>202</v>
      </c>
      <c r="B647" s="29" t="s">
        <v>301</v>
      </c>
      <c r="C647" s="29" t="s">
        <v>12</v>
      </c>
      <c r="D647" s="30" t="s">
        <v>636</v>
      </c>
      <c r="E647" s="29" t="s">
        <v>155</v>
      </c>
      <c r="F647" s="31"/>
      <c r="G647" s="31">
        <v>0</v>
      </c>
      <c r="H647" s="31">
        <v>0</v>
      </c>
    </row>
    <row r="648" spans="1:10" s="59" customFormat="1" ht="17.25" hidden="1" customHeight="1">
      <c r="A648" s="74" t="s">
        <v>637</v>
      </c>
      <c r="B648" s="29" t="s">
        <v>301</v>
      </c>
      <c r="C648" s="29" t="s">
        <v>12</v>
      </c>
      <c r="D648" s="30" t="s">
        <v>638</v>
      </c>
      <c r="E648" s="29"/>
      <c r="F648" s="31">
        <f t="shared" ref="F648:H649" si="72">F649</f>
        <v>0</v>
      </c>
      <c r="G648" s="31">
        <f t="shared" si="72"/>
        <v>0</v>
      </c>
      <c r="H648" s="31">
        <f t="shared" si="72"/>
        <v>0</v>
      </c>
    </row>
    <row r="649" spans="1:10" s="59" customFormat="1" ht="27" hidden="1" customHeight="1">
      <c r="A649" s="74" t="s">
        <v>639</v>
      </c>
      <c r="B649" s="29" t="s">
        <v>301</v>
      </c>
      <c r="C649" s="29" t="s">
        <v>12</v>
      </c>
      <c r="D649" s="30" t="s">
        <v>640</v>
      </c>
      <c r="E649" s="29"/>
      <c r="F649" s="31">
        <f t="shared" si="72"/>
        <v>0</v>
      </c>
      <c r="G649" s="31">
        <f t="shared" si="72"/>
        <v>0</v>
      </c>
      <c r="H649" s="31">
        <f t="shared" si="72"/>
        <v>0</v>
      </c>
    </row>
    <row r="650" spans="1:10" s="59" customFormat="1" ht="15.75" hidden="1" customHeight="1">
      <c r="A650" s="74" t="s">
        <v>202</v>
      </c>
      <c r="B650" s="29" t="s">
        <v>301</v>
      </c>
      <c r="C650" s="29" t="s">
        <v>12</v>
      </c>
      <c r="D650" s="30" t="s">
        <v>640</v>
      </c>
      <c r="E650" s="29" t="s">
        <v>155</v>
      </c>
      <c r="F650" s="31"/>
      <c r="G650" s="31">
        <v>0</v>
      </c>
      <c r="H650" s="31">
        <v>0</v>
      </c>
    </row>
    <row r="651" spans="1:10" s="24" customFormat="1" ht="17.25" customHeight="1">
      <c r="A651" s="41" t="s">
        <v>641</v>
      </c>
      <c r="B651" s="22" t="s">
        <v>301</v>
      </c>
      <c r="C651" s="22" t="s">
        <v>44</v>
      </c>
      <c r="D651" s="22"/>
      <c r="E651" s="22"/>
      <c r="F651" s="62">
        <f t="shared" ref="F651:H652" si="73">F652</f>
        <v>141901</v>
      </c>
      <c r="G651" s="62">
        <f t="shared" si="73"/>
        <v>0</v>
      </c>
      <c r="H651" s="62">
        <f t="shared" si="73"/>
        <v>0</v>
      </c>
    </row>
    <row r="652" spans="1:10" s="56" customFormat="1" ht="25.5" customHeight="1">
      <c r="A652" s="38" t="s">
        <v>642</v>
      </c>
      <c r="B652" s="111" t="s">
        <v>301</v>
      </c>
      <c r="C652" s="111" t="s">
        <v>44</v>
      </c>
      <c r="D652" s="122" t="s">
        <v>193</v>
      </c>
      <c r="E652" s="28"/>
      <c r="F652" s="31">
        <f t="shared" si="73"/>
        <v>141901</v>
      </c>
      <c r="G652" s="31">
        <f t="shared" si="73"/>
        <v>0</v>
      </c>
      <c r="H652" s="31">
        <f t="shared" si="73"/>
        <v>0</v>
      </c>
    </row>
    <row r="653" spans="1:10" s="56" customFormat="1" ht="25.5" customHeight="1">
      <c r="A653" s="52" t="s">
        <v>643</v>
      </c>
      <c r="B653" s="111" t="s">
        <v>301</v>
      </c>
      <c r="C653" s="111" t="s">
        <v>44</v>
      </c>
      <c r="D653" s="30" t="s">
        <v>644</v>
      </c>
      <c r="E653" s="28"/>
      <c r="F653" s="31">
        <f>F657+F654</f>
        <v>141901</v>
      </c>
      <c r="G653" s="31">
        <f>G657+G654</f>
        <v>0</v>
      </c>
      <c r="H653" s="31">
        <f>H657+H654</f>
        <v>0</v>
      </c>
    </row>
    <row r="654" spans="1:10" s="56" customFormat="1" ht="17.25" customHeight="1">
      <c r="A654" s="74" t="s">
        <v>196</v>
      </c>
      <c r="B654" s="111" t="s">
        <v>301</v>
      </c>
      <c r="C654" s="111" t="s">
        <v>44</v>
      </c>
      <c r="D654" s="30" t="s">
        <v>645</v>
      </c>
      <c r="E654" s="29"/>
      <c r="F654" s="31">
        <f>F655+F656</f>
        <v>500</v>
      </c>
      <c r="G654" s="31">
        <f>G655+G656</f>
        <v>0</v>
      </c>
      <c r="H654" s="31">
        <f>H655+H656</f>
        <v>0</v>
      </c>
    </row>
    <row r="655" spans="1:10" s="56" customFormat="1" ht="25.5" customHeight="1">
      <c r="A655" s="35" t="s">
        <v>49</v>
      </c>
      <c r="B655" s="111" t="s">
        <v>301</v>
      </c>
      <c r="C655" s="111" t="s">
        <v>44</v>
      </c>
      <c r="D655" s="30" t="s">
        <v>645</v>
      </c>
      <c r="E655" s="29" t="s">
        <v>38</v>
      </c>
      <c r="F655" s="31">
        <v>500</v>
      </c>
      <c r="G655" s="31">
        <v>0</v>
      </c>
      <c r="H655" s="31">
        <v>0</v>
      </c>
      <c r="I655"/>
    </row>
    <row r="656" spans="1:10" s="56" customFormat="1" ht="15.75" hidden="1" customHeight="1">
      <c r="A656" s="94" t="s">
        <v>225</v>
      </c>
      <c r="B656" s="111" t="s">
        <v>301</v>
      </c>
      <c r="C656" s="111" t="s">
        <v>44</v>
      </c>
      <c r="D656" s="30" t="s">
        <v>645</v>
      </c>
      <c r="E656" s="29" t="s">
        <v>226</v>
      </c>
      <c r="F656" s="31"/>
      <c r="G656" s="31">
        <v>0</v>
      </c>
      <c r="H656" s="31">
        <v>0</v>
      </c>
    </row>
    <row r="657" spans="1:8" s="56" customFormat="1" ht="13.5" customHeight="1">
      <c r="A657" s="52" t="s">
        <v>646</v>
      </c>
      <c r="B657" s="111" t="s">
        <v>301</v>
      </c>
      <c r="C657" s="111" t="s">
        <v>44</v>
      </c>
      <c r="D657" s="30" t="s">
        <v>647</v>
      </c>
      <c r="E657" s="28"/>
      <c r="F657" s="31">
        <f>F658</f>
        <v>141401</v>
      </c>
      <c r="G657" s="31">
        <f>G658</f>
        <v>0</v>
      </c>
      <c r="H657" s="31">
        <f>H658</f>
        <v>0</v>
      </c>
    </row>
    <row r="658" spans="1:8" s="56" customFormat="1" ht="12.75" customHeight="1">
      <c r="A658" s="52" t="s">
        <v>389</v>
      </c>
      <c r="B658" s="111" t="s">
        <v>301</v>
      </c>
      <c r="C658" s="111" t="s">
        <v>44</v>
      </c>
      <c r="D658" s="30" t="s">
        <v>647</v>
      </c>
      <c r="E658" s="28" t="s">
        <v>390</v>
      </c>
      <c r="F658" s="31">
        <f>137159+4242</f>
        <v>141401</v>
      </c>
      <c r="G658" s="31">
        <v>0</v>
      </c>
      <c r="H658" s="31">
        <v>0</v>
      </c>
    </row>
    <row r="659" spans="1:8" s="24" customFormat="1" ht="15" customHeight="1">
      <c r="A659" s="118" t="s">
        <v>648</v>
      </c>
      <c r="B659" s="63" t="s">
        <v>239</v>
      </c>
      <c r="C659" s="29"/>
      <c r="D659" s="30"/>
      <c r="E659" s="63"/>
      <c r="F659" s="62">
        <f t="shared" ref="F659:H662" si="74">F660</f>
        <v>167.4</v>
      </c>
      <c r="G659" s="62">
        <f t="shared" si="74"/>
        <v>167.4</v>
      </c>
      <c r="H659" s="62">
        <f t="shared" si="74"/>
        <v>167.4</v>
      </c>
    </row>
    <row r="660" spans="1:8" s="24" customFormat="1" ht="15" customHeight="1">
      <c r="A660" s="123" t="s">
        <v>649</v>
      </c>
      <c r="B660" s="63" t="s">
        <v>239</v>
      </c>
      <c r="C660" s="63" t="s">
        <v>110</v>
      </c>
      <c r="D660" s="86"/>
      <c r="E660" s="63"/>
      <c r="F660" s="62">
        <f t="shared" si="74"/>
        <v>167.4</v>
      </c>
      <c r="G660" s="62">
        <f t="shared" si="74"/>
        <v>167.4</v>
      </c>
      <c r="H660" s="62">
        <f t="shared" si="74"/>
        <v>167.4</v>
      </c>
    </row>
    <row r="661" spans="1:8" s="32" customFormat="1" ht="14.25" customHeight="1">
      <c r="A661" s="69" t="s">
        <v>90</v>
      </c>
      <c r="B661" s="29" t="s">
        <v>239</v>
      </c>
      <c r="C661" s="29" t="s">
        <v>110</v>
      </c>
      <c r="D661" s="29" t="s">
        <v>91</v>
      </c>
      <c r="E661" s="29"/>
      <c r="F661" s="31">
        <f t="shared" si="74"/>
        <v>167.4</v>
      </c>
      <c r="G661" s="31">
        <f t="shared" si="74"/>
        <v>167.4</v>
      </c>
      <c r="H661" s="31">
        <f t="shared" si="74"/>
        <v>167.4</v>
      </c>
    </row>
    <row r="662" spans="1:8" s="32" customFormat="1" ht="75.75" customHeight="1">
      <c r="A662" s="39" t="s">
        <v>650</v>
      </c>
      <c r="B662" s="29" t="s">
        <v>239</v>
      </c>
      <c r="C662" s="29" t="s">
        <v>110</v>
      </c>
      <c r="D662" s="30" t="s">
        <v>651</v>
      </c>
      <c r="E662" s="29"/>
      <c r="F662" s="31">
        <f t="shared" si="74"/>
        <v>167.4</v>
      </c>
      <c r="G662" s="31">
        <f t="shared" si="74"/>
        <v>167.4</v>
      </c>
      <c r="H662" s="31">
        <f t="shared" si="74"/>
        <v>167.4</v>
      </c>
    </row>
    <row r="663" spans="1:8" s="32" customFormat="1" ht="23.25" customHeight="1">
      <c r="A663" s="39" t="s">
        <v>37</v>
      </c>
      <c r="B663" s="29" t="s">
        <v>239</v>
      </c>
      <c r="C663" s="29" t="s">
        <v>110</v>
      </c>
      <c r="D663" s="30" t="s">
        <v>651</v>
      </c>
      <c r="E663" s="29" t="s">
        <v>38</v>
      </c>
      <c r="F663" s="31">
        <f>167.4</f>
        <v>167.4</v>
      </c>
      <c r="G663" s="31">
        <v>167.4</v>
      </c>
      <c r="H663" s="31">
        <v>167.4</v>
      </c>
    </row>
    <row r="664" spans="1:8" s="24" customFormat="1" ht="15.75" customHeight="1">
      <c r="A664" s="37" t="s">
        <v>652</v>
      </c>
      <c r="B664" s="110">
        <v>10</v>
      </c>
      <c r="C664" s="110"/>
      <c r="D664" s="110"/>
      <c r="E664" s="110"/>
      <c r="F664" s="62">
        <f>F665+F672+F706+F713</f>
        <v>25453.4</v>
      </c>
      <c r="G664" s="62">
        <f>G665+G672+G706+G713</f>
        <v>10147.199999999999</v>
      </c>
      <c r="H664" s="62">
        <f>H665+H672+H706+H713</f>
        <v>11513.800000000001</v>
      </c>
    </row>
    <row r="665" spans="1:8" s="24" customFormat="1" ht="15" customHeight="1">
      <c r="A665" s="124" t="s">
        <v>653</v>
      </c>
      <c r="B665" s="22">
        <v>10</v>
      </c>
      <c r="C665" s="22" t="s">
        <v>12</v>
      </c>
      <c r="D665" s="110"/>
      <c r="E665" s="110"/>
      <c r="F665" s="62">
        <f>F668</f>
        <v>2856.2</v>
      </c>
      <c r="G665" s="62">
        <f>G668</f>
        <v>2856.2</v>
      </c>
      <c r="H665" s="62">
        <f>H668</f>
        <v>2856.2</v>
      </c>
    </row>
    <row r="666" spans="1:8" s="24" customFormat="1" ht="39.75" customHeight="1">
      <c r="A666" s="125" t="s">
        <v>50</v>
      </c>
      <c r="B666" s="29" t="s">
        <v>263</v>
      </c>
      <c r="C666" s="29" t="s">
        <v>12</v>
      </c>
      <c r="D666" s="122" t="s">
        <v>51</v>
      </c>
      <c r="E666" s="122"/>
      <c r="F666" s="31">
        <f t="shared" ref="F666:H668" si="75">F667</f>
        <v>2856.2</v>
      </c>
      <c r="G666" s="31">
        <f t="shared" si="75"/>
        <v>2856.2</v>
      </c>
      <c r="H666" s="31">
        <f t="shared" si="75"/>
        <v>2856.2</v>
      </c>
    </row>
    <row r="667" spans="1:8" s="24" customFormat="1" ht="31.5" customHeight="1">
      <c r="A667" s="43" t="s">
        <v>52</v>
      </c>
      <c r="B667" s="29" t="s">
        <v>263</v>
      </c>
      <c r="C667" s="29" t="s">
        <v>12</v>
      </c>
      <c r="D667" s="122" t="s">
        <v>53</v>
      </c>
      <c r="E667" s="122"/>
      <c r="F667" s="31">
        <f t="shared" si="75"/>
        <v>2856.2</v>
      </c>
      <c r="G667" s="31">
        <f t="shared" si="75"/>
        <v>2856.2</v>
      </c>
      <c r="H667" s="31">
        <f t="shared" si="75"/>
        <v>2856.2</v>
      </c>
    </row>
    <row r="668" spans="1:8" s="32" customFormat="1" ht="39" customHeight="1">
      <c r="A668" s="66" t="s">
        <v>130</v>
      </c>
      <c r="B668" s="29" t="s">
        <v>263</v>
      </c>
      <c r="C668" s="29" t="s">
        <v>12</v>
      </c>
      <c r="D668" s="29" t="s">
        <v>131</v>
      </c>
      <c r="E668" s="29"/>
      <c r="F668" s="31">
        <f t="shared" si="75"/>
        <v>2856.2</v>
      </c>
      <c r="G668" s="31">
        <f t="shared" si="75"/>
        <v>2856.2</v>
      </c>
      <c r="H668" s="31">
        <f t="shared" si="75"/>
        <v>2856.2</v>
      </c>
    </row>
    <row r="669" spans="1:8" s="32" customFormat="1" ht="12.75" customHeight="1">
      <c r="A669" s="39" t="s">
        <v>654</v>
      </c>
      <c r="B669" s="29" t="s">
        <v>263</v>
      </c>
      <c r="C669" s="29" t="s">
        <v>12</v>
      </c>
      <c r="D669" s="45" t="s">
        <v>655</v>
      </c>
      <c r="E669" s="29"/>
      <c r="F669" s="31">
        <f>F671+F670</f>
        <v>2856.2</v>
      </c>
      <c r="G669" s="31">
        <f>G671+G670</f>
        <v>2856.2</v>
      </c>
      <c r="H669" s="31">
        <f>H671+H670</f>
        <v>2856.2</v>
      </c>
    </row>
    <row r="670" spans="1:8" s="32" customFormat="1" ht="27" customHeight="1">
      <c r="A670" s="39" t="s">
        <v>37</v>
      </c>
      <c r="B670" s="29" t="s">
        <v>263</v>
      </c>
      <c r="C670" s="29" t="s">
        <v>12</v>
      </c>
      <c r="D670" s="45" t="s">
        <v>655</v>
      </c>
      <c r="E670" s="29" t="s">
        <v>38</v>
      </c>
      <c r="F670" s="31">
        <v>22</v>
      </c>
      <c r="G670" s="31">
        <v>22</v>
      </c>
      <c r="H670" s="31">
        <v>22</v>
      </c>
    </row>
    <row r="671" spans="1:8" s="32" customFormat="1" ht="12.75" customHeight="1">
      <c r="A671" s="39" t="s">
        <v>656</v>
      </c>
      <c r="B671" s="29" t="s">
        <v>263</v>
      </c>
      <c r="C671" s="29" t="s">
        <v>12</v>
      </c>
      <c r="D671" s="45" t="s">
        <v>655</v>
      </c>
      <c r="E671" s="29" t="s">
        <v>657</v>
      </c>
      <c r="F671" s="31">
        <v>2834.2</v>
      </c>
      <c r="G671" s="31">
        <v>2834.2</v>
      </c>
      <c r="H671" s="31">
        <v>2834.2</v>
      </c>
    </row>
    <row r="672" spans="1:8" s="24" customFormat="1" ht="12.75" customHeight="1">
      <c r="A672" s="126" t="s">
        <v>658</v>
      </c>
      <c r="B672" s="22" t="s">
        <v>263</v>
      </c>
      <c r="C672" s="22" t="s">
        <v>32</v>
      </c>
      <c r="D672" s="22"/>
      <c r="E672" s="22"/>
      <c r="F672" s="62">
        <f>F673+F676+F702+F686+F691+F696</f>
        <v>22152.3</v>
      </c>
      <c r="G672" s="62">
        <f>G673+G676+G702+G686+G691+G696</f>
        <v>6946.1</v>
      </c>
      <c r="H672" s="62">
        <f>H673+H676+H702+H686+H691+H696</f>
        <v>8312.7000000000007</v>
      </c>
    </row>
    <row r="673" spans="1:8" s="32" customFormat="1" ht="15.75" hidden="1" customHeight="1">
      <c r="A673" s="69" t="s">
        <v>90</v>
      </c>
      <c r="B673" s="28" t="s">
        <v>263</v>
      </c>
      <c r="C673" s="28" t="s">
        <v>32</v>
      </c>
      <c r="D673" s="28" t="s">
        <v>91</v>
      </c>
      <c r="E673" s="28"/>
      <c r="F673" s="31">
        <f t="shared" ref="F673:H674" si="76">F674</f>
        <v>0</v>
      </c>
      <c r="G673" s="31">
        <f t="shared" si="76"/>
        <v>0</v>
      </c>
      <c r="H673" s="31">
        <f t="shared" si="76"/>
        <v>0</v>
      </c>
    </row>
    <row r="674" spans="1:8" s="32" customFormat="1" ht="36.75" hidden="1" customHeight="1">
      <c r="A674" s="69" t="s">
        <v>659</v>
      </c>
      <c r="B674" s="28" t="s">
        <v>263</v>
      </c>
      <c r="C674" s="28" t="s">
        <v>32</v>
      </c>
      <c r="D674" s="28" t="s">
        <v>660</v>
      </c>
      <c r="E674" s="28"/>
      <c r="F674" s="31">
        <f t="shared" si="76"/>
        <v>0</v>
      </c>
      <c r="G674" s="31">
        <f t="shared" si="76"/>
        <v>0</v>
      </c>
      <c r="H674" s="31">
        <f t="shared" si="76"/>
        <v>0</v>
      </c>
    </row>
    <row r="675" spans="1:8" s="32" customFormat="1" ht="24" hidden="1" customHeight="1">
      <c r="A675" s="69" t="s">
        <v>582</v>
      </c>
      <c r="B675" s="28" t="s">
        <v>263</v>
      </c>
      <c r="C675" s="28" t="s">
        <v>32</v>
      </c>
      <c r="D675" s="28" t="s">
        <v>660</v>
      </c>
      <c r="E675" s="28" t="s">
        <v>40</v>
      </c>
      <c r="F675" s="31">
        <v>0</v>
      </c>
      <c r="G675" s="31">
        <v>0</v>
      </c>
      <c r="H675" s="31">
        <v>0</v>
      </c>
    </row>
    <row r="676" spans="1:8" s="32" customFormat="1" ht="39.75" customHeight="1">
      <c r="A676" s="65" t="s">
        <v>50</v>
      </c>
      <c r="B676" s="29" t="s">
        <v>263</v>
      </c>
      <c r="C676" s="29" t="s">
        <v>32</v>
      </c>
      <c r="D676" s="45" t="s">
        <v>51</v>
      </c>
      <c r="E676" s="29"/>
      <c r="F676" s="31">
        <f t="shared" ref="F676:H677" si="77">F677</f>
        <v>4933.1000000000004</v>
      </c>
      <c r="G676" s="31">
        <f t="shared" si="77"/>
        <v>2798.1</v>
      </c>
      <c r="H676" s="31">
        <f t="shared" si="77"/>
        <v>2798.1</v>
      </c>
    </row>
    <row r="677" spans="1:8" s="32" customFormat="1" ht="24.75" customHeight="1">
      <c r="A677" s="43" t="s">
        <v>52</v>
      </c>
      <c r="B677" s="29" t="s">
        <v>263</v>
      </c>
      <c r="C677" s="29" t="s">
        <v>32</v>
      </c>
      <c r="D677" s="45" t="s">
        <v>53</v>
      </c>
      <c r="E677" s="29"/>
      <c r="F677" s="31">
        <f t="shared" si="77"/>
        <v>4933.1000000000004</v>
      </c>
      <c r="G677" s="31">
        <f t="shared" si="77"/>
        <v>2798.1</v>
      </c>
      <c r="H677" s="31">
        <f t="shared" si="77"/>
        <v>2798.1</v>
      </c>
    </row>
    <row r="678" spans="1:8" s="59" customFormat="1" ht="41.25" customHeight="1">
      <c r="A678" s="66" t="s">
        <v>130</v>
      </c>
      <c r="B678" s="29" t="s">
        <v>263</v>
      </c>
      <c r="C678" s="29" t="s">
        <v>32</v>
      </c>
      <c r="D678" s="45" t="s">
        <v>131</v>
      </c>
      <c r="E678" s="29"/>
      <c r="F678" s="31">
        <f>F679+F684</f>
        <v>4933.1000000000004</v>
      </c>
      <c r="G678" s="31">
        <f>G679+G684</f>
        <v>2798.1</v>
      </c>
      <c r="H678" s="31">
        <f>H679+H684</f>
        <v>2798.1</v>
      </c>
    </row>
    <row r="679" spans="1:8" s="59" customFormat="1" ht="14.25" customHeight="1">
      <c r="A679" s="50" t="s">
        <v>661</v>
      </c>
      <c r="B679" s="29" t="s">
        <v>263</v>
      </c>
      <c r="C679" s="29" t="s">
        <v>32</v>
      </c>
      <c r="D679" s="45" t="s">
        <v>662</v>
      </c>
      <c r="E679" s="29"/>
      <c r="F679" s="31">
        <f>F682+F683+F680+F681</f>
        <v>2798.1</v>
      </c>
      <c r="G679" s="31">
        <f>G682+G683+G680+G681</f>
        <v>2798.1</v>
      </c>
      <c r="H679" s="31">
        <f>H682+H683+H680+H681</f>
        <v>2798.1</v>
      </c>
    </row>
    <row r="680" spans="1:8" s="59" customFormat="1" ht="14.25" customHeight="1">
      <c r="A680" s="127" t="s">
        <v>184</v>
      </c>
      <c r="B680" s="29" t="s">
        <v>263</v>
      </c>
      <c r="C680" s="29" t="s">
        <v>32</v>
      </c>
      <c r="D680" s="45" t="s">
        <v>662</v>
      </c>
      <c r="E680" s="29" t="s">
        <v>185</v>
      </c>
      <c r="F680" s="68">
        <v>430</v>
      </c>
      <c r="G680" s="68">
        <v>430</v>
      </c>
      <c r="H680" s="68">
        <v>430</v>
      </c>
    </row>
    <row r="681" spans="1:8" s="59" customFormat="1" ht="25.5" customHeight="1">
      <c r="A681" s="39" t="s">
        <v>37</v>
      </c>
      <c r="B681" s="29" t="s">
        <v>263</v>
      </c>
      <c r="C681" s="29" t="s">
        <v>32</v>
      </c>
      <c r="D681" s="45" t="s">
        <v>662</v>
      </c>
      <c r="E681" s="29" t="s">
        <v>38</v>
      </c>
      <c r="F681" s="31">
        <v>38</v>
      </c>
      <c r="G681" s="31">
        <v>38</v>
      </c>
      <c r="H681" s="31">
        <v>38</v>
      </c>
    </row>
    <row r="682" spans="1:8" s="59" customFormat="1" ht="24.75" customHeight="1">
      <c r="A682" s="69" t="s">
        <v>582</v>
      </c>
      <c r="B682" s="29" t="s">
        <v>263</v>
      </c>
      <c r="C682" s="29" t="s">
        <v>32</v>
      </c>
      <c r="D682" s="45" t="s">
        <v>662</v>
      </c>
      <c r="E682" s="29" t="s">
        <v>40</v>
      </c>
      <c r="F682" s="31">
        <v>1590</v>
      </c>
      <c r="G682" s="31">
        <v>1590</v>
      </c>
      <c r="H682" s="31">
        <v>1590</v>
      </c>
    </row>
    <row r="683" spans="1:8" s="59" customFormat="1" ht="17.25" customHeight="1">
      <c r="A683" s="69" t="s">
        <v>154</v>
      </c>
      <c r="B683" s="29" t="s">
        <v>263</v>
      </c>
      <c r="C683" s="29" t="s">
        <v>32</v>
      </c>
      <c r="D683" s="45" t="s">
        <v>662</v>
      </c>
      <c r="E683" s="29" t="s">
        <v>155</v>
      </c>
      <c r="F683" s="31">
        <v>740.1</v>
      </c>
      <c r="G683" s="31">
        <v>740.1</v>
      </c>
      <c r="H683" s="31">
        <v>740.1</v>
      </c>
    </row>
    <row r="684" spans="1:8" s="59" customFormat="1" ht="24.75" customHeight="1">
      <c r="A684" s="76" t="s">
        <v>663</v>
      </c>
      <c r="B684" s="29" t="s">
        <v>263</v>
      </c>
      <c r="C684" s="29" t="s">
        <v>32</v>
      </c>
      <c r="D684" s="45" t="s">
        <v>664</v>
      </c>
      <c r="E684" s="29"/>
      <c r="F684" s="31">
        <f>F685</f>
        <v>2135</v>
      </c>
      <c r="G684" s="31">
        <f>G685</f>
        <v>0</v>
      </c>
      <c r="H684" s="31">
        <f>H685</f>
        <v>0</v>
      </c>
    </row>
    <row r="685" spans="1:8" s="59" customFormat="1" ht="17.25" customHeight="1">
      <c r="A685" s="69" t="s">
        <v>665</v>
      </c>
      <c r="B685" s="29" t="s">
        <v>263</v>
      </c>
      <c r="C685" s="29" t="s">
        <v>32</v>
      </c>
      <c r="D685" s="45" t="s">
        <v>664</v>
      </c>
      <c r="E685" s="128" t="s">
        <v>657</v>
      </c>
      <c r="F685" s="31">
        <v>2135</v>
      </c>
      <c r="G685" s="31">
        <v>0</v>
      </c>
      <c r="H685" s="31">
        <v>0</v>
      </c>
    </row>
    <row r="686" spans="1:8" s="59" customFormat="1" ht="24.75" customHeight="1">
      <c r="A686" s="69" t="s">
        <v>486</v>
      </c>
      <c r="B686" s="29" t="s">
        <v>263</v>
      </c>
      <c r="C686" s="29" t="s">
        <v>32</v>
      </c>
      <c r="D686" s="30" t="s">
        <v>487</v>
      </c>
      <c r="E686" s="29"/>
      <c r="F686" s="31">
        <f t="shared" ref="F686:H689" si="78">F687</f>
        <v>1705.2</v>
      </c>
      <c r="G686" s="31">
        <f t="shared" si="78"/>
        <v>1705.2</v>
      </c>
      <c r="H686" s="31">
        <f t="shared" si="78"/>
        <v>1705.2</v>
      </c>
    </row>
    <row r="687" spans="1:8" s="59" customFormat="1" ht="24.75" customHeight="1">
      <c r="A687" s="39" t="s">
        <v>488</v>
      </c>
      <c r="B687" s="29" t="s">
        <v>263</v>
      </c>
      <c r="C687" s="29" t="s">
        <v>32</v>
      </c>
      <c r="D687" s="30" t="s">
        <v>489</v>
      </c>
      <c r="E687" s="29"/>
      <c r="F687" s="31">
        <f t="shared" si="78"/>
        <v>1705.2</v>
      </c>
      <c r="G687" s="31">
        <f t="shared" si="78"/>
        <v>1705.2</v>
      </c>
      <c r="H687" s="31">
        <f t="shared" si="78"/>
        <v>1705.2</v>
      </c>
    </row>
    <row r="688" spans="1:8" s="59" customFormat="1" ht="39" customHeight="1">
      <c r="A688" s="70" t="s">
        <v>525</v>
      </c>
      <c r="B688" s="29" t="s">
        <v>263</v>
      </c>
      <c r="C688" s="29" t="s">
        <v>32</v>
      </c>
      <c r="D688" s="30" t="s">
        <v>526</v>
      </c>
      <c r="E688" s="29"/>
      <c r="F688" s="31">
        <f t="shared" si="78"/>
        <v>1705.2</v>
      </c>
      <c r="G688" s="31">
        <f t="shared" si="78"/>
        <v>1705.2</v>
      </c>
      <c r="H688" s="31">
        <f t="shared" si="78"/>
        <v>1705.2</v>
      </c>
    </row>
    <row r="689" spans="1:9" s="59" customFormat="1" ht="50.25" customHeight="1">
      <c r="A689" s="52" t="s">
        <v>527</v>
      </c>
      <c r="B689" s="29" t="s">
        <v>263</v>
      </c>
      <c r="C689" s="29" t="s">
        <v>32</v>
      </c>
      <c r="D689" s="30" t="s">
        <v>528</v>
      </c>
      <c r="E689" s="29"/>
      <c r="F689" s="31">
        <f t="shared" si="78"/>
        <v>1705.2</v>
      </c>
      <c r="G689" s="31">
        <f t="shared" si="78"/>
        <v>1705.2</v>
      </c>
      <c r="H689" s="31">
        <f t="shared" si="78"/>
        <v>1705.2</v>
      </c>
    </row>
    <row r="690" spans="1:9" s="59" customFormat="1" ht="18" customHeight="1">
      <c r="A690" s="69" t="s">
        <v>665</v>
      </c>
      <c r="B690" s="29" t="s">
        <v>263</v>
      </c>
      <c r="C690" s="29" t="s">
        <v>32</v>
      </c>
      <c r="D690" s="30" t="s">
        <v>528</v>
      </c>
      <c r="E690" s="29" t="s">
        <v>657</v>
      </c>
      <c r="F690" s="31">
        <v>1705.2</v>
      </c>
      <c r="G690" s="31">
        <v>1705.2</v>
      </c>
      <c r="H690" s="31">
        <v>1705.2</v>
      </c>
    </row>
    <row r="691" spans="1:9" s="59" customFormat="1" ht="40.5" customHeight="1">
      <c r="A691" s="69" t="s">
        <v>429</v>
      </c>
      <c r="B691" s="29" t="s">
        <v>263</v>
      </c>
      <c r="C691" s="29" t="s">
        <v>32</v>
      </c>
      <c r="D691" s="30" t="s">
        <v>217</v>
      </c>
      <c r="E691" s="29"/>
      <c r="F691" s="31">
        <f>F692</f>
        <v>1629.4</v>
      </c>
      <c r="G691" s="31">
        <f t="shared" ref="G691:H694" si="79">G692</f>
        <v>1629.4</v>
      </c>
      <c r="H691" s="31">
        <f t="shared" si="79"/>
        <v>1629.4</v>
      </c>
    </row>
    <row r="692" spans="1:9" s="59" customFormat="1" ht="26.25" customHeight="1">
      <c r="A692" s="79" t="s">
        <v>222</v>
      </c>
      <c r="B692" s="29" t="s">
        <v>263</v>
      </c>
      <c r="C692" s="29" t="s">
        <v>32</v>
      </c>
      <c r="D692" s="30" t="s">
        <v>223</v>
      </c>
      <c r="E692" s="29"/>
      <c r="F692" s="31">
        <f>F693</f>
        <v>1629.4</v>
      </c>
      <c r="G692" s="31">
        <f t="shared" si="79"/>
        <v>1629.4</v>
      </c>
      <c r="H692" s="31">
        <f t="shared" si="79"/>
        <v>1629.4</v>
      </c>
    </row>
    <row r="693" spans="1:9" s="59" customFormat="1" ht="25.5" customHeight="1">
      <c r="A693" s="35" t="s">
        <v>359</v>
      </c>
      <c r="B693" s="29" t="s">
        <v>263</v>
      </c>
      <c r="C693" s="29" t="s">
        <v>32</v>
      </c>
      <c r="D693" s="30" t="s">
        <v>360</v>
      </c>
      <c r="E693" s="29"/>
      <c r="F693" s="31">
        <f>F694</f>
        <v>1629.4</v>
      </c>
      <c r="G693" s="31">
        <f t="shared" si="79"/>
        <v>1629.4</v>
      </c>
      <c r="H693" s="31">
        <f t="shared" si="79"/>
        <v>1629.4</v>
      </c>
    </row>
    <row r="694" spans="1:9" s="59" customFormat="1" ht="79.5" customHeight="1">
      <c r="A694" s="93" t="s">
        <v>361</v>
      </c>
      <c r="B694" s="29" t="s">
        <v>263</v>
      </c>
      <c r="C694" s="29" t="s">
        <v>32</v>
      </c>
      <c r="D694" s="30" t="s">
        <v>362</v>
      </c>
      <c r="E694" s="29"/>
      <c r="F694" s="31">
        <f>F695</f>
        <v>1629.4</v>
      </c>
      <c r="G694" s="31">
        <f t="shared" si="79"/>
        <v>1629.4</v>
      </c>
      <c r="H694" s="31">
        <f t="shared" si="79"/>
        <v>1629.4</v>
      </c>
    </row>
    <row r="695" spans="1:9" s="59" customFormat="1" ht="15.75" customHeight="1">
      <c r="A695" s="69" t="s">
        <v>665</v>
      </c>
      <c r="B695" s="29" t="s">
        <v>263</v>
      </c>
      <c r="C695" s="29" t="s">
        <v>32</v>
      </c>
      <c r="D695" s="30" t="s">
        <v>362</v>
      </c>
      <c r="E695" s="29" t="s">
        <v>657</v>
      </c>
      <c r="F695" s="31">
        <v>1629.4</v>
      </c>
      <c r="G695" s="31">
        <v>1629.4</v>
      </c>
      <c r="H695" s="31">
        <v>1629.4</v>
      </c>
    </row>
    <row r="696" spans="1:9" s="59" customFormat="1" ht="38.25" customHeight="1">
      <c r="A696" s="69" t="s">
        <v>373</v>
      </c>
      <c r="B696" s="29" t="s">
        <v>263</v>
      </c>
      <c r="C696" s="29" t="s">
        <v>32</v>
      </c>
      <c r="D696" s="30" t="s">
        <v>374</v>
      </c>
      <c r="E696" s="29"/>
      <c r="F696" s="31">
        <f>F697</f>
        <v>826.1</v>
      </c>
      <c r="G696" s="31">
        <f>G697</f>
        <v>813.4</v>
      </c>
      <c r="H696" s="31">
        <f>H697</f>
        <v>2180</v>
      </c>
    </row>
    <row r="697" spans="1:9" s="59" customFormat="1" ht="24.75" customHeight="1">
      <c r="A697" s="39" t="s">
        <v>666</v>
      </c>
      <c r="B697" s="29" t="s">
        <v>263</v>
      </c>
      <c r="C697" s="29" t="s">
        <v>32</v>
      </c>
      <c r="D697" s="30" t="s">
        <v>667</v>
      </c>
      <c r="E697" s="29"/>
      <c r="F697" s="31">
        <f>F700+F698</f>
        <v>826.1</v>
      </c>
      <c r="G697" s="31">
        <f>G700+G698</f>
        <v>813.4</v>
      </c>
      <c r="H697" s="31">
        <f>H700+H698</f>
        <v>2180</v>
      </c>
    </row>
    <row r="698" spans="1:9" s="59" customFormat="1" ht="54" customHeight="1">
      <c r="A698" s="81" t="s">
        <v>668</v>
      </c>
      <c r="B698" s="29" t="s">
        <v>263</v>
      </c>
      <c r="C698" s="29" t="s">
        <v>32</v>
      </c>
      <c r="D698" s="30" t="s">
        <v>669</v>
      </c>
      <c r="E698" s="29"/>
      <c r="F698" s="31">
        <f>F699</f>
        <v>0</v>
      </c>
      <c r="G698" s="31">
        <f>G699</f>
        <v>0</v>
      </c>
      <c r="H698" s="31">
        <f>H699</f>
        <v>1400</v>
      </c>
      <c r="I698" s="129"/>
    </row>
    <row r="699" spans="1:9" s="59" customFormat="1" ht="24.75" customHeight="1">
      <c r="A699" s="74" t="s">
        <v>582</v>
      </c>
      <c r="B699" s="29" t="s">
        <v>263</v>
      </c>
      <c r="C699" s="29" t="s">
        <v>32</v>
      </c>
      <c r="D699" s="30" t="s">
        <v>669</v>
      </c>
      <c r="E699" s="29" t="s">
        <v>40</v>
      </c>
      <c r="F699" s="31">
        <v>0</v>
      </c>
      <c r="G699" s="31">
        <v>0</v>
      </c>
      <c r="H699" s="31">
        <v>1400</v>
      </c>
    </row>
    <row r="700" spans="1:9" s="59" customFormat="1" ht="83.25" customHeight="1">
      <c r="A700" s="35" t="s">
        <v>670</v>
      </c>
      <c r="B700" s="29" t="s">
        <v>263</v>
      </c>
      <c r="C700" s="29" t="s">
        <v>32</v>
      </c>
      <c r="D700" s="30" t="s">
        <v>671</v>
      </c>
      <c r="E700" s="29"/>
      <c r="F700" s="31">
        <f>F701</f>
        <v>826.1</v>
      </c>
      <c r="G700" s="31">
        <f>G701</f>
        <v>813.4</v>
      </c>
      <c r="H700" s="31">
        <f>H701</f>
        <v>780</v>
      </c>
      <c r="I700"/>
    </row>
    <row r="701" spans="1:9" s="59" customFormat="1" ht="24.75" customHeight="1">
      <c r="A701" s="69" t="s">
        <v>582</v>
      </c>
      <c r="B701" s="29" t="s">
        <v>263</v>
      </c>
      <c r="C701" s="29" t="s">
        <v>32</v>
      </c>
      <c r="D701" s="30" t="s">
        <v>671</v>
      </c>
      <c r="E701" s="29" t="s">
        <v>40</v>
      </c>
      <c r="F701" s="31">
        <f>743.5+82.6</f>
        <v>826.1</v>
      </c>
      <c r="G701" s="68">
        <f>732.1+81.3</f>
        <v>813.4</v>
      </c>
      <c r="H701" s="68">
        <f>702+78</f>
        <v>780</v>
      </c>
    </row>
    <row r="702" spans="1:9" s="59" customFormat="1" ht="37.5" customHeight="1">
      <c r="A702" s="39" t="s">
        <v>461</v>
      </c>
      <c r="B702" s="29" t="s">
        <v>263</v>
      </c>
      <c r="C702" s="29" t="s">
        <v>32</v>
      </c>
      <c r="D702" s="30" t="s">
        <v>462</v>
      </c>
      <c r="E702" s="29"/>
      <c r="F702" s="31">
        <f t="shared" ref="F702:H704" si="80">F703</f>
        <v>13058.5</v>
      </c>
      <c r="G702" s="31">
        <f t="shared" si="80"/>
        <v>0</v>
      </c>
      <c r="H702" s="31">
        <f t="shared" si="80"/>
        <v>0</v>
      </c>
    </row>
    <row r="703" spans="1:9" s="59" customFormat="1" ht="24" customHeight="1">
      <c r="A703" s="39" t="s">
        <v>672</v>
      </c>
      <c r="B703" s="29" t="s">
        <v>263</v>
      </c>
      <c r="C703" s="29" t="s">
        <v>32</v>
      </c>
      <c r="D703" s="30" t="s">
        <v>673</v>
      </c>
      <c r="E703" s="29"/>
      <c r="F703" s="31">
        <f t="shared" si="80"/>
        <v>13058.5</v>
      </c>
      <c r="G703" s="31">
        <f t="shared" si="80"/>
        <v>0</v>
      </c>
      <c r="H703" s="31">
        <f t="shared" si="80"/>
        <v>0</v>
      </c>
    </row>
    <row r="704" spans="1:9" s="59" customFormat="1" ht="27" customHeight="1">
      <c r="A704" s="70" t="s">
        <v>674</v>
      </c>
      <c r="B704" s="29" t="s">
        <v>263</v>
      </c>
      <c r="C704" s="29" t="s">
        <v>32</v>
      </c>
      <c r="D704" s="30" t="s">
        <v>675</v>
      </c>
      <c r="E704" s="29"/>
      <c r="F704" s="31">
        <f t="shared" si="80"/>
        <v>13058.5</v>
      </c>
      <c r="G704" s="31">
        <f t="shared" si="80"/>
        <v>0</v>
      </c>
      <c r="H704" s="31">
        <f t="shared" si="80"/>
        <v>0</v>
      </c>
    </row>
    <row r="705" spans="1:9" s="59" customFormat="1" ht="24" customHeight="1">
      <c r="A705" s="69" t="s">
        <v>582</v>
      </c>
      <c r="B705" s="29" t="s">
        <v>263</v>
      </c>
      <c r="C705" s="29" t="s">
        <v>32</v>
      </c>
      <c r="D705" s="30" t="s">
        <v>675</v>
      </c>
      <c r="E705" s="29" t="s">
        <v>40</v>
      </c>
      <c r="F705" s="31">
        <f>12405.6+652.9</f>
        <v>13058.5</v>
      </c>
      <c r="G705" s="31">
        <v>0</v>
      </c>
      <c r="H705" s="31">
        <v>0</v>
      </c>
    </row>
    <row r="706" spans="1:9" s="24" customFormat="1" ht="14.25" hidden="1" customHeight="1">
      <c r="A706" s="130" t="s">
        <v>676</v>
      </c>
      <c r="B706" s="22" t="s">
        <v>263</v>
      </c>
      <c r="C706" s="22" t="s">
        <v>44</v>
      </c>
      <c r="D706" s="22"/>
      <c r="E706" s="22"/>
      <c r="F706" s="62">
        <f>F707</f>
        <v>0</v>
      </c>
      <c r="G706" s="62">
        <f>G707</f>
        <v>0</v>
      </c>
      <c r="H706" s="62">
        <f>H707</f>
        <v>0</v>
      </c>
    </row>
    <row r="707" spans="1:9" s="59" customFormat="1" ht="25.5" hidden="1" customHeight="1">
      <c r="A707" s="69" t="s">
        <v>677</v>
      </c>
      <c r="B707" s="29" t="s">
        <v>263</v>
      </c>
      <c r="C707" s="29" t="s">
        <v>44</v>
      </c>
      <c r="D707" s="30" t="s">
        <v>487</v>
      </c>
      <c r="E707" s="29"/>
      <c r="F707" s="31">
        <f t="shared" ref="F707:H709" si="81">F708</f>
        <v>0</v>
      </c>
      <c r="G707" s="31">
        <f t="shared" si="81"/>
        <v>0</v>
      </c>
      <c r="H707" s="31">
        <f t="shared" si="81"/>
        <v>0</v>
      </c>
    </row>
    <row r="708" spans="1:9" s="59" customFormat="1" ht="25.5" hidden="1" customHeight="1">
      <c r="A708" s="39" t="s">
        <v>488</v>
      </c>
      <c r="B708" s="29" t="s">
        <v>263</v>
      </c>
      <c r="C708" s="29" t="s">
        <v>44</v>
      </c>
      <c r="D708" s="30" t="s">
        <v>489</v>
      </c>
      <c r="E708" s="29"/>
      <c r="F708" s="31">
        <f t="shared" si="81"/>
        <v>0</v>
      </c>
      <c r="G708" s="31">
        <f t="shared" si="81"/>
        <v>0</v>
      </c>
      <c r="H708" s="31">
        <f t="shared" si="81"/>
        <v>0</v>
      </c>
    </row>
    <row r="709" spans="1:9" s="59" customFormat="1" ht="40.5" hidden="1" customHeight="1">
      <c r="A709" s="70" t="s">
        <v>525</v>
      </c>
      <c r="B709" s="29" t="s">
        <v>263</v>
      </c>
      <c r="C709" s="29" t="s">
        <v>44</v>
      </c>
      <c r="D709" s="30" t="s">
        <v>526</v>
      </c>
      <c r="E709" s="29"/>
      <c r="F709" s="31">
        <f t="shared" si="81"/>
        <v>0</v>
      </c>
      <c r="G709" s="31">
        <f t="shared" si="81"/>
        <v>0</v>
      </c>
      <c r="H709" s="31">
        <f t="shared" si="81"/>
        <v>0</v>
      </c>
    </row>
    <row r="710" spans="1:9" s="59" customFormat="1" ht="51.75" hidden="1" customHeight="1">
      <c r="A710" s="113" t="s">
        <v>527</v>
      </c>
      <c r="B710" s="29" t="s">
        <v>263</v>
      </c>
      <c r="C710" s="29" t="s">
        <v>44</v>
      </c>
      <c r="D710" s="30" t="s">
        <v>528</v>
      </c>
      <c r="E710" s="29"/>
      <c r="F710" s="31">
        <f>F712+F711</f>
        <v>0</v>
      </c>
      <c r="G710" s="31">
        <f>G712+G711</f>
        <v>0</v>
      </c>
      <c r="H710" s="31">
        <f>H712+H711</f>
        <v>0</v>
      </c>
    </row>
    <row r="711" spans="1:9" s="59" customFormat="1" ht="28.5" hidden="1" customHeight="1">
      <c r="A711" s="131" t="s">
        <v>37</v>
      </c>
      <c r="B711" s="29" t="s">
        <v>263</v>
      </c>
      <c r="C711" s="29" t="s">
        <v>44</v>
      </c>
      <c r="D711" s="30" t="s">
        <v>528</v>
      </c>
      <c r="E711" s="29" t="s">
        <v>38</v>
      </c>
      <c r="F711" s="31"/>
      <c r="G711" s="31"/>
      <c r="H711" s="31"/>
    </row>
    <row r="712" spans="1:9" s="59" customFormat="1" ht="25.5" hidden="1" customHeight="1">
      <c r="A712" s="69" t="s">
        <v>582</v>
      </c>
      <c r="B712" s="29" t="s">
        <v>263</v>
      </c>
      <c r="C712" s="29" t="s">
        <v>44</v>
      </c>
      <c r="D712" s="30" t="s">
        <v>528</v>
      </c>
      <c r="E712" s="29" t="s">
        <v>155</v>
      </c>
      <c r="F712" s="31"/>
      <c r="G712" s="31"/>
      <c r="H712" s="31"/>
    </row>
    <row r="713" spans="1:9" s="24" customFormat="1" ht="15" customHeight="1">
      <c r="A713" s="124" t="s">
        <v>678</v>
      </c>
      <c r="B713" s="22">
        <v>10</v>
      </c>
      <c r="C713" s="22" t="s">
        <v>95</v>
      </c>
      <c r="D713" s="22"/>
      <c r="E713" s="22"/>
      <c r="F713" s="62">
        <f t="shared" ref="F713:H714" si="82">F714</f>
        <v>444.9</v>
      </c>
      <c r="G713" s="62">
        <f t="shared" si="82"/>
        <v>344.9</v>
      </c>
      <c r="H713" s="62">
        <f t="shared" si="82"/>
        <v>344.9</v>
      </c>
    </row>
    <row r="714" spans="1:9" s="56" customFormat="1" ht="42" customHeight="1">
      <c r="A714" s="90" t="s">
        <v>50</v>
      </c>
      <c r="B714" s="28" t="s">
        <v>263</v>
      </c>
      <c r="C714" s="28" t="s">
        <v>95</v>
      </c>
      <c r="D714" s="28" t="s">
        <v>51</v>
      </c>
      <c r="E714" s="28"/>
      <c r="F714" s="31">
        <f t="shared" si="82"/>
        <v>444.9</v>
      </c>
      <c r="G714" s="31">
        <f t="shared" si="82"/>
        <v>344.9</v>
      </c>
      <c r="H714" s="31">
        <f t="shared" si="82"/>
        <v>344.9</v>
      </c>
    </row>
    <row r="715" spans="1:9" s="59" customFormat="1" ht="25.5" customHeight="1">
      <c r="A715" s="50" t="s">
        <v>52</v>
      </c>
      <c r="B715" s="29" t="s">
        <v>263</v>
      </c>
      <c r="C715" s="29" t="s">
        <v>95</v>
      </c>
      <c r="D715" s="45" t="s">
        <v>53</v>
      </c>
      <c r="E715" s="29"/>
      <c r="F715" s="31">
        <f>F717</f>
        <v>444.9</v>
      </c>
      <c r="G715" s="31">
        <f>G717</f>
        <v>344.9</v>
      </c>
      <c r="H715" s="31">
        <f>H717</f>
        <v>344.9</v>
      </c>
    </row>
    <row r="716" spans="1:9" s="59" customFormat="1" ht="39.75" customHeight="1">
      <c r="A716" s="50" t="s">
        <v>679</v>
      </c>
      <c r="B716" s="29" t="s">
        <v>263</v>
      </c>
      <c r="C716" s="29" t="s">
        <v>95</v>
      </c>
      <c r="D716" s="45" t="s">
        <v>131</v>
      </c>
      <c r="E716" s="29"/>
      <c r="F716" s="31">
        <f>F717</f>
        <v>444.9</v>
      </c>
      <c r="G716" s="31">
        <f>G717</f>
        <v>344.9</v>
      </c>
      <c r="H716" s="31">
        <f>H717</f>
        <v>344.9</v>
      </c>
    </row>
    <row r="717" spans="1:9" s="59" customFormat="1" ht="26.25" customHeight="1">
      <c r="A717" s="76" t="s">
        <v>680</v>
      </c>
      <c r="B717" s="29" t="s">
        <v>263</v>
      </c>
      <c r="C717" s="29" t="s">
        <v>95</v>
      </c>
      <c r="D717" s="45" t="s">
        <v>664</v>
      </c>
      <c r="E717" s="29"/>
      <c r="F717" s="31">
        <f>F720+F719+F718</f>
        <v>444.9</v>
      </c>
      <c r="G717" s="31">
        <f>G720+G719+G718</f>
        <v>344.9</v>
      </c>
      <c r="H717" s="31">
        <f>H720+H719+H718</f>
        <v>344.9</v>
      </c>
    </row>
    <row r="718" spans="1:9" s="59" customFormat="1" ht="29.25" customHeight="1">
      <c r="A718" s="35" t="s">
        <v>37</v>
      </c>
      <c r="B718" s="29" t="s">
        <v>263</v>
      </c>
      <c r="C718" s="29" t="s">
        <v>95</v>
      </c>
      <c r="D718" s="45" t="s">
        <v>664</v>
      </c>
      <c r="E718" s="29" t="s">
        <v>38</v>
      </c>
      <c r="F718" s="31"/>
      <c r="G718" s="31"/>
      <c r="H718" s="31"/>
    </row>
    <row r="719" spans="1:9" s="59" customFormat="1" ht="26.25" customHeight="1">
      <c r="A719" s="74" t="s">
        <v>582</v>
      </c>
      <c r="B719" s="29" t="s">
        <v>263</v>
      </c>
      <c r="C719" s="29" t="s">
        <v>95</v>
      </c>
      <c r="D719" s="45" t="s">
        <v>664</v>
      </c>
      <c r="E719" s="128" t="s">
        <v>40</v>
      </c>
      <c r="F719" s="31">
        <v>100</v>
      </c>
      <c r="G719" s="31">
        <v>0</v>
      </c>
      <c r="H719" s="31">
        <v>0</v>
      </c>
      <c r="I719"/>
    </row>
    <row r="720" spans="1:9" s="59" customFormat="1" ht="17.25" customHeight="1">
      <c r="A720" s="69" t="s">
        <v>154</v>
      </c>
      <c r="B720" s="29" t="s">
        <v>263</v>
      </c>
      <c r="C720" s="29" t="s">
        <v>95</v>
      </c>
      <c r="D720" s="45" t="s">
        <v>664</v>
      </c>
      <c r="E720" s="128" t="s">
        <v>155</v>
      </c>
      <c r="F720" s="31">
        <v>344.9</v>
      </c>
      <c r="G720" s="31">
        <v>344.9</v>
      </c>
      <c r="H720" s="31">
        <v>344.9</v>
      </c>
    </row>
    <row r="721" spans="1:11" s="24" customFormat="1" ht="12.75" customHeight="1">
      <c r="A721" s="41" t="s">
        <v>681</v>
      </c>
      <c r="B721" s="63" t="s">
        <v>117</v>
      </c>
      <c r="C721" s="63"/>
      <c r="D721" s="63"/>
      <c r="E721" s="63"/>
      <c r="F721" s="62">
        <f>F722+F739</f>
        <v>14231.6</v>
      </c>
      <c r="G721" s="62">
        <f>G722+G739</f>
        <v>14321.87</v>
      </c>
      <c r="H721" s="62">
        <f>H722+H739</f>
        <v>14321.87</v>
      </c>
    </row>
    <row r="722" spans="1:11" s="32" customFormat="1" ht="15.75" customHeight="1">
      <c r="A722" s="130" t="s">
        <v>682</v>
      </c>
      <c r="B722" s="22" t="s">
        <v>117</v>
      </c>
      <c r="C722" s="22" t="s">
        <v>12</v>
      </c>
      <c r="D722" s="22"/>
      <c r="E722" s="22"/>
      <c r="F722" s="62">
        <f t="shared" ref="F722:H723" si="83">F723</f>
        <v>14231.6</v>
      </c>
      <c r="G722" s="62">
        <f t="shared" si="83"/>
        <v>14321.87</v>
      </c>
      <c r="H722" s="62">
        <f t="shared" si="83"/>
        <v>14321.87</v>
      </c>
    </row>
    <row r="723" spans="1:11" s="59" customFormat="1" ht="26.25" customHeight="1">
      <c r="A723" s="69" t="s">
        <v>683</v>
      </c>
      <c r="B723" s="29" t="s">
        <v>117</v>
      </c>
      <c r="C723" s="29" t="s">
        <v>12</v>
      </c>
      <c r="D723" s="30" t="s">
        <v>684</v>
      </c>
      <c r="E723" s="29"/>
      <c r="F723" s="31">
        <f t="shared" si="83"/>
        <v>14231.6</v>
      </c>
      <c r="G723" s="31">
        <f t="shared" si="83"/>
        <v>14321.87</v>
      </c>
      <c r="H723" s="31">
        <f t="shared" si="83"/>
        <v>14321.87</v>
      </c>
    </row>
    <row r="724" spans="1:11" s="59" customFormat="1" ht="38.25" customHeight="1">
      <c r="A724" s="39" t="s">
        <v>685</v>
      </c>
      <c r="B724" s="29" t="s">
        <v>117</v>
      </c>
      <c r="C724" s="29" t="s">
        <v>12</v>
      </c>
      <c r="D724" s="30" t="s">
        <v>686</v>
      </c>
      <c r="E724" s="29"/>
      <c r="F724" s="31">
        <f>F725+F730+F737+F728+F735</f>
        <v>14231.6</v>
      </c>
      <c r="G724" s="31">
        <f>G725+G730+G737+G728+G735</f>
        <v>14321.87</v>
      </c>
      <c r="H724" s="31">
        <f>H725+H730+H737+H728+H735</f>
        <v>14321.87</v>
      </c>
    </row>
    <row r="725" spans="1:11" s="59" customFormat="1" ht="26.25" customHeight="1">
      <c r="A725" s="70" t="s">
        <v>182</v>
      </c>
      <c r="B725" s="29" t="s">
        <v>117</v>
      </c>
      <c r="C725" s="29" t="s">
        <v>12</v>
      </c>
      <c r="D725" s="30" t="s">
        <v>687</v>
      </c>
      <c r="E725" s="29"/>
      <c r="F725" s="31">
        <f>F726+F727</f>
        <v>3800.2000000000007</v>
      </c>
      <c r="G725" s="31">
        <f>G726+G727</f>
        <v>4600.2000000000007</v>
      </c>
      <c r="H725" s="31">
        <f>H726+H727</f>
        <v>4600.2000000000007</v>
      </c>
    </row>
    <row r="726" spans="1:11" s="59" customFormat="1" ht="14.25" customHeight="1">
      <c r="A726" s="74" t="s">
        <v>688</v>
      </c>
      <c r="B726" s="29" t="s">
        <v>117</v>
      </c>
      <c r="C726" s="29" t="s">
        <v>12</v>
      </c>
      <c r="D726" s="30" t="s">
        <v>687</v>
      </c>
      <c r="E726" s="29" t="s">
        <v>689</v>
      </c>
      <c r="F726" s="31">
        <f>13113.2+800+700-800-700-8513-800</f>
        <v>3800.2000000000007</v>
      </c>
      <c r="G726" s="31">
        <f>13113.2-8513</f>
        <v>4600.2000000000007</v>
      </c>
      <c r="H726" s="31">
        <f>13113.2-8513</f>
        <v>4600.2000000000007</v>
      </c>
      <c r="K726"/>
    </row>
    <row r="727" spans="1:11" s="59" customFormat="1" ht="80.25" hidden="1" customHeight="1">
      <c r="A727" s="132" t="s">
        <v>690</v>
      </c>
      <c r="B727" s="29" t="s">
        <v>117</v>
      </c>
      <c r="C727" s="29" t="s">
        <v>12</v>
      </c>
      <c r="D727" s="30" t="s">
        <v>687</v>
      </c>
      <c r="E727" s="29" t="s">
        <v>511</v>
      </c>
      <c r="F727" s="31">
        <v>0</v>
      </c>
      <c r="G727" s="31">
        <v>0</v>
      </c>
      <c r="H727" s="31">
        <v>0</v>
      </c>
    </row>
    <row r="728" spans="1:11" s="59" customFormat="1" ht="25.5" customHeight="1">
      <c r="A728" s="74" t="s">
        <v>60</v>
      </c>
      <c r="B728" s="29" t="s">
        <v>117</v>
      </c>
      <c r="C728" s="29" t="s">
        <v>12</v>
      </c>
      <c r="D728" s="30" t="s">
        <v>691</v>
      </c>
      <c r="E728" s="29"/>
      <c r="F728" s="31">
        <f>F729</f>
        <v>8513</v>
      </c>
      <c r="G728" s="31">
        <f>G729</f>
        <v>8513</v>
      </c>
      <c r="H728" s="31">
        <f>H729</f>
        <v>8513</v>
      </c>
    </row>
    <row r="729" spans="1:11" s="59" customFormat="1" ht="14.25" customHeight="1">
      <c r="A729" s="74" t="s">
        <v>688</v>
      </c>
      <c r="B729" s="29" t="s">
        <v>117</v>
      </c>
      <c r="C729" s="29" t="s">
        <v>12</v>
      </c>
      <c r="D729" s="30" t="s">
        <v>691</v>
      </c>
      <c r="E729" s="29" t="s">
        <v>689</v>
      </c>
      <c r="F729" s="31">
        <v>8513</v>
      </c>
      <c r="G729" s="31">
        <v>8513</v>
      </c>
      <c r="H729" s="31">
        <v>8513</v>
      </c>
    </row>
    <row r="730" spans="1:11" s="59" customFormat="1" ht="15.75" customHeight="1">
      <c r="A730" s="70" t="s">
        <v>692</v>
      </c>
      <c r="B730" s="29" t="s">
        <v>117</v>
      </c>
      <c r="C730" s="29" t="s">
        <v>12</v>
      </c>
      <c r="D730" s="30" t="s">
        <v>693</v>
      </c>
      <c r="E730" s="29"/>
      <c r="F730" s="31">
        <f>F731+F732+F734+F733</f>
        <v>529.5</v>
      </c>
      <c r="G730" s="31">
        <f>G731+G732+G734+G733</f>
        <v>542</v>
      </c>
      <c r="H730" s="31">
        <f>H731+H732+H734+H733</f>
        <v>542</v>
      </c>
    </row>
    <row r="731" spans="1:11" s="59" customFormat="1" ht="26.25" customHeight="1">
      <c r="A731" s="78" t="s">
        <v>22</v>
      </c>
      <c r="B731" s="29" t="s">
        <v>117</v>
      </c>
      <c r="C731" s="29" t="s">
        <v>12</v>
      </c>
      <c r="D731" s="30" t="s">
        <v>693</v>
      </c>
      <c r="E731" s="29" t="s">
        <v>24</v>
      </c>
      <c r="F731" s="31">
        <v>50</v>
      </c>
      <c r="G731" s="31">
        <v>60</v>
      </c>
      <c r="H731" s="31">
        <v>60</v>
      </c>
    </row>
    <row r="732" spans="1:11" s="59" customFormat="1" ht="26.25" customHeight="1">
      <c r="A732" s="39" t="s">
        <v>37</v>
      </c>
      <c r="B732" s="29" t="s">
        <v>117</v>
      </c>
      <c r="C732" s="29" t="s">
        <v>12</v>
      </c>
      <c r="D732" s="30" t="s">
        <v>693</v>
      </c>
      <c r="E732" s="29" t="s">
        <v>38</v>
      </c>
      <c r="F732" s="31">
        <v>397.5</v>
      </c>
      <c r="G732" s="31">
        <v>400</v>
      </c>
      <c r="H732" s="31">
        <v>400</v>
      </c>
    </row>
    <row r="733" spans="1:11" s="59" customFormat="1" ht="17.25" customHeight="1">
      <c r="A733" s="69" t="s">
        <v>202</v>
      </c>
      <c r="B733" s="29" t="s">
        <v>117</v>
      </c>
      <c r="C733" s="29" t="s">
        <v>12</v>
      </c>
      <c r="D733" s="30" t="s">
        <v>693</v>
      </c>
      <c r="E733" s="29" t="s">
        <v>155</v>
      </c>
      <c r="F733" s="31">
        <v>56</v>
      </c>
      <c r="G733" s="31">
        <v>56</v>
      </c>
      <c r="H733" s="31">
        <v>56</v>
      </c>
    </row>
    <row r="734" spans="1:11" s="59" customFormat="1" ht="14.25" customHeight="1">
      <c r="A734" s="74" t="s">
        <v>688</v>
      </c>
      <c r="B734" s="29" t="s">
        <v>117</v>
      </c>
      <c r="C734" s="29" t="s">
        <v>12</v>
      </c>
      <c r="D734" s="30" t="s">
        <v>693</v>
      </c>
      <c r="E734" s="29" t="s">
        <v>689</v>
      </c>
      <c r="F734" s="31">
        <v>26</v>
      </c>
      <c r="G734" s="31">
        <v>26</v>
      </c>
      <c r="H734" s="31">
        <v>26</v>
      </c>
    </row>
    <row r="735" spans="1:11" s="59" customFormat="1" ht="38.25" customHeight="1">
      <c r="A735" s="74" t="s">
        <v>694</v>
      </c>
      <c r="B735" s="29" t="s">
        <v>117</v>
      </c>
      <c r="C735" s="29" t="s">
        <v>12</v>
      </c>
      <c r="D735" s="30" t="s">
        <v>695</v>
      </c>
      <c r="E735" s="29"/>
      <c r="F735" s="31">
        <f>F736</f>
        <v>388.9</v>
      </c>
      <c r="G735" s="31">
        <f>G736</f>
        <v>0</v>
      </c>
      <c r="H735" s="31">
        <f>H736</f>
        <v>0</v>
      </c>
    </row>
    <row r="736" spans="1:11" s="59" customFormat="1" ht="26.25" customHeight="1">
      <c r="A736" s="35" t="s">
        <v>37</v>
      </c>
      <c r="B736" s="29" t="s">
        <v>117</v>
      </c>
      <c r="C736" s="29" t="s">
        <v>12</v>
      </c>
      <c r="D736" s="30" t="s">
        <v>695</v>
      </c>
      <c r="E736" s="29" t="s">
        <v>38</v>
      </c>
      <c r="F736" s="31">
        <f>350+38.9</f>
        <v>388.9</v>
      </c>
      <c r="G736" s="31">
        <v>0</v>
      </c>
      <c r="H736" s="31">
        <v>0</v>
      </c>
    </row>
    <row r="737" spans="1:8" s="59" customFormat="1" ht="42.75" customHeight="1">
      <c r="A737" s="99" t="s">
        <v>696</v>
      </c>
      <c r="B737" s="29" t="s">
        <v>117</v>
      </c>
      <c r="C737" s="29" t="s">
        <v>12</v>
      </c>
      <c r="D737" s="30" t="s">
        <v>697</v>
      </c>
      <c r="E737" s="29"/>
      <c r="F737" s="31">
        <f>F738</f>
        <v>1000</v>
      </c>
      <c r="G737" s="31">
        <f>G738</f>
        <v>666.67</v>
      </c>
      <c r="H737" s="31">
        <f>H738</f>
        <v>666.67</v>
      </c>
    </row>
    <row r="738" spans="1:8" s="59" customFormat="1" ht="25.5" customHeight="1">
      <c r="A738" s="35" t="s">
        <v>37</v>
      </c>
      <c r="B738" s="29" t="s">
        <v>117</v>
      </c>
      <c r="C738" s="29" t="s">
        <v>12</v>
      </c>
      <c r="D738" s="30" t="s">
        <v>697</v>
      </c>
      <c r="E738" s="29" t="s">
        <v>38</v>
      </c>
      <c r="F738" s="31">
        <f>900+100</f>
        <v>1000</v>
      </c>
      <c r="G738" s="31">
        <f>600+66.67</f>
        <v>666.67</v>
      </c>
      <c r="H738" s="31">
        <f>600+66.67</f>
        <v>666.67</v>
      </c>
    </row>
    <row r="739" spans="1:8" s="59" customFormat="1" ht="16.5" hidden="1" customHeight="1">
      <c r="A739" s="41" t="s">
        <v>698</v>
      </c>
      <c r="B739" s="63" t="s">
        <v>117</v>
      </c>
      <c r="C739" s="63" t="s">
        <v>89</v>
      </c>
      <c r="D739" s="86"/>
      <c r="E739" s="29"/>
      <c r="F739" s="31">
        <f>F740</f>
        <v>0</v>
      </c>
      <c r="G739" s="31">
        <f>G740</f>
        <v>0</v>
      </c>
      <c r="H739" s="31">
        <f>H740</f>
        <v>0</v>
      </c>
    </row>
    <row r="740" spans="1:8" s="59" customFormat="1" ht="26.25" hidden="1" customHeight="1">
      <c r="A740" s="90" t="s">
        <v>699</v>
      </c>
      <c r="B740" s="29" t="s">
        <v>117</v>
      </c>
      <c r="C740" s="29" t="s">
        <v>89</v>
      </c>
      <c r="D740" s="30" t="s">
        <v>684</v>
      </c>
      <c r="E740" s="29"/>
      <c r="F740" s="31">
        <f t="shared" ref="F740:H742" si="84">F741</f>
        <v>0</v>
      </c>
      <c r="G740" s="31">
        <f t="shared" si="84"/>
        <v>0</v>
      </c>
      <c r="H740" s="31">
        <f t="shared" si="84"/>
        <v>0</v>
      </c>
    </row>
    <row r="741" spans="1:8" s="59" customFormat="1" ht="40.5" hidden="1" customHeight="1">
      <c r="A741" s="39" t="s">
        <v>685</v>
      </c>
      <c r="B741" s="29" t="s">
        <v>117</v>
      </c>
      <c r="C741" s="29" t="s">
        <v>89</v>
      </c>
      <c r="D741" s="30" t="s">
        <v>686</v>
      </c>
      <c r="E741" s="29"/>
      <c r="F741" s="31">
        <f t="shared" si="84"/>
        <v>0</v>
      </c>
      <c r="G741" s="31">
        <f t="shared" si="84"/>
        <v>0</v>
      </c>
      <c r="H741" s="31">
        <f t="shared" si="84"/>
        <v>0</v>
      </c>
    </row>
    <row r="742" spans="1:8" s="59" customFormat="1" ht="17.25" hidden="1" customHeight="1">
      <c r="A742" s="94" t="s">
        <v>450</v>
      </c>
      <c r="B742" s="29" t="s">
        <v>117</v>
      </c>
      <c r="C742" s="29" t="s">
        <v>89</v>
      </c>
      <c r="D742" s="30" t="s">
        <v>700</v>
      </c>
      <c r="E742" s="29"/>
      <c r="F742" s="31">
        <f t="shared" si="84"/>
        <v>0</v>
      </c>
      <c r="G742" s="31">
        <f t="shared" si="84"/>
        <v>0</v>
      </c>
      <c r="H742" s="31">
        <f t="shared" si="84"/>
        <v>0</v>
      </c>
    </row>
    <row r="743" spans="1:8" s="59" customFormat="1" ht="27" hidden="1" customHeight="1">
      <c r="A743" s="35" t="s">
        <v>37</v>
      </c>
      <c r="B743" s="29" t="s">
        <v>117</v>
      </c>
      <c r="C743" s="29" t="s">
        <v>89</v>
      </c>
      <c r="D743" s="30" t="s">
        <v>700</v>
      </c>
      <c r="E743" s="29" t="s">
        <v>38</v>
      </c>
      <c r="F743" s="31"/>
      <c r="G743" s="31"/>
      <c r="H743" s="31"/>
    </row>
    <row r="744" spans="1:8" s="24" customFormat="1" ht="45" hidden="1" customHeight="1">
      <c r="A744" s="41" t="s">
        <v>701</v>
      </c>
      <c r="B744" s="63" t="s">
        <v>267</v>
      </c>
      <c r="C744" s="63"/>
      <c r="D744" s="86"/>
      <c r="E744" s="63"/>
      <c r="F744" s="62">
        <f>F745+F752</f>
        <v>0</v>
      </c>
      <c r="G744" s="62">
        <f>G745+G752</f>
        <v>0</v>
      </c>
      <c r="H744" s="62">
        <f>H745+H752</f>
        <v>0</v>
      </c>
    </row>
    <row r="745" spans="1:8" s="24" customFormat="1" ht="27.75" hidden="1" customHeight="1">
      <c r="A745" s="41" t="s">
        <v>702</v>
      </c>
      <c r="B745" s="63" t="s">
        <v>267</v>
      </c>
      <c r="C745" s="63" t="s">
        <v>12</v>
      </c>
      <c r="D745" s="86"/>
      <c r="E745" s="63"/>
      <c r="F745" s="62">
        <f t="shared" ref="F745:H746" si="85">F746</f>
        <v>0</v>
      </c>
      <c r="G745" s="62">
        <f t="shared" si="85"/>
        <v>0</v>
      </c>
      <c r="H745" s="62">
        <f t="shared" si="85"/>
        <v>0</v>
      </c>
    </row>
    <row r="746" spans="1:8" s="32" customFormat="1" ht="27" hidden="1" customHeight="1">
      <c r="A746" s="35" t="s">
        <v>703</v>
      </c>
      <c r="B746" s="29" t="s">
        <v>267</v>
      </c>
      <c r="C746" s="29" t="s">
        <v>12</v>
      </c>
      <c r="D746" s="30" t="s">
        <v>103</v>
      </c>
      <c r="E746" s="29"/>
      <c r="F746" s="31">
        <f t="shared" si="85"/>
        <v>0</v>
      </c>
      <c r="G746" s="31">
        <f t="shared" si="85"/>
        <v>0</v>
      </c>
      <c r="H746" s="31">
        <f t="shared" si="85"/>
        <v>0</v>
      </c>
    </row>
    <row r="747" spans="1:8" s="32" customFormat="1" ht="27" hidden="1" customHeight="1">
      <c r="A747" s="69" t="s">
        <v>704</v>
      </c>
      <c r="B747" s="29" t="s">
        <v>267</v>
      </c>
      <c r="C747" s="29" t="s">
        <v>12</v>
      </c>
      <c r="D747" s="30" t="s">
        <v>705</v>
      </c>
      <c r="E747" s="29"/>
      <c r="F747" s="31">
        <f>F748+F750</f>
        <v>0</v>
      </c>
      <c r="G747" s="31">
        <f>G748+G750</f>
        <v>0</v>
      </c>
      <c r="H747" s="31">
        <f>H748+H750</f>
        <v>0</v>
      </c>
    </row>
    <row r="748" spans="1:8" s="32" customFormat="1" ht="86.25" hidden="1" customHeight="1">
      <c r="A748" s="39" t="s">
        <v>706</v>
      </c>
      <c r="B748" s="29" t="s">
        <v>267</v>
      </c>
      <c r="C748" s="29" t="s">
        <v>12</v>
      </c>
      <c r="D748" s="30" t="s">
        <v>707</v>
      </c>
      <c r="E748" s="29"/>
      <c r="F748" s="31">
        <f>F749</f>
        <v>0</v>
      </c>
      <c r="G748" s="31">
        <f>G749</f>
        <v>0</v>
      </c>
      <c r="H748" s="31">
        <f>H749</f>
        <v>0</v>
      </c>
    </row>
    <row r="749" spans="1:8" s="32" customFormat="1" ht="12.75" hidden="1" customHeight="1">
      <c r="A749" s="39" t="s">
        <v>708</v>
      </c>
      <c r="B749" s="29" t="s">
        <v>267</v>
      </c>
      <c r="C749" s="29" t="s">
        <v>12</v>
      </c>
      <c r="D749" s="30" t="s">
        <v>707</v>
      </c>
      <c r="E749" s="29" t="s">
        <v>709</v>
      </c>
      <c r="F749" s="31"/>
      <c r="G749" s="31"/>
      <c r="H749" s="31"/>
    </row>
    <row r="750" spans="1:8" s="32" customFormat="1" ht="24.75" hidden="1" customHeight="1">
      <c r="A750" s="70" t="s">
        <v>710</v>
      </c>
      <c r="B750" s="29" t="s">
        <v>267</v>
      </c>
      <c r="C750" s="29" t="s">
        <v>12</v>
      </c>
      <c r="D750" s="30" t="s">
        <v>711</v>
      </c>
      <c r="E750" s="29"/>
      <c r="F750" s="31">
        <f>F751</f>
        <v>0</v>
      </c>
      <c r="G750" s="31">
        <f>G751</f>
        <v>0</v>
      </c>
      <c r="H750" s="31">
        <f>H751</f>
        <v>0</v>
      </c>
    </row>
    <row r="751" spans="1:8" s="32" customFormat="1" ht="12.75" hidden="1" customHeight="1">
      <c r="A751" s="39" t="s">
        <v>708</v>
      </c>
      <c r="B751" s="29" t="s">
        <v>267</v>
      </c>
      <c r="C751" s="29" t="s">
        <v>12</v>
      </c>
      <c r="D751" s="30" t="s">
        <v>711</v>
      </c>
      <c r="E751" s="29" t="s">
        <v>709</v>
      </c>
      <c r="F751" s="31"/>
      <c r="G751" s="31"/>
      <c r="H751" s="31"/>
    </row>
    <row r="752" spans="1:8" s="24" customFormat="1" ht="13.5" hidden="1" customHeight="1">
      <c r="A752" s="133" t="s">
        <v>712</v>
      </c>
      <c r="B752" s="63" t="s">
        <v>267</v>
      </c>
      <c r="C752" s="63" t="s">
        <v>32</v>
      </c>
      <c r="D752" s="86"/>
      <c r="E752" s="63"/>
      <c r="F752" s="62">
        <f>F753</f>
        <v>0</v>
      </c>
      <c r="G752" s="62">
        <f>G753</f>
        <v>0</v>
      </c>
      <c r="H752" s="62">
        <f>H753</f>
        <v>0</v>
      </c>
    </row>
    <row r="753" spans="1:9" s="59" customFormat="1" ht="24.75" hidden="1" customHeight="1">
      <c r="A753" s="35" t="s">
        <v>703</v>
      </c>
      <c r="B753" s="29" t="s">
        <v>267</v>
      </c>
      <c r="C753" s="29" t="s">
        <v>32</v>
      </c>
      <c r="D753" s="30" t="s">
        <v>103</v>
      </c>
      <c r="E753" s="29"/>
      <c r="F753" s="31">
        <f t="shared" ref="F753:H755" si="86">F754</f>
        <v>0</v>
      </c>
      <c r="G753" s="31">
        <f t="shared" si="86"/>
        <v>0</v>
      </c>
      <c r="H753" s="31">
        <f t="shared" si="86"/>
        <v>0</v>
      </c>
    </row>
    <row r="754" spans="1:9" s="59" customFormat="1" ht="26.25" hidden="1" customHeight="1">
      <c r="A754" s="60" t="s">
        <v>713</v>
      </c>
      <c r="B754" s="29" t="s">
        <v>267</v>
      </c>
      <c r="C754" s="29" t="s">
        <v>32</v>
      </c>
      <c r="D754" s="30" t="s">
        <v>714</v>
      </c>
      <c r="E754" s="29"/>
      <c r="F754" s="31">
        <f t="shared" si="86"/>
        <v>0</v>
      </c>
      <c r="G754" s="31">
        <f t="shared" si="86"/>
        <v>0</v>
      </c>
      <c r="H754" s="31">
        <f t="shared" si="86"/>
        <v>0</v>
      </c>
    </row>
    <row r="755" spans="1:9" s="59" customFormat="1" ht="24.75" hidden="1" customHeight="1">
      <c r="A755" s="60" t="s">
        <v>715</v>
      </c>
      <c r="B755" s="29" t="s">
        <v>267</v>
      </c>
      <c r="C755" s="29" t="s">
        <v>32</v>
      </c>
      <c r="D755" s="30" t="s">
        <v>716</v>
      </c>
      <c r="E755" s="29"/>
      <c r="F755" s="31">
        <f t="shared" si="86"/>
        <v>0</v>
      </c>
      <c r="G755" s="31">
        <f t="shared" si="86"/>
        <v>0</v>
      </c>
      <c r="H755" s="31">
        <f t="shared" si="86"/>
        <v>0</v>
      </c>
    </row>
    <row r="756" spans="1:9" s="59" customFormat="1" ht="15.75" hidden="1" customHeight="1">
      <c r="A756" s="35" t="s">
        <v>717</v>
      </c>
      <c r="B756" s="29" t="s">
        <v>267</v>
      </c>
      <c r="C756" s="29" t="s">
        <v>32</v>
      </c>
      <c r="D756" s="30" t="s">
        <v>716</v>
      </c>
      <c r="E756" s="29" t="s">
        <v>718</v>
      </c>
      <c r="F756" s="31"/>
      <c r="G756" s="31"/>
      <c r="H756" s="31"/>
    </row>
    <row r="757" spans="1:9" s="56" customFormat="1" ht="15.75" customHeight="1">
      <c r="A757" s="41" t="s">
        <v>719</v>
      </c>
      <c r="B757" s="63"/>
      <c r="C757" s="63"/>
      <c r="D757" s="86"/>
      <c r="E757" s="63"/>
      <c r="F757" s="62">
        <f>F12+F217+F271+F335+F433+F454+F597+F659+F664+F721+F744+F210</f>
        <v>970405.8</v>
      </c>
      <c r="G757" s="62">
        <f>G12+G217+G271+G335+G433+G454+G597+G659+G664+G721+G744+G210</f>
        <v>597071.27</v>
      </c>
      <c r="H757" s="62">
        <f>H12+H217+H271+H335+H433+H454+H597+H659+H664+H721+H744+H210</f>
        <v>596356.37000000011</v>
      </c>
    </row>
    <row r="758" spans="1:9" s="56" customFormat="1" ht="15.75" customHeight="1">
      <c r="A758" s="41" t="s">
        <v>720</v>
      </c>
      <c r="B758" s="63"/>
      <c r="C758" s="63"/>
      <c r="D758" s="86"/>
      <c r="E758" s="63"/>
      <c r="F758" s="62"/>
      <c r="G758" s="62">
        <v>8548.7000000000007</v>
      </c>
      <c r="H758" s="62">
        <v>17638.599999999999</v>
      </c>
    </row>
    <row r="759" spans="1:9" s="24" customFormat="1" ht="21" customHeight="1">
      <c r="A759" s="21" t="s">
        <v>721</v>
      </c>
      <c r="B759" s="110"/>
      <c r="C759" s="110"/>
      <c r="D759" s="110"/>
      <c r="E759" s="110"/>
      <c r="F759" s="62">
        <f>F12+F217+F271+F335+F433+F454+F597+F659+F664+F721+F744+F758+F210</f>
        <v>970405.8</v>
      </c>
      <c r="G759" s="62">
        <f>G12+G217+G271+G335+G433+G454+G597+G659+G664+G721+G744+G758+G210</f>
        <v>605619.97</v>
      </c>
      <c r="H759" s="62">
        <f>H12+H217+H271+H335+H433+H454+H597+H659+H664+H721+H744+H758+H210</f>
        <v>613994.97000000009</v>
      </c>
      <c r="I759"/>
    </row>
    <row r="761" spans="1:9">
      <c r="D761" s="11"/>
      <c r="F761" s="134"/>
      <c r="G761" s="135"/>
      <c r="H761" s="135"/>
    </row>
    <row r="762" spans="1:9">
      <c r="D762" s="11"/>
      <c r="F762" s="134"/>
      <c r="H762" s="134"/>
    </row>
    <row r="763" spans="1:9">
      <c r="D763" s="11"/>
      <c r="F763" s="134"/>
      <c r="H763" s="134"/>
    </row>
    <row r="764" spans="1:9">
      <c r="D764" s="11"/>
      <c r="F764" s="134"/>
      <c r="G764" s="134"/>
      <c r="H764" s="134"/>
    </row>
    <row r="765" spans="1:9">
      <c r="D765" s="11"/>
      <c r="F765" s="134"/>
      <c r="H765" s="134"/>
    </row>
    <row r="766" spans="1:9">
      <c r="D766" s="11"/>
      <c r="F766" s="134"/>
      <c r="H766" s="134"/>
    </row>
    <row r="767" spans="1:9">
      <c r="D767" s="11"/>
      <c r="F767" s="134"/>
      <c r="H767" s="134"/>
    </row>
    <row r="768" spans="1:9">
      <c r="A768" s="136"/>
      <c r="D768" s="11"/>
      <c r="F768" s="134"/>
      <c r="H768" s="134"/>
    </row>
    <row r="769" spans="1:12">
      <c r="A769" s="137"/>
      <c r="C769" s="143"/>
      <c r="D769" s="143"/>
      <c r="F769" s="134"/>
      <c r="H769" s="134"/>
      <c r="L769" s="134"/>
    </row>
    <row r="770" spans="1:12">
      <c r="A770" s="136"/>
      <c r="C770" s="143"/>
      <c r="D770" s="143"/>
      <c r="F770" s="134"/>
      <c r="H770" s="134"/>
    </row>
    <row r="771" spans="1:12">
      <c r="A771" s="136"/>
      <c r="C771" s="138"/>
      <c r="D771" s="138"/>
      <c r="F771" s="134"/>
      <c r="H771" s="134"/>
    </row>
    <row r="772" spans="1:12">
      <c r="D772" s="11"/>
      <c r="F772" s="134"/>
      <c r="H772" s="134"/>
    </row>
    <row r="773" spans="1:12">
      <c r="D773" s="11"/>
      <c r="E773" s="144"/>
      <c r="F773" s="144"/>
      <c r="H773" s="134"/>
    </row>
    <row r="774" spans="1:12">
      <c r="D774" s="11"/>
      <c r="F774" s="134"/>
      <c r="H774" s="134"/>
    </row>
    <row r="775" spans="1:12">
      <c r="D775" s="11"/>
      <c r="F775" s="134"/>
      <c r="H775" s="134"/>
    </row>
    <row r="776" spans="1:12">
      <c r="D776" s="11"/>
      <c r="F776" s="134"/>
      <c r="H776" s="134"/>
    </row>
    <row r="777" spans="1:12">
      <c r="D777" s="11"/>
      <c r="F777" s="134"/>
      <c r="H777" s="134"/>
    </row>
    <row r="778" spans="1:12">
      <c r="D778" s="11"/>
      <c r="F778" s="134"/>
      <c r="H778" s="134"/>
    </row>
    <row r="779" spans="1:12">
      <c r="D779" s="11"/>
      <c r="F779" s="134"/>
      <c r="H779" s="134"/>
    </row>
    <row r="780" spans="1:12">
      <c r="D780" s="11"/>
      <c r="F780" s="134"/>
      <c r="H780" s="134"/>
    </row>
    <row r="781" spans="1:12">
      <c r="D781" s="11"/>
      <c r="F781" s="134"/>
      <c r="H781" s="134"/>
    </row>
    <row r="782" spans="1:12">
      <c r="D782" s="11"/>
      <c r="F782" s="134"/>
      <c r="H782" s="134"/>
    </row>
    <row r="783" spans="1:12">
      <c r="D783" s="11"/>
      <c r="F783" s="134"/>
      <c r="H783" s="134"/>
    </row>
    <row r="784" spans="1:12">
      <c r="D784" s="11"/>
      <c r="F784" s="134"/>
      <c r="H784" s="134"/>
    </row>
    <row r="785" spans="1:8">
      <c r="D785" s="11"/>
      <c r="F785" s="134"/>
      <c r="H785" s="134"/>
    </row>
    <row r="786" spans="1:8">
      <c r="D786" s="11"/>
      <c r="F786" s="134"/>
      <c r="H786" s="134"/>
    </row>
    <row r="787" spans="1:8">
      <c r="D787" s="11"/>
      <c r="F787" s="134"/>
      <c r="H787" s="134"/>
    </row>
    <row r="788" spans="1:8">
      <c r="D788" s="11"/>
      <c r="F788" s="134"/>
      <c r="H788" s="134"/>
    </row>
    <row r="789" spans="1:8">
      <c r="D789" s="11"/>
      <c r="F789" s="134"/>
      <c r="H789" s="134"/>
    </row>
    <row r="790" spans="1:8">
      <c r="D790" s="11"/>
      <c r="F790" s="134"/>
      <c r="H790" s="134"/>
    </row>
    <row r="791" spans="1:8">
      <c r="D791" s="11"/>
      <c r="F791" s="134"/>
      <c r="H791" s="134"/>
    </row>
    <row r="792" spans="1:8">
      <c r="D792" s="11"/>
      <c r="F792" s="134"/>
      <c r="H792" s="134"/>
    </row>
    <row r="793" spans="1:8">
      <c r="D793" s="11"/>
      <c r="F793" s="134"/>
      <c r="H793" s="134"/>
    </row>
    <row r="794" spans="1:8">
      <c r="A794" s="139"/>
      <c r="B794" s="140"/>
      <c r="C794" s="140"/>
      <c r="D794" s="141"/>
      <c r="F794" s="142"/>
    </row>
    <row r="795" spans="1:8">
      <c r="F795" s="134"/>
    </row>
    <row r="796" spans="1:8">
      <c r="F796" s="134"/>
    </row>
  </sheetData>
  <sheetProtection password="C613" sheet="1" objects="1" scenarios="1" formatCells="0" formatColumns="0" formatRows="0" insertColumns="0" insertRows="0" insertHyperlinks="0" deleteColumns="0" deleteRows="0" sort="0" autoFilter="0" pivotTables="0"/>
  <mergeCells count="11">
    <mergeCell ref="C769:D769"/>
    <mergeCell ref="C770:D770"/>
    <mergeCell ref="E773:F773"/>
    <mergeCell ref="B1:E1"/>
    <mergeCell ref="A3:H3"/>
    <mergeCell ref="A5:H5"/>
    <mergeCell ref="A8:A10"/>
    <mergeCell ref="B8:B10"/>
    <mergeCell ref="C8:C10"/>
    <mergeCell ref="D8:D10"/>
    <mergeCell ref="E8:E10"/>
  </mergeCells>
  <pageMargins left="0.62992125984251968" right="0.15748031496062992" top="0.47244094488188981" bottom="0.31496062992125984" header="0.15748031496062992" footer="0.51181102362204722"/>
  <pageSetup paperSize="9" scale="73" fitToHeight="14" orientation="portrait" r:id="rId1"/>
  <headerFooter alignWithMargins="0"/>
  <rowBreaks count="1" manualBreakCount="1">
    <brk id="702" max="19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 3 Проект</vt:lpstr>
      <vt:lpstr>'Прил 3 Проект'!Область_печати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 Генаева</dc:creator>
  <cp:lastModifiedBy>Галина Генаева</cp:lastModifiedBy>
  <dcterms:created xsi:type="dcterms:W3CDTF">2023-11-20T05:20:51Z</dcterms:created>
  <dcterms:modified xsi:type="dcterms:W3CDTF">2023-11-20T05:34:06Z</dcterms:modified>
</cp:coreProperties>
</file>