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35" windowHeight="10890"/>
  </bookViews>
  <sheets>
    <sheet name="Прил 2 Проект " sheetId="1" r:id="rId1"/>
  </sheets>
  <definedNames>
    <definedName name="А" localSheetId="0">'Прил 2 Проект '!$1:$1048576</definedName>
    <definedName name="А">#REF!</definedName>
    <definedName name="_xlnm.Print_Titles" localSheetId="0">'Прил 2 Проект '!$4:$4</definedName>
    <definedName name="_xlnm.Print_Area" localSheetId="0">'Прил 2 Проект '!$A$1:$Q$170</definedName>
  </definedNames>
  <calcPr calcId="124519"/>
</workbook>
</file>

<file path=xl/calcChain.xml><?xml version="1.0" encoding="utf-8"?>
<calcChain xmlns="http://schemas.openxmlformats.org/spreadsheetml/2006/main">
  <c r="O169" i="1"/>
  <c r="M169"/>
  <c r="Q169" s="1"/>
  <c r="I169"/>
  <c r="E169"/>
  <c r="P168"/>
  <c r="N168"/>
  <c r="O168" s="1"/>
  <c r="L168"/>
  <c r="K168"/>
  <c r="K167" s="1"/>
  <c r="J168"/>
  <c r="J167" s="1"/>
  <c r="H168"/>
  <c r="H167" s="1"/>
  <c r="G168"/>
  <c r="F168"/>
  <c r="F167" s="1"/>
  <c r="D168"/>
  <c r="I168" s="1"/>
  <c r="C168"/>
  <c r="G167"/>
  <c r="C167"/>
  <c r="O166"/>
  <c r="M166"/>
  <c r="Q166" s="1"/>
  <c r="I166"/>
  <c r="E166"/>
  <c r="P165"/>
  <c r="N165"/>
  <c r="L165"/>
  <c r="M165" s="1"/>
  <c r="Q165" s="1"/>
  <c r="K165"/>
  <c r="K164" s="1"/>
  <c r="J165"/>
  <c r="J164" s="1"/>
  <c r="H165"/>
  <c r="G165"/>
  <c r="G164" s="1"/>
  <c r="F165"/>
  <c r="F164" s="1"/>
  <c r="D165"/>
  <c r="I165" s="1"/>
  <c r="C165"/>
  <c r="C164" s="1"/>
  <c r="P164"/>
  <c r="H164"/>
  <c r="O163"/>
  <c r="M163"/>
  <c r="Q163" s="1"/>
  <c r="E163"/>
  <c r="E162" s="1"/>
  <c r="C163"/>
  <c r="I163" s="1"/>
  <c r="P162"/>
  <c r="P159" s="1"/>
  <c r="N162"/>
  <c r="N159" s="1"/>
  <c r="M162"/>
  <c r="Q162" s="1"/>
  <c r="L162"/>
  <c r="K162"/>
  <c r="K159" s="1"/>
  <c r="J162"/>
  <c r="J159" s="1"/>
  <c r="H162"/>
  <c r="H159" s="1"/>
  <c r="G162"/>
  <c r="F162"/>
  <c r="F159" s="1"/>
  <c r="D162"/>
  <c r="O161"/>
  <c r="P160"/>
  <c r="N160"/>
  <c r="L160"/>
  <c r="K160"/>
  <c r="D160"/>
  <c r="L159"/>
  <c r="G159"/>
  <c r="D159"/>
  <c r="O158"/>
  <c r="M158"/>
  <c r="Q158" s="1"/>
  <c r="I158"/>
  <c r="E158"/>
  <c r="P157"/>
  <c r="N157"/>
  <c r="L157"/>
  <c r="M157" s="1"/>
  <c r="K157"/>
  <c r="J157"/>
  <c r="H157"/>
  <c r="G157"/>
  <c r="F157"/>
  <c r="D157"/>
  <c r="I157" s="1"/>
  <c r="C157"/>
  <c r="O156"/>
  <c r="M156"/>
  <c r="Q156" s="1"/>
  <c r="I156"/>
  <c r="E156"/>
  <c r="P155"/>
  <c r="Q155" s="1"/>
  <c r="N155"/>
  <c r="O155" s="1"/>
  <c r="L155"/>
  <c r="M155" s="1"/>
  <c r="K155"/>
  <c r="J155"/>
  <c r="H155"/>
  <c r="G155"/>
  <c r="F155"/>
  <c r="D155"/>
  <c r="C155"/>
  <c r="P153"/>
  <c r="N153"/>
  <c r="O153" s="1"/>
  <c r="M153"/>
  <c r="L153"/>
  <c r="K153"/>
  <c r="D153"/>
  <c r="O152"/>
  <c r="M152"/>
  <c r="Q152" s="1"/>
  <c r="I152"/>
  <c r="E152"/>
  <c r="C152"/>
  <c r="C151" s="1"/>
  <c r="P151"/>
  <c r="O151"/>
  <c r="N151"/>
  <c r="L151"/>
  <c r="K151"/>
  <c r="J151"/>
  <c r="H151"/>
  <c r="G151"/>
  <c r="F151"/>
  <c r="D151"/>
  <c r="O150"/>
  <c r="M150"/>
  <c r="Q150" s="1"/>
  <c r="I150"/>
  <c r="E150"/>
  <c r="P149"/>
  <c r="N149"/>
  <c r="O149" s="1"/>
  <c r="L149"/>
  <c r="K149"/>
  <c r="J149"/>
  <c r="H149"/>
  <c r="G149"/>
  <c r="F149"/>
  <c r="D149"/>
  <c r="C149"/>
  <c r="O148"/>
  <c r="P147"/>
  <c r="N147"/>
  <c r="O147" s="1"/>
  <c r="M147"/>
  <c r="L147"/>
  <c r="K147"/>
  <c r="D147"/>
  <c r="M146"/>
  <c r="Q146" s="1"/>
  <c r="E146"/>
  <c r="C146"/>
  <c r="I146" s="1"/>
  <c r="M145"/>
  <c r="Q145" s="1"/>
  <c r="E145"/>
  <c r="C145"/>
  <c r="I145" s="1"/>
  <c r="Q144"/>
  <c r="O144"/>
  <c r="M144"/>
  <c r="I144"/>
  <c r="E144"/>
  <c r="O143"/>
  <c r="M143"/>
  <c r="Q143" s="1"/>
  <c r="I143"/>
  <c r="E143"/>
  <c r="L142"/>
  <c r="M142" s="1"/>
  <c r="Q142" s="1"/>
  <c r="D142"/>
  <c r="E142" s="1"/>
  <c r="C142"/>
  <c r="O141"/>
  <c r="M141"/>
  <c r="Q141" s="1"/>
  <c r="I141"/>
  <c r="E141"/>
  <c r="P140"/>
  <c r="O140"/>
  <c r="N140"/>
  <c r="L140"/>
  <c r="M140" s="1"/>
  <c r="K140"/>
  <c r="I140"/>
  <c r="D140"/>
  <c r="E140" s="1"/>
  <c r="C140"/>
  <c r="C138" s="1"/>
  <c r="C137" s="1"/>
  <c r="C134" s="1"/>
  <c r="Q139"/>
  <c r="O139"/>
  <c r="M139"/>
  <c r="I139"/>
  <c r="E139"/>
  <c r="P138"/>
  <c r="N138"/>
  <c r="L138"/>
  <c r="K138"/>
  <c r="K137" s="1"/>
  <c r="K134" s="1"/>
  <c r="J138"/>
  <c r="J137" s="1"/>
  <c r="J134" s="1"/>
  <c r="H138"/>
  <c r="H137" s="1"/>
  <c r="G138"/>
  <c r="G137" s="1"/>
  <c r="G134" s="1"/>
  <c r="F138"/>
  <c r="F137" s="1"/>
  <c r="F134" s="1"/>
  <c r="D138"/>
  <c r="O136"/>
  <c r="M136"/>
  <c r="Q136" s="1"/>
  <c r="I136"/>
  <c r="E136"/>
  <c r="P135"/>
  <c r="N135"/>
  <c r="O135" s="1"/>
  <c r="L135"/>
  <c r="M135" s="1"/>
  <c r="Q135" s="1"/>
  <c r="K135"/>
  <c r="J135"/>
  <c r="H135"/>
  <c r="G135"/>
  <c r="F135"/>
  <c r="D135"/>
  <c r="I135" s="1"/>
  <c r="C135"/>
  <c r="O133"/>
  <c r="M133"/>
  <c r="Q133" s="1"/>
  <c r="I133"/>
  <c r="E133"/>
  <c r="Q132"/>
  <c r="O132"/>
  <c r="M132"/>
  <c r="I132"/>
  <c r="E132"/>
  <c r="O130"/>
  <c r="M130"/>
  <c r="Q130" s="1"/>
  <c r="I130"/>
  <c r="E130"/>
  <c r="Q129"/>
  <c r="O129"/>
  <c r="I129"/>
  <c r="E129"/>
  <c r="O128"/>
  <c r="M128"/>
  <c r="Q128" s="1"/>
  <c r="I128"/>
  <c r="E128"/>
  <c r="O127"/>
  <c r="M127"/>
  <c r="Q127" s="1"/>
  <c r="I127"/>
  <c r="E127"/>
  <c r="M126"/>
  <c r="Q126" s="1"/>
  <c r="I126"/>
  <c r="E126"/>
  <c r="O125"/>
  <c r="M125"/>
  <c r="Q125" s="1"/>
  <c r="I125"/>
  <c r="E125"/>
  <c r="O124"/>
  <c r="M124"/>
  <c r="Q124" s="1"/>
  <c r="I124"/>
  <c r="E124"/>
  <c r="O122"/>
  <c r="M122"/>
  <c r="Q122" s="1"/>
  <c r="I122"/>
  <c r="E122"/>
  <c r="Q121"/>
  <c r="I121"/>
  <c r="E121"/>
  <c r="O120"/>
  <c r="M120"/>
  <c r="Q120" s="1"/>
  <c r="I120"/>
  <c r="E120"/>
  <c r="M119"/>
  <c r="Q119" s="1"/>
  <c r="D119"/>
  <c r="E119" s="1"/>
  <c r="O118"/>
  <c r="M118"/>
  <c r="Q118" s="1"/>
  <c r="I118"/>
  <c r="E118"/>
  <c r="O117"/>
  <c r="M117"/>
  <c r="Q117" s="1"/>
  <c r="I117"/>
  <c r="E117"/>
  <c r="O116"/>
  <c r="M116"/>
  <c r="Q116" s="1"/>
  <c r="I116"/>
  <c r="E116"/>
  <c r="O115"/>
  <c r="M115"/>
  <c r="Q115" s="1"/>
  <c r="L115"/>
  <c r="I115"/>
  <c r="E115"/>
  <c r="Q114"/>
  <c r="O114"/>
  <c r="M114"/>
  <c r="I114"/>
  <c r="E114"/>
  <c r="O113"/>
  <c r="M113"/>
  <c r="Q113" s="1"/>
  <c r="I113"/>
  <c r="E113"/>
  <c r="O112"/>
  <c r="M112"/>
  <c r="Q112" s="1"/>
  <c r="I112"/>
  <c r="E112"/>
  <c r="O111"/>
  <c r="M111"/>
  <c r="Q111" s="1"/>
  <c r="I111"/>
  <c r="E111"/>
  <c r="O110"/>
  <c r="M110"/>
  <c r="Q110" s="1"/>
  <c r="I110"/>
  <c r="E110"/>
  <c r="O109"/>
  <c r="M109"/>
  <c r="Q109" s="1"/>
  <c r="I109"/>
  <c r="E109"/>
  <c r="P108"/>
  <c r="O108"/>
  <c r="N108"/>
  <c r="L108"/>
  <c r="K108"/>
  <c r="K107" s="1"/>
  <c r="J108"/>
  <c r="H108"/>
  <c r="H107" s="1"/>
  <c r="G108"/>
  <c r="G107" s="1"/>
  <c r="F108"/>
  <c r="F107" s="1"/>
  <c r="F74" s="1"/>
  <c r="D108"/>
  <c r="I108" s="1"/>
  <c r="C108"/>
  <c r="C107" s="1"/>
  <c r="P107"/>
  <c r="N107"/>
  <c r="J107"/>
  <c r="O106"/>
  <c r="N106"/>
  <c r="K106"/>
  <c r="K105" s="1"/>
  <c r="P105"/>
  <c r="N105"/>
  <c r="L105"/>
  <c r="O105" s="1"/>
  <c r="D105"/>
  <c r="O104"/>
  <c r="M104"/>
  <c r="Q104" s="1"/>
  <c r="E104"/>
  <c r="C104"/>
  <c r="C103" s="1"/>
  <c r="P103"/>
  <c r="N103"/>
  <c r="L103"/>
  <c r="K103"/>
  <c r="J103"/>
  <c r="H103"/>
  <c r="G103"/>
  <c r="F103"/>
  <c r="D103"/>
  <c r="I103" s="1"/>
  <c r="K102"/>
  <c r="K101" s="1"/>
  <c r="P101"/>
  <c r="N101"/>
  <c r="O100"/>
  <c r="L100"/>
  <c r="M100" s="1"/>
  <c r="Q100" s="1"/>
  <c r="K100"/>
  <c r="I100"/>
  <c r="D100"/>
  <c r="E100" s="1"/>
  <c r="P99"/>
  <c r="O99"/>
  <c r="N99"/>
  <c r="L99"/>
  <c r="K99"/>
  <c r="J99"/>
  <c r="H99"/>
  <c r="G99"/>
  <c r="F99"/>
  <c r="D99"/>
  <c r="I99" s="1"/>
  <c r="C99"/>
  <c r="O98"/>
  <c r="P97"/>
  <c r="N97"/>
  <c r="O97" s="1"/>
  <c r="M97"/>
  <c r="L97"/>
  <c r="K97"/>
  <c r="D97"/>
  <c r="P95"/>
  <c r="N95"/>
  <c r="K95"/>
  <c r="Q94"/>
  <c r="O94"/>
  <c r="M94"/>
  <c r="I94"/>
  <c r="E94"/>
  <c r="C94"/>
  <c r="P93"/>
  <c r="P74" s="1"/>
  <c r="N93"/>
  <c r="O93" s="1"/>
  <c r="L93"/>
  <c r="K93"/>
  <c r="J93"/>
  <c r="H93"/>
  <c r="G93"/>
  <c r="F93"/>
  <c r="D93"/>
  <c r="C93"/>
  <c r="L92"/>
  <c r="M92" s="1"/>
  <c r="Q92" s="1"/>
  <c r="G92"/>
  <c r="E92"/>
  <c r="C92"/>
  <c r="I92" s="1"/>
  <c r="P91"/>
  <c r="N91"/>
  <c r="K91"/>
  <c r="J91"/>
  <c r="H91"/>
  <c r="G91"/>
  <c r="F91"/>
  <c r="D91"/>
  <c r="L90"/>
  <c r="O90" s="1"/>
  <c r="I90"/>
  <c r="E90"/>
  <c r="P89"/>
  <c r="Q89" s="1"/>
  <c r="N89"/>
  <c r="O89" s="1"/>
  <c r="L89"/>
  <c r="M89" s="1"/>
  <c r="K89"/>
  <c r="J89"/>
  <c r="H89"/>
  <c r="G89"/>
  <c r="F89"/>
  <c r="D89"/>
  <c r="C89"/>
  <c r="O88"/>
  <c r="J88"/>
  <c r="M88" s="1"/>
  <c r="Q88" s="1"/>
  <c r="F88"/>
  <c r="E88"/>
  <c r="C88"/>
  <c r="I88" s="1"/>
  <c r="P87"/>
  <c r="N87"/>
  <c r="L87"/>
  <c r="K87"/>
  <c r="J87"/>
  <c r="H87"/>
  <c r="G87"/>
  <c r="F87"/>
  <c r="D87"/>
  <c r="O86"/>
  <c r="M86"/>
  <c r="Q86" s="1"/>
  <c r="I86"/>
  <c r="E86"/>
  <c r="P85"/>
  <c r="N85"/>
  <c r="L85"/>
  <c r="M85" s="1"/>
  <c r="K85"/>
  <c r="J85"/>
  <c r="H85"/>
  <c r="G85"/>
  <c r="F85"/>
  <c r="D85"/>
  <c r="I85" s="1"/>
  <c r="C85"/>
  <c r="O83"/>
  <c r="N83"/>
  <c r="L83"/>
  <c r="K83"/>
  <c r="D83"/>
  <c r="O82"/>
  <c r="J82"/>
  <c r="M82" s="1"/>
  <c r="Q82" s="1"/>
  <c r="E82"/>
  <c r="C82"/>
  <c r="I82" s="1"/>
  <c r="P81"/>
  <c r="N81"/>
  <c r="O81" s="1"/>
  <c r="L81"/>
  <c r="K81"/>
  <c r="H81"/>
  <c r="G81"/>
  <c r="F81"/>
  <c r="D81"/>
  <c r="P79"/>
  <c r="O79"/>
  <c r="N79"/>
  <c r="L79"/>
  <c r="K79"/>
  <c r="D79"/>
  <c r="O78"/>
  <c r="J78"/>
  <c r="M78" s="1"/>
  <c r="Q78" s="1"/>
  <c r="E78"/>
  <c r="C78"/>
  <c r="I78" s="1"/>
  <c r="P77"/>
  <c r="N77"/>
  <c r="O77" s="1"/>
  <c r="L77"/>
  <c r="K77"/>
  <c r="H77"/>
  <c r="G77"/>
  <c r="F77"/>
  <c r="D77"/>
  <c r="I77" s="1"/>
  <c r="C77"/>
  <c r="O76"/>
  <c r="M76"/>
  <c r="Q76" s="1"/>
  <c r="I76"/>
  <c r="E76"/>
  <c r="P75"/>
  <c r="O75"/>
  <c r="N75"/>
  <c r="M75"/>
  <c r="Q75" s="1"/>
  <c r="L75"/>
  <c r="K75"/>
  <c r="J75"/>
  <c r="H75"/>
  <c r="G75"/>
  <c r="F75"/>
  <c r="E75"/>
  <c r="D75"/>
  <c r="C75"/>
  <c r="I75" s="1"/>
  <c r="O73"/>
  <c r="M73"/>
  <c r="Q73" s="1"/>
  <c r="E73"/>
  <c r="C73"/>
  <c r="I73" s="1"/>
  <c r="P72"/>
  <c r="N72"/>
  <c r="O72" s="1"/>
  <c r="L72"/>
  <c r="M72" s="1"/>
  <c r="Q72" s="1"/>
  <c r="K72"/>
  <c r="J72"/>
  <c r="H72"/>
  <c r="G72"/>
  <c r="F72"/>
  <c r="D72"/>
  <c r="O71"/>
  <c r="P70"/>
  <c r="N70"/>
  <c r="O70" s="1"/>
  <c r="L70"/>
  <c r="K70"/>
  <c r="D70"/>
  <c r="O69"/>
  <c r="M69"/>
  <c r="Q69" s="1"/>
  <c r="I69"/>
  <c r="E69"/>
  <c r="P68"/>
  <c r="N68"/>
  <c r="L68"/>
  <c r="K68"/>
  <c r="J68"/>
  <c r="J67" s="1"/>
  <c r="H68"/>
  <c r="G68"/>
  <c r="F68"/>
  <c r="F67" s="1"/>
  <c r="D68"/>
  <c r="I68" s="1"/>
  <c r="C68"/>
  <c r="K67"/>
  <c r="G67"/>
  <c r="P63"/>
  <c r="O63"/>
  <c r="N63"/>
  <c r="K63"/>
  <c r="P61"/>
  <c r="O61"/>
  <c r="O60" s="1"/>
  <c r="O59" s="1"/>
  <c r="N61"/>
  <c r="K61"/>
  <c r="P60"/>
  <c r="N60"/>
  <c r="M60"/>
  <c r="K60"/>
  <c r="I60"/>
  <c r="E60"/>
  <c r="M59"/>
  <c r="Q59" s="1"/>
  <c r="I59"/>
  <c r="E59"/>
  <c r="P58"/>
  <c r="O58"/>
  <c r="N58"/>
  <c r="M58"/>
  <c r="Q58" s="1"/>
  <c r="K58"/>
  <c r="I58"/>
  <c r="E58"/>
  <c r="P57"/>
  <c r="N57"/>
  <c r="O57" s="1"/>
  <c r="L57"/>
  <c r="M57" s="1"/>
  <c r="Q57" s="1"/>
  <c r="K57"/>
  <c r="K56" s="1"/>
  <c r="J57"/>
  <c r="J56" s="1"/>
  <c r="H57"/>
  <c r="G57"/>
  <c r="G56" s="1"/>
  <c r="F57"/>
  <c r="F56" s="1"/>
  <c r="D57"/>
  <c r="I57" s="1"/>
  <c r="C57"/>
  <c r="C56" s="1"/>
  <c r="P56"/>
  <c r="L56"/>
  <c r="H56"/>
  <c r="D56"/>
  <c r="I56" s="1"/>
  <c r="Q55"/>
  <c r="N55"/>
  <c r="O55" s="1"/>
  <c r="M55"/>
  <c r="K55"/>
  <c r="I55"/>
  <c r="E55"/>
  <c r="P54"/>
  <c r="L54"/>
  <c r="M54" s="1"/>
  <c r="K54"/>
  <c r="K53" s="1"/>
  <c r="K52" s="1"/>
  <c r="J54"/>
  <c r="J53" s="1"/>
  <c r="H54"/>
  <c r="H53" s="1"/>
  <c r="G54"/>
  <c r="F54"/>
  <c r="F53" s="1"/>
  <c r="D54"/>
  <c r="C54"/>
  <c r="C53" s="1"/>
  <c r="C52" s="1"/>
  <c r="G53"/>
  <c r="G52" s="1"/>
  <c r="P51"/>
  <c r="Q51" s="1"/>
  <c r="O51"/>
  <c r="N51"/>
  <c r="N50" s="1"/>
  <c r="L51"/>
  <c r="K51"/>
  <c r="K50" s="1"/>
  <c r="K49" s="1"/>
  <c r="I51"/>
  <c r="E51"/>
  <c r="L50"/>
  <c r="M50" s="1"/>
  <c r="J50"/>
  <c r="H50"/>
  <c r="G50"/>
  <c r="G49" s="1"/>
  <c r="F50"/>
  <c r="D50"/>
  <c r="I50" s="1"/>
  <c r="C50"/>
  <c r="C49" s="1"/>
  <c r="J49"/>
  <c r="H49"/>
  <c r="H45" s="1"/>
  <c r="F49"/>
  <c r="D49"/>
  <c r="I49" s="1"/>
  <c r="Q48"/>
  <c r="I48"/>
  <c r="E48"/>
  <c r="P47"/>
  <c r="N47"/>
  <c r="L47"/>
  <c r="M47" s="1"/>
  <c r="K47"/>
  <c r="J47"/>
  <c r="H47"/>
  <c r="G47"/>
  <c r="F47"/>
  <c r="D47"/>
  <c r="I47" s="1"/>
  <c r="C47"/>
  <c r="P46"/>
  <c r="Q46" s="1"/>
  <c r="N46"/>
  <c r="O46" s="1"/>
  <c r="L46"/>
  <c r="M46" s="1"/>
  <c r="K46"/>
  <c r="J46"/>
  <c r="H46"/>
  <c r="G46"/>
  <c r="F46"/>
  <c r="D46"/>
  <c r="C46"/>
  <c r="C45" s="1"/>
  <c r="J45"/>
  <c r="F45"/>
  <c r="O44"/>
  <c r="M44"/>
  <c r="Q44" s="1"/>
  <c r="I44"/>
  <c r="E44"/>
  <c r="P43"/>
  <c r="N43"/>
  <c r="O43" s="1"/>
  <c r="L43"/>
  <c r="K43"/>
  <c r="J43"/>
  <c r="H43"/>
  <c r="G43"/>
  <c r="F43"/>
  <c r="D43"/>
  <c r="C43"/>
  <c r="O42"/>
  <c r="M42"/>
  <c r="Q42" s="1"/>
  <c r="I42"/>
  <c r="E42"/>
  <c r="C42"/>
  <c r="C41" s="1"/>
  <c r="C40" s="1"/>
  <c r="P41"/>
  <c r="O41"/>
  <c r="N41"/>
  <c r="L41"/>
  <c r="K41"/>
  <c r="K40" s="1"/>
  <c r="J41"/>
  <c r="J40" s="1"/>
  <c r="H41"/>
  <c r="G41"/>
  <c r="G40" s="1"/>
  <c r="F41"/>
  <c r="D41"/>
  <c r="P40"/>
  <c r="N40"/>
  <c r="L40"/>
  <c r="H40"/>
  <c r="F40"/>
  <c r="D40"/>
  <c r="L39"/>
  <c r="O39" s="1"/>
  <c r="D39"/>
  <c r="E39" s="1"/>
  <c r="P38"/>
  <c r="N38"/>
  <c r="L38"/>
  <c r="K38"/>
  <c r="J38"/>
  <c r="H38"/>
  <c r="G38"/>
  <c r="F38"/>
  <c r="D38"/>
  <c r="I38" s="1"/>
  <c r="C38"/>
  <c r="L37"/>
  <c r="M37" s="1"/>
  <c r="Q37" s="1"/>
  <c r="D37"/>
  <c r="E37" s="1"/>
  <c r="C37"/>
  <c r="P36"/>
  <c r="N36"/>
  <c r="K36"/>
  <c r="K35" s="1"/>
  <c r="J36"/>
  <c r="J35" s="1"/>
  <c r="H36"/>
  <c r="G36"/>
  <c r="G35" s="1"/>
  <c r="F36"/>
  <c r="C36"/>
  <c r="C35" s="1"/>
  <c r="N35"/>
  <c r="F35"/>
  <c r="Q34"/>
  <c r="O34"/>
  <c r="M34"/>
  <c r="I34"/>
  <c r="E34"/>
  <c r="P33"/>
  <c r="N33"/>
  <c r="L33"/>
  <c r="M33" s="1"/>
  <c r="K33"/>
  <c r="J33"/>
  <c r="H33"/>
  <c r="G33"/>
  <c r="F33"/>
  <c r="F32" s="1"/>
  <c r="D33"/>
  <c r="C33"/>
  <c r="Q31"/>
  <c r="O31"/>
  <c r="M31"/>
  <c r="I31"/>
  <c r="E31"/>
  <c r="P30"/>
  <c r="N30"/>
  <c r="L30"/>
  <c r="M30" s="1"/>
  <c r="Q30" s="1"/>
  <c r="K30"/>
  <c r="J30"/>
  <c r="H30"/>
  <c r="G30"/>
  <c r="F30"/>
  <c r="D30"/>
  <c r="I30" s="1"/>
  <c r="C30"/>
  <c r="P29"/>
  <c r="N29"/>
  <c r="L29"/>
  <c r="M29" s="1"/>
  <c r="K29"/>
  <c r="J29"/>
  <c r="H29"/>
  <c r="G29"/>
  <c r="F29"/>
  <c r="D29"/>
  <c r="C29"/>
  <c r="O28"/>
  <c r="O27"/>
  <c r="P26"/>
  <c r="N26"/>
  <c r="N23" s="1"/>
  <c r="M26"/>
  <c r="L26"/>
  <c r="K26"/>
  <c r="D26"/>
  <c r="P25"/>
  <c r="O25"/>
  <c r="N25"/>
  <c r="K25"/>
  <c r="P24"/>
  <c r="P23" s="1"/>
  <c r="O24"/>
  <c r="N24"/>
  <c r="L24"/>
  <c r="K24"/>
  <c r="D24"/>
  <c r="D23" s="1"/>
  <c r="M23"/>
  <c r="K23"/>
  <c r="Q22"/>
  <c r="O22"/>
  <c r="M22"/>
  <c r="I22"/>
  <c r="E22"/>
  <c r="P21"/>
  <c r="N21"/>
  <c r="L21"/>
  <c r="M21" s="1"/>
  <c r="K21"/>
  <c r="J21"/>
  <c r="H21"/>
  <c r="G21"/>
  <c r="F21"/>
  <c r="D21"/>
  <c r="C21"/>
  <c r="L20"/>
  <c r="O20" s="1"/>
  <c r="I20"/>
  <c r="D20"/>
  <c r="E20" s="1"/>
  <c r="C20"/>
  <c r="P19"/>
  <c r="N19"/>
  <c r="K19"/>
  <c r="J19"/>
  <c r="H19"/>
  <c r="G19"/>
  <c r="F19"/>
  <c r="C19"/>
  <c r="Q18"/>
  <c r="O18"/>
  <c r="M18"/>
  <c r="I18"/>
  <c r="E18"/>
  <c r="P17"/>
  <c r="N17"/>
  <c r="L17"/>
  <c r="M17" s="1"/>
  <c r="Q17" s="1"/>
  <c r="K17"/>
  <c r="J17"/>
  <c r="H17"/>
  <c r="G17"/>
  <c r="F17"/>
  <c r="D17"/>
  <c r="I17" s="1"/>
  <c r="C17"/>
  <c r="O16"/>
  <c r="M16"/>
  <c r="Q16" s="1"/>
  <c r="E16"/>
  <c r="C16"/>
  <c r="C15" s="1"/>
  <c r="P15"/>
  <c r="N15"/>
  <c r="O15" s="1"/>
  <c r="L15"/>
  <c r="M15" s="1"/>
  <c r="K15"/>
  <c r="J15"/>
  <c r="H15"/>
  <c r="G15"/>
  <c r="F15"/>
  <c r="D15"/>
  <c r="I15" s="1"/>
  <c r="Q14"/>
  <c r="O14"/>
  <c r="M14"/>
  <c r="K14"/>
  <c r="K13" s="1"/>
  <c r="K12" s="1"/>
  <c r="K11" s="1"/>
  <c r="I14"/>
  <c r="E14"/>
  <c r="C14"/>
  <c r="C13" s="1"/>
  <c r="C12" s="1"/>
  <c r="P13"/>
  <c r="Q13" s="1"/>
  <c r="N13"/>
  <c r="O13" s="1"/>
  <c r="L13"/>
  <c r="M13" s="1"/>
  <c r="J13"/>
  <c r="H13"/>
  <c r="H12" s="1"/>
  <c r="H11" s="1"/>
  <c r="G13"/>
  <c r="F13"/>
  <c r="F12" s="1"/>
  <c r="F11" s="1"/>
  <c r="D13"/>
  <c r="I13" s="1"/>
  <c r="G12"/>
  <c r="G11" s="1"/>
  <c r="Q10"/>
  <c r="O10"/>
  <c r="M10"/>
  <c r="I10"/>
  <c r="E10"/>
  <c r="P9"/>
  <c r="N9"/>
  <c r="L9"/>
  <c r="M9" s="1"/>
  <c r="K9"/>
  <c r="J9"/>
  <c r="H9"/>
  <c r="G9"/>
  <c r="F9"/>
  <c r="D9"/>
  <c r="I9" s="1"/>
  <c r="C9"/>
  <c r="Q8"/>
  <c r="O8"/>
  <c r="M8"/>
  <c r="K8"/>
  <c r="C8"/>
  <c r="D8" s="1"/>
  <c r="P7"/>
  <c r="N7"/>
  <c r="N6" s="1"/>
  <c r="L7"/>
  <c r="M7" s="1"/>
  <c r="Q7" s="1"/>
  <c r="K7"/>
  <c r="K6" s="1"/>
  <c r="D7"/>
  <c r="D6" s="1"/>
  <c r="I6" s="1"/>
  <c r="P6"/>
  <c r="J6"/>
  <c r="H6"/>
  <c r="G6"/>
  <c r="F6"/>
  <c r="C6"/>
  <c r="O50" l="1"/>
  <c r="N49"/>
  <c r="L6"/>
  <c r="M6" s="1"/>
  <c r="I7"/>
  <c r="M40"/>
  <c r="F52"/>
  <c r="I138"/>
  <c r="I151"/>
  <c r="I41"/>
  <c r="E7"/>
  <c r="O9"/>
  <c r="J12"/>
  <c r="J11" s="1"/>
  <c r="C11"/>
  <c r="O17"/>
  <c r="I21"/>
  <c r="Q21"/>
  <c r="I29"/>
  <c r="Q29"/>
  <c r="O30"/>
  <c r="I33"/>
  <c r="J32"/>
  <c r="Q33"/>
  <c r="H35"/>
  <c r="O38"/>
  <c r="M43"/>
  <c r="D45"/>
  <c r="I45" s="1"/>
  <c r="I46"/>
  <c r="P50"/>
  <c r="I54"/>
  <c r="J52"/>
  <c r="Q54"/>
  <c r="N56"/>
  <c r="O56" s="1"/>
  <c r="E57"/>
  <c r="Q60"/>
  <c r="H67"/>
  <c r="O68"/>
  <c r="C72"/>
  <c r="C67" s="1"/>
  <c r="E81"/>
  <c r="O87"/>
  <c r="I89"/>
  <c r="M93"/>
  <c r="O103"/>
  <c r="I104"/>
  <c r="H74"/>
  <c r="E135"/>
  <c r="H134"/>
  <c r="O138"/>
  <c r="M149"/>
  <c r="I155"/>
  <c r="D164"/>
  <c r="I164" s="1"/>
  <c r="M168"/>
  <c r="Q15"/>
  <c r="E17"/>
  <c r="O21"/>
  <c r="L23"/>
  <c r="O23" s="1"/>
  <c r="O26"/>
  <c r="O29"/>
  <c r="E30"/>
  <c r="H32"/>
  <c r="O33"/>
  <c r="G32"/>
  <c r="L36"/>
  <c r="O37"/>
  <c r="M38"/>
  <c r="I39"/>
  <c r="Q40"/>
  <c r="M41"/>
  <c r="Q47"/>
  <c r="L49"/>
  <c r="M49" s="1"/>
  <c r="H52"/>
  <c r="N54"/>
  <c r="O54" s="1"/>
  <c r="M56"/>
  <c r="M68"/>
  <c r="M67" s="1"/>
  <c r="N74"/>
  <c r="Q85"/>
  <c r="M87"/>
  <c r="M99"/>
  <c r="M103"/>
  <c r="G74"/>
  <c r="G66" s="1"/>
  <c r="G65" s="1"/>
  <c r="M108"/>
  <c r="M138"/>
  <c r="Q138" s="1"/>
  <c r="Q149"/>
  <c r="M151"/>
  <c r="O157"/>
  <c r="O165"/>
  <c r="K32"/>
  <c r="O40"/>
  <c r="I43"/>
  <c r="O47"/>
  <c r="E72"/>
  <c r="E77"/>
  <c r="C81"/>
  <c r="I81" s="1"/>
  <c r="O85"/>
  <c r="I93"/>
  <c r="I119"/>
  <c r="I142"/>
  <c r="I149"/>
  <c r="O160"/>
  <c r="O159"/>
  <c r="L164"/>
  <c r="M164" s="1"/>
  <c r="Q164" s="1"/>
  <c r="E165"/>
  <c r="O6"/>
  <c r="Q9"/>
  <c r="F5"/>
  <c r="C32"/>
  <c r="C5" s="1"/>
  <c r="Q38"/>
  <c r="I40"/>
  <c r="K45"/>
  <c r="K5" s="1"/>
  <c r="Q56"/>
  <c r="Q68"/>
  <c r="Q87"/>
  <c r="Q103"/>
  <c r="J5"/>
  <c r="H66"/>
  <c r="H65" s="1"/>
  <c r="Q157"/>
  <c r="E8"/>
  <c r="I8"/>
  <c r="Q93"/>
  <c r="H5"/>
  <c r="Q6"/>
  <c r="Q41"/>
  <c r="Q43"/>
  <c r="G45"/>
  <c r="G5" s="1"/>
  <c r="G170" s="1"/>
  <c r="Q99"/>
  <c r="K74"/>
  <c r="K66" s="1"/>
  <c r="K65" s="1"/>
  <c r="Q108"/>
  <c r="F66"/>
  <c r="F65" s="1"/>
  <c r="Q140"/>
  <c r="Q151"/>
  <c r="Q168"/>
  <c r="E6"/>
  <c r="O7"/>
  <c r="I16"/>
  <c r="M20"/>
  <c r="Q20" s="1"/>
  <c r="L35"/>
  <c r="M35" s="1"/>
  <c r="P35"/>
  <c r="Q35" s="1"/>
  <c r="I37"/>
  <c r="M39"/>
  <c r="Q39" s="1"/>
  <c r="E41"/>
  <c r="E46"/>
  <c r="E50"/>
  <c r="E89"/>
  <c r="M90"/>
  <c r="Q90" s="1"/>
  <c r="L91"/>
  <c r="M91" s="1"/>
  <c r="Q91" s="1"/>
  <c r="O92"/>
  <c r="O91" s="1"/>
  <c r="E93"/>
  <c r="E99"/>
  <c r="D107"/>
  <c r="L107"/>
  <c r="E108"/>
  <c r="E149"/>
  <c r="E151"/>
  <c r="E155"/>
  <c r="E157"/>
  <c r="E159"/>
  <c r="M159"/>
  <c r="Q159" s="1"/>
  <c r="C162"/>
  <c r="O162"/>
  <c r="N164"/>
  <c r="O164" s="1"/>
  <c r="D12"/>
  <c r="L12"/>
  <c r="P12"/>
  <c r="E13"/>
  <c r="E29"/>
  <c r="N32"/>
  <c r="D36"/>
  <c r="E38"/>
  <c r="E47"/>
  <c r="N53"/>
  <c r="E56"/>
  <c r="D67"/>
  <c r="L67"/>
  <c r="P67"/>
  <c r="Q67" s="1"/>
  <c r="E68"/>
  <c r="J77"/>
  <c r="M77" s="1"/>
  <c r="Q77" s="1"/>
  <c r="J81"/>
  <c r="C87"/>
  <c r="C91"/>
  <c r="I91" s="1"/>
  <c r="E103"/>
  <c r="N137"/>
  <c r="E164"/>
  <c r="N167"/>
  <c r="E9"/>
  <c r="N12"/>
  <c r="E15"/>
  <c r="D19"/>
  <c r="L19"/>
  <c r="E21"/>
  <c r="L32"/>
  <c r="M32" s="1"/>
  <c r="E33"/>
  <c r="E40"/>
  <c r="E43"/>
  <c r="E45"/>
  <c r="E49"/>
  <c r="D53"/>
  <c r="L53"/>
  <c r="P53"/>
  <c r="E54"/>
  <c r="N67"/>
  <c r="O67" s="1"/>
  <c r="E85"/>
  <c r="E87"/>
  <c r="E91"/>
  <c r="D137"/>
  <c r="L137"/>
  <c r="P137"/>
  <c r="E138"/>
  <c r="D167"/>
  <c r="L167"/>
  <c r="M167" s="1"/>
  <c r="P167"/>
  <c r="E168"/>
  <c r="Q50" l="1"/>
  <c r="P49"/>
  <c r="C74"/>
  <c r="O35"/>
  <c r="I72"/>
  <c r="M36"/>
  <c r="Q36" s="1"/>
  <c r="O36"/>
  <c r="O49"/>
  <c r="N45"/>
  <c r="H170"/>
  <c r="L45"/>
  <c r="M45" s="1"/>
  <c r="I167"/>
  <c r="E167"/>
  <c r="I53"/>
  <c r="E53"/>
  <c r="D52"/>
  <c r="M137"/>
  <c r="M134" s="1"/>
  <c r="L134"/>
  <c r="M53"/>
  <c r="L52"/>
  <c r="M52" s="1"/>
  <c r="O12"/>
  <c r="N11"/>
  <c r="O137"/>
  <c r="N134"/>
  <c r="M81"/>
  <c r="Q81" s="1"/>
  <c r="J74"/>
  <c r="J66" s="1"/>
  <c r="J65" s="1"/>
  <c r="I12"/>
  <c r="E12"/>
  <c r="D11"/>
  <c r="I107"/>
  <c r="E107"/>
  <c r="D74"/>
  <c r="K170"/>
  <c r="I87"/>
  <c r="F170"/>
  <c r="I137"/>
  <c r="E137"/>
  <c r="D134"/>
  <c r="O53"/>
  <c r="N52"/>
  <c r="O52" s="1"/>
  <c r="M12"/>
  <c r="Q12" s="1"/>
  <c r="L11"/>
  <c r="M11" s="1"/>
  <c r="I162"/>
  <c r="C159"/>
  <c r="I159" s="1"/>
  <c r="M107"/>
  <c r="L74"/>
  <c r="L66" s="1"/>
  <c r="O32"/>
  <c r="J170"/>
  <c r="N5"/>
  <c r="I36"/>
  <c r="E36"/>
  <c r="D35"/>
  <c r="I19"/>
  <c r="E19"/>
  <c r="P11"/>
  <c r="Q11" s="1"/>
  <c r="Q137"/>
  <c r="P134"/>
  <c r="Q53"/>
  <c r="P52"/>
  <c r="Q52" s="1"/>
  <c r="M19"/>
  <c r="Q19" s="1"/>
  <c r="O19"/>
  <c r="I67"/>
  <c r="E67"/>
  <c r="O167"/>
  <c r="Q167"/>
  <c r="P32"/>
  <c r="O107"/>
  <c r="O74" s="1"/>
  <c r="O45" l="1"/>
  <c r="Q49"/>
  <c r="P45"/>
  <c r="Q45" s="1"/>
  <c r="M5"/>
  <c r="M66"/>
  <c r="L65"/>
  <c r="M65" s="1"/>
  <c r="I134"/>
  <c r="E134"/>
  <c r="O11"/>
  <c r="I35"/>
  <c r="E35"/>
  <c r="D32"/>
  <c r="C66"/>
  <c r="C65" s="1"/>
  <c r="C170" s="1"/>
  <c r="Q134"/>
  <c r="P66"/>
  <c r="I74"/>
  <c r="E74"/>
  <c r="D66"/>
  <c r="O134"/>
  <c r="N66"/>
  <c r="I52"/>
  <c r="E52"/>
  <c r="L5"/>
  <c r="L170" s="1"/>
  <c r="M170" s="1"/>
  <c r="Q32"/>
  <c r="P5"/>
  <c r="M74"/>
  <c r="Q74" s="1"/>
  <c r="Q107"/>
  <c r="I11"/>
  <c r="E11"/>
  <c r="Q66" l="1"/>
  <c r="P65"/>
  <c r="Q65" s="1"/>
  <c r="O66"/>
  <c r="N65"/>
  <c r="O5"/>
  <c r="Q5"/>
  <c r="P170"/>
  <c r="I66"/>
  <c r="E66"/>
  <c r="D65"/>
  <c r="I32"/>
  <c r="E32"/>
  <c r="D5"/>
  <c r="I5" l="1"/>
  <c r="E5"/>
  <c r="D170"/>
  <c r="I65"/>
  <c r="E65"/>
  <c r="Q170"/>
  <c r="O65"/>
  <c r="N170"/>
  <c r="O170" l="1"/>
  <c r="I170"/>
  <c r="E170"/>
</calcChain>
</file>

<file path=xl/sharedStrings.xml><?xml version="1.0" encoding="utf-8"?>
<sst xmlns="http://schemas.openxmlformats.org/spreadsheetml/2006/main" count="351" uniqueCount="309">
  <si>
    <t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Представительного Собрания Нюксенского муниципального округа Вологодской области от ХХ.ХХ.2023 года №  ХХ  "О бюджете Нюксенского муниципального округа Вологодской области на 2024 год и плановый период 2025 и 2026 годов"</t>
  </si>
  <si>
    <t xml:space="preserve"> Объем поступлений доходов Нюксенского муниципального округа на 2024 год и на плановый период 2025 и 2026 годов</t>
  </si>
  <si>
    <t>(тыс.рублей)</t>
  </si>
  <si>
    <t>Код бюджетной классификации РФ</t>
  </si>
  <si>
    <t>Наименование групп, подгрупп и статей доходов</t>
  </si>
  <si>
    <t xml:space="preserve"> 2022 год</t>
  </si>
  <si>
    <t xml:space="preserve"> 2023 год</t>
  </si>
  <si>
    <t>отклонение</t>
  </si>
  <si>
    <t xml:space="preserve"> 2024 год</t>
  </si>
  <si>
    <t>2024 год</t>
  </si>
  <si>
    <t xml:space="preserve"> 2025 год</t>
  </si>
  <si>
    <t>Отклонение</t>
  </si>
  <si>
    <t xml:space="preserve"> 2026 год</t>
  </si>
  <si>
    <t>1 00 00000 00 0000 000</t>
  </si>
  <si>
    <t xml:space="preserve"> 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</si>
  <si>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</si>
  <si>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</si>
  <si>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</si>
  <si>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</si>
  <si>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</si>
  <si>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являющихся иностранными гражданами, осуществляющими трудовую деятельность на основании патента в соответствии со ст.277.11 Налогового Кодекса РФ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</si>
  <si>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</si>
  <si>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</si>
  <si>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</si>
  <si>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</si>
  <si>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</si>
  <si>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</si>
  <si>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</si>
  <si>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 xml:space="preserve">Налог, взимаемый в связи с применением упрощенной системы  налогообложения 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</si>
  <si>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</si>
  <si>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</si>
  <si>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</si>
  <si>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</si>
  <si>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</si>
  <si>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</si>
  <si>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</si>
  <si>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1 05 02000 02 0000 110</t>
  </si>
  <si>
    <t>Единый налог на вмененный доход для отдельных видов деятельности</t>
  </si>
  <si>
    <t>1 05 02010 02 0000 110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</si>
  <si>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</si>
  <si>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</si>
  <si>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</si>
  <si>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</si>
  <si>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</si>
  <si>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1 05 04060 02 0000 110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</si>
  <si>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</si>
  <si>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</si>
  <si>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</si>
  <si>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</si>
  <si>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</si>
  <si>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</si>
  <si>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</si>
  <si>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1 06 06000 00 0000 110</t>
  </si>
  <si>
    <t>Земельный налог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</si>
  <si>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</si>
  <si>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</si>
  <si>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</si>
  <si>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</si>
  <si>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1 08 00000 00 0000 000</t>
  </si>
  <si>
    <t>ГОСУДАРСТВЕННАЯ ПОШЛИНА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</si>
  <si>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</si>
  <si>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</si>
  <si>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</si>
  <si>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</si>
  <si>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</si>
  <si>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</si>
  <si>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</si>
  <si>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</si>
  <si>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1 11 01050 05 0000 120</t>
  </si>
  <si>
    <t>Доходы в виде прибыли, приходящейся на доли  в уставных (складочных) капиталах хозяйственных товариществ и обществ, или дивидендов по акциям, принадлежащим муниципальным районам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</si>
  <si>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</si>
  <si>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</si>
  <si>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</si>
  <si>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</si>
  <si>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</si>
  <si>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</si>
  <si>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</si>
  <si>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</si>
  <si>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</si>
  <si>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</si>
  <si>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</si>
  <si>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</si>
  <si>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</si>
  <si>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</si>
  <si>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</si>
  <si>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</si>
  <si>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</si>
  <si>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</si>
  <si>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</si>
  <si>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</si>
  <si>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</si>
  <si>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</si>
  <si>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</si>
  <si>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 xml:space="preserve">Доходы от оказания платных услуг (работ)
</t>
  </si>
  <si>
    <t>1 13 01990 00 0000 130</t>
  </si>
  <si>
    <t xml:space="preserve">Прочие доходы от оказания платных услуг (работ)
</t>
  </si>
  <si>
    <t>1 13 01994 14 0000 130</t>
  </si>
  <si>
    <t>Прочие доходы от оказания платных услуг (работ) получателями средств бюджетов муниципальных округов</t>
  </si>
  <si>
    <t>1 13 02000 00 0000 130</t>
  </si>
  <si>
    <t>Доходы от компенсации затрат государства</t>
  </si>
  <si>
    <t xml:space="preserve">1 13 02990 00 0000 130
</t>
  </si>
  <si>
    <t xml:space="preserve">Прочие доходы от компенсации затрат государства
</t>
  </si>
  <si>
    <t>1 13 02994 14 0000 130</t>
  </si>
  <si>
    <t>Прочие доходы от компенсации затрат бюджетов муниципальных округов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</si>
  <si>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</si>
  <si>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</si>
  <si>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</si>
  <si>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</si>
  <si>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1 14 02040 14 0000 410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</si>
  <si>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</si>
  <si>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</si>
  <si>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</si>
  <si>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</si>
  <si>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</si>
  <si>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</si>
  <si>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</si>
  <si>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</si>
  <si>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</si>
  <si>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</si>
  <si>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</si>
  <si>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</si>
  <si>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</si>
  <si>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1 17 05000 00 0000 180</t>
  </si>
  <si>
    <t xml:space="preserve">Прочие неналоговые доходы </t>
  </si>
  <si>
    <t>1 17 05040 14 0000 180</t>
  </si>
  <si>
    <t>Прочие неналоговые доходы бюджетов муниципальных округов</t>
  </si>
  <si>
    <t>1 17 15000 00 0000 150</t>
  </si>
  <si>
    <t>Инициативные платежи</t>
  </si>
  <si>
    <t>1 17 15020 14 0000 150</t>
  </si>
  <si>
    <t>Инициативные платежи, зачисляемые в бюджеты муниципальных округов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</si>
  <si>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</si>
  <si>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</si>
  <si>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</si>
  <si>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</si>
  <si>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</si>
  <si>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</si>
  <si>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</si>
  <si>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</si>
  <si>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</si>
  <si>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</si>
  <si>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2 02 15002 00 0000 150</t>
  </si>
  <si>
    <t>Дотации бюджетам на поддержку мер по обеспечению сбалансированности бюджетов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</si>
  <si>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</si>
  <si>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</si>
  <si>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2 02 15009 00 0000 150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</si>
  <si>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</si>
  <si>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</si>
  <si>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</si>
  <si>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</si>
  <si>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</si>
  <si>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2 02 20077 00 0000 150</t>
  </si>
  <si>
    <t>Субсидии бюджетам на софинансирование капитальных вложений в объекты муниципальной собственности</t>
  </si>
  <si>
    <t>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</si>
  <si>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</si>
  <si>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2 02 20299 00 0000 150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</si>
  <si>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</si>
  <si>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</si>
  <si>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</si>
  <si>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2 02 20300 00 0000 150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</si>
  <si>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</si>
  <si>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2 02 20300 14 0000 150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</si>
  <si>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</si>
  <si>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2 02 20302 00 0000 150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</si>
  <si>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</si>
  <si>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</si>
  <si>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</si>
  <si>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2 02 20303 00 0000 150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</si>
  <si>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</si>
  <si>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>2 02 20303 14 0000 150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</si>
  <si>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</si>
  <si>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>2 02 25172 00 0000 150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</si>
  <si>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</si>
  <si>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2 02 25172 14 0000 150</t>
  </si>
  <si>
    <t>Субсидии местным бюджетам 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</si>
  <si>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2 02 25213 00 0000 150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</si>
  <si>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</si>
  <si>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2 02 25213 14 0000 150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</si>
  <si>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</si>
  <si>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2 02 25243 00 0000 150</t>
  </si>
  <si>
    <t>Субсидии бюджетам на строительство и реконструкцию (модернизацию) объектов питьевого водоснабжения</t>
  </si>
  <si>
    <t>2 02 25243 14 0000 150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</si>
  <si>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</si>
  <si>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</si>
  <si>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</si>
  <si>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</si>
  <si>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</si>
  <si>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2 02 25497 00 0000 150</t>
  </si>
  <si>
    <t>Субсидии бюджетам на реализацию мероприятий по обеспечению жильем молодых семей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</si>
  <si>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</si>
  <si>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</si>
  <si>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2 02 25511 00 0000 150</t>
  </si>
  <si>
    <t>Субсидии бюджетам на проведение комплексных кадастровых работ</t>
  </si>
  <si>
    <t>2 02 25511 14 0000 150</t>
  </si>
  <si>
    <t>Субсидии бюджетам муниципальных округов на проведение комплексных кадастровых работ</t>
  </si>
  <si>
    <t>2 02 25519 00 0000 150</t>
  </si>
  <si>
    <t>Субсидии бюджетам на поддержку отрасли культуры</t>
  </si>
  <si>
    <t>2 02 25519 14 0000 150</t>
  </si>
  <si>
    <t>Субсидии бюджетам муниципальных округов на поддержку отрасли культуры</t>
  </si>
  <si>
    <t>2 02 25555 00 0000 150</t>
  </si>
  <si>
    <t>Субсидии бюджетам на реализацию программ формирования современной городской среды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</si>
  <si>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</si>
  <si>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</si>
  <si>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2 02 25599 00 0000 150</t>
  </si>
  <si>
    <t>Субсидии бюджетам на подготовку проектов межевания земельных участков и на проведение кадастровых работ</t>
  </si>
  <si>
    <t>2 02 25599 14 0000 150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</si>
  <si>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</si>
  <si>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2 02 25576 00 0000 150</t>
  </si>
  <si>
    <t>Субсидии бюджетам на обеспечение комплексного развития сельских территорий</t>
  </si>
  <si>
    <t>2 02 25576 14 0000 150</t>
  </si>
  <si>
    <t>Субсидии бюджетам муниципальных округов на обеспечение комплексного развития сельских территорий</t>
  </si>
  <si>
    <t>2 02 25750 00 0000 150</t>
  </si>
  <si>
    <t>Субсидии бюджетам на реализацию мероприятий по модернизации школьных систем образования</t>
  </si>
  <si>
    <t>2 02 25750 14 0000 150</t>
  </si>
  <si>
    <t>Субсидии бюджетам муниципальных округов на реализацию мероприятий по модернизации школьных систем образования</t>
  </si>
  <si>
    <t>2 02 29999 00 0000 150</t>
  </si>
  <si>
    <t xml:space="preserve">Прочие субсидии </t>
  </si>
  <si>
    <t>2 02 29999 14 0000 150</t>
  </si>
  <si>
    <t>Прочие субсидии бюджетам муниципальных округов</t>
  </si>
  <si>
    <t>Субсидии на осуществление дорожной деятельности в отношении автомобильных дорог общего пользования местного значения в рамках подпрограммы "Автомобильные дороги" государственной программы Вологодской области "Дорожная сеть и транспортное обслуживание"</t>
  </si>
  <si>
    <t>Субсидии местным бюджетам на капитальный ремонт и ремонт объектов культуры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области"</t>
  </si>
  <si>
    <t xml:space="preserve">Субсидии местным бюджетам на обеспечение развития и укрепление материально-технической базы муниципальных учреждений отрасли культуры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области" </t>
  </si>
  <si>
    <t>Субсидии местным бюджетам на 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 беспрепятственного доступа инвалидов (детей-инвалидов) в рамках подпрограммы  "Безбарьерная среда" государственной программы "Социальная поддержка граждан в Вологодской области"</t>
  </si>
  <si>
    <t>Субсидии местным бюджетам на создание условий для занятий инвалидов, лиц с ограниченными возможностями здоровья физической культурой и спортом в рамках подпрограммы "Физическая культура и массовый спорт" государственной программы "Развитие физической культуры и спорта в Вологодской области"</t>
  </si>
  <si>
    <t>Субсидии местным бюджетам на 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граждан, в рамках подпрограммы "Автомобильные дороги" государственной программы Вологодской области "Дорожная сеть и транспортное обслуживание"</t>
  </si>
  <si>
    <t>Субсидии местным бюджетам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 в рамках подпрограммы "Физическая культура и массовый спорт" государственной программы "Развитие физической культуры и спорта в Вологодской области"</t>
  </si>
  <si>
    <t>Субсидии местным бюджетам на внедрение и (или) эксплуатацию аппаратно-программного комплекса "Безопасный город" в рамках подпрограммы "Профилактика преступлений и иных правонарушений"  государственной программы  "Обеспечение профилактики правонарушений, безопасности населения и территории  Вологодской области"</t>
  </si>
  <si>
    <t>Субсидии местным бюджетам на развитие мобильной торговли в малонаселенных и (или) труднодоступных населенных пунктах в рамках подпрограммы "Развитие торговли" государственной программы "Экономическое развитие Вологодской области"</t>
  </si>
  <si>
    <t>Субсидии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 муниципальных районов,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 на 2021-2025 годы"</t>
  </si>
  <si>
    <t>Субсидии местным бюджетам на организацию транспортного обслуживания населения на муниципальных маршрутах регулярных перевозок по регулируемым тарифам в рамках подпрограммы "Транспортное обслуживание населения" государственной программы Вологодской области "Дорожная сеть и транспортное обслуживание"</t>
  </si>
  <si>
    <t>Субсидии на строительство и реконструкцию объектов физической культуры и спорта муниципальной собственности в рамках подпрограммы "Физическая культура и массовый спорт" государственной программы "Развитие физической культуры и спорта в Вологодской области на 2021-2025 годы" на 2021 год и 2022 год планового периода</t>
  </si>
  <si>
    <t xml:space="preserve">Субсидии местным бюджетам на приобретение услуг распределительно-логистического центра на поставки продовольственных товаров для муниципальных общеобразовательных организаций в рамках подпрограммы "Развитие конкуренции и совершенствование механизмов регулирования системы государственных закупок Вологодской области" государственной программы "Экономическое развитие Вологодской области" </t>
  </si>
  <si>
    <t>Субсидии местным бюджетам на рекультивацию земельных участков, занятых несанкционированными свалками отходов, в рамках подпрограммы "Развитие системы обращения с отходами, в том числе с твердыми коммунальными отходами, на территории Вологодской области" государственной программы "Охрана окружающей среды, воспроизводство и рациональное использование природных ресурсов"</t>
  </si>
  <si>
    <t>Субсидии местным бюджетам на реализацию мероприятий по модернизации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 в рамках подпрограммы "Развитие общего и дополнительного образования детей" государственной программы "Развитие образования Вологодской области"</t>
  </si>
  <si>
    <t>Субсидии местным бюджетам на разработку проекта рекультивации земельных участков, занятых несанкционированными свалками в рамках подпрограммы "Развитие системы обращения с отходами, в том числе с твердыми коммунальными отходами, на территории Вологодской области" государственной программы "Охрана окружающей среды, воспроизводство и рациональное использование природных ресурсов на 2021-2025 годы"</t>
  </si>
  <si>
    <t>Субсидии местным бюджетам на строительство, реконструкцию  и капитальный ремонт централизованных систем водоснабжения и водоотведения в рамках подпрограммы "Энергосбережение и повышение энергетической эффективности на территории Вологодской области" государственной программы "Развитие топливно-энергетического комплекса и коммунальной инфраструктуры на территории Вологодской области на 2021-2025 годы"</t>
  </si>
  <si>
    <t>Субсидии местным бюджетам на организацию уличного освещения в рамках подпрограммы "Энергосбережение и повышение энергетической эффективности на территории Вологодской области" государственной программы "Развитие топливно-энергетического комплекса и коммунальной инфраструктуры на территории Вологодской области"</t>
  </si>
  <si>
    <t>Субсидии местным бюджетам на проведение мероприятий по предотвращению распространения сорного растения борщевик Сосновского в рамках подпрограммы "Повышение эффективности использования земель" государственной программы "Комплексное развитие сельских территорий Вологодской области"</t>
  </si>
  <si>
    <t>Субсидии на реализацию проекта "Народный бюджет"</t>
  </si>
  <si>
    <t>Субсидии местным бюджетам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программам, в рамках подпрограммы "Развитие общего и дополнительного образования детей" государственной программы "Развитие образования Вологодской области"</t>
  </si>
  <si>
    <t>Субсидии местным бюджета на проведение мероприятий по обеспечению условий  для организации питания обучающихся в муниципальных общеобразовательных организациях в рамках подпрограммы "Развитие общего и дополнительного образования детей" государственной программы "Развитие образования Вологодской области на 2021-2025 годы"</t>
  </si>
  <si>
    <t xml:space="preserve">Субсидии местным бюджетам на реализацию мероприятий по благоустройству дворовых территорий многоквартирных домов в рамках подпрограммы "Благоустройство дворовых территорий муниципальных образований области" государственной программы "Формирование современной городской среды" </t>
  </si>
  <si>
    <t xml:space="preserve">Субсидии местным бюджета на реализацию мероприятий по благоустройству общественных пространств в рамках подпрограммы "Благоустройство общественных территорий муниципальных образований области" государственной программы "Формирование современной городской среды на 2018-2024 годы" </t>
  </si>
  <si>
    <t>Субсидии местным бюджетам на комплектование книжных фондов библиотек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 на 2021-2025 годы"</t>
  </si>
  <si>
    <t>2 02 30000 00 0000 150</t>
  </si>
  <si>
    <t>Субвенции бюджетам бюджетной системы Российской Федерации</t>
  </si>
  <si>
    <t>2 02 30021 00 0000 150</t>
  </si>
  <si>
    <t>Субвенции бюджетам муниципальных образований на ежемесячное денежное вознаграждение за классное руководство</t>
  </si>
  <si>
    <t>2 02 30021 05 0000 150</t>
  </si>
  <si>
    <t>Субвенции бюджетам муниципальных районов на ежемесячное денежное вознаграждение за классное руководство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</si>
  <si>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</si>
  <si>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</si>
  <si>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</si>
  <si>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</si>
  <si>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2 02 30024 05 0000 150</t>
  </si>
  <si>
    <t xml:space="preserve">Субвенции на осуществление отдельных государственных полномочий в сфере административных отношений в соответствии с законом области от 28 ноября 2005 года №1369-ОЗ "О наделении органов местного самоуправления отдельными государственными полномочиями в сфере административных отношений" </t>
  </si>
  <si>
    <t>Субвенции на обеспечение дошкольного образования в муниципальных  образовательных организациях области,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образовательных организациях</t>
  </si>
  <si>
    <t>Субвенции на осуществление отдельных государственных полномочий в соответствии с законом области от 17 декабря 2007 года №1720-ОЗ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детей, обучающихся в федеральных государственных образовательных организациях), лиц из числа детей указанных категорий"</t>
  </si>
  <si>
    <t>Субвенции для осуществления отдельных государственных полномочий в соответствии с законом области от 17 декабря 2007 № 1719-ОЗ "О наделении органов местного самоуправления отдельными государственными полномочиями в сфере образования"</t>
  </si>
  <si>
    <t>Субвенция на осуществление отдельных государственных полномочий в соответствии с законом области от 28 апреля 2006 года № 1443-ОЗ "О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дела"</t>
  </si>
  <si>
    <t>Субвенции для осуществления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 по организации мероприятий при осуществлении деятельности по обращению с животными без владельцев"</t>
  </si>
  <si>
    <t>Субвенции для осуществления отдельных государственных полномочий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</si>
  <si>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Субвенции для осуществления отдельных государственных полномочий в соответствии с законом области от 10 декабря 2014 года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</si>
  <si>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</si>
  <si>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</si>
  <si>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</si>
  <si>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</si>
  <si>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</si>
  <si>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</si>
  <si>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</si>
  <si>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</si>
  <si>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2 02 35176 00 0000 150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</si>
  <si>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</si>
  <si>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2 02 35176 14 0000 150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</si>
  <si>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</t>
  </si>
  <si>
    <t>2 02 35179 00 0000 150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</si>
  <si>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</si>
  <si>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2 02 35179 14 0000 150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</si>
  <si>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</si>
  <si>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2 02 35303 00 0000 150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</si>
  <si>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</si>
  <si>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</si>
  <si>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</si>
  <si>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2 02 36900 00 0000 150</t>
  </si>
  <si>
    <t>Единая субвенция местным бюджетам из бюджета субъекта Российской Федерации</t>
  </si>
  <si>
    <t>2 02 36900 14 0000 150</t>
  </si>
  <si>
    <t>Единая субвенция бюджетам муниципальных округов из бюджета субъекта Российской Федерации</t>
  </si>
  <si>
    <t>2 02 40000 00 0000 150</t>
  </si>
  <si>
    <t xml:space="preserve">Иные межбюджетные трансферты </t>
  </si>
  <si>
    <t>2 02 45519 00 0000 150</t>
  </si>
  <si>
    <t>Межбюджетные трансферты, передаваемые бюджетам на поддержку отрасли культуры</t>
  </si>
  <si>
    <t>2 02 45519 14 0000 150</t>
  </si>
  <si>
    <t>Межбюджетные трансферты, передаваемые бюджетам муниципальных округов на поддержку отрасли культуры</t>
  </si>
  <si>
    <t>2 02 49999 00 0000 150</t>
  </si>
  <si>
    <t>Прочие межбюджетные трансферты, передаваемые бюджетам</t>
  </si>
  <si>
    <t>2 02 49999 14 0000 150</t>
  </si>
  <si>
    <t>Прочие межбюджетные трансферты, передаваемые бюджетам муниципальных округов</t>
  </si>
  <si>
    <t>2 04 00000 00 0000 000</t>
  </si>
  <si>
    <t>БЕЗВОЗМЕЗДНЫЕ ПОСТУПЛЕНИЯ ОТ НЕГОСУДАРСТВЕННЫХ ОРГАНИЗАЦИЙ</t>
  </si>
  <si>
    <t>2 04 04000 14 0000 150</t>
  </si>
  <si>
    <t>Безвозмездные поступления от негосударственных организаций  в бюджеты муниципальных округов</t>
  </si>
  <si>
    <t>2 04 04099 14 0000 150</t>
  </si>
  <si>
    <t>Прочие безвозмездные поступления от негосударственных организаций в бюджеты муниципальных округов</t>
  </si>
  <si>
    <t>2 07 00000 00 0000 000</t>
  </si>
  <si>
    <t>ПРОЧИЕ БЕЗВОЗМЕЗДНЫЕ ПОСТУПЛЕНИЯ</t>
  </si>
  <si>
    <t>2 07 04000 14 0000 150</t>
  </si>
  <si>
    <t>Прочие безвозмездные поступления в бюджеты муниципальных округов</t>
  </si>
  <si>
    <t>2 07 04020 14 0000 150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</si>
  <si>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</si>
  <si>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ВСЕГО ДОХОДОВ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</si>
</sst>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0.0"/>
  </numFmts>
  <fonts count="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3">
    <xf numFmtId="0" fontId="0" fillId="0" borderId="0" xfId="0"/>
    <xf numFmtId="0" fontId="3" fillId="2" borderId="0" xfId="0" applyFont="1" applyFill="1" applyAlignment="1">
      <alignment horizontal="right" wrapText="1"/>
    </xf>
    <xf numFmtId="0" fontId="3" fillId="2" borderId="0" xfId="0" applyFont="1" applyFill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center" wrapText="1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justify"/>
    </xf>
    <xf numFmtId="164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 applyProtection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justify"/>
    </xf>
    <xf numFmtId="164" fontId="3" fillId="2" borderId="2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165" fontId="3" fillId="2" borderId="2" xfId="0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justify"/>
    </xf>
    <xf numFmtId="164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 applyProtection="1">
      <alignment horizontal="right"/>
    </xf>
    <xf numFmtId="165" fontId="4" fillId="2" borderId="6" xfId="0" applyNumberFormat="1" applyFont="1" applyFill="1" applyBorder="1" applyAlignment="1">
      <alignment horizontal="right"/>
    </xf>
    <xf numFmtId="0" fontId="4" fillId="2" borderId="0" xfId="0" applyFont="1" applyFill="1"/>
    <xf numFmtId="165" fontId="4" fillId="2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justify"/>
    </xf>
    <xf numFmtId="164" fontId="3" fillId="2" borderId="2" xfId="0" applyNumberFormat="1" applyFont="1" applyFill="1" applyBorder="1" applyAlignment="1" applyProtection="1">
      <alignment horizontal="right"/>
    </xf>
    <xf numFmtId="0" fontId="4" fillId="2" borderId="2" xfId="0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vertical="justify"/>
    </xf>
    <xf numFmtId="0" fontId="3" fillId="2" borderId="2" xfId="0" applyFont="1" applyFill="1" applyBorder="1" applyAlignment="1">
      <alignment horizontal="left" vertical="justify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left" vertical="center"/>
    </xf>
    <xf numFmtId="164" fontId="4" fillId="2" borderId="3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justify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top" wrapText="1"/>
    </xf>
    <xf numFmtId="0" fontId="3" fillId="2" borderId="6" xfId="0" applyFont="1" applyFill="1" applyBorder="1" applyAlignment="1">
      <alignment horizontal="justify" vertical="top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left" vertical="justify"/>
    </xf>
    <xf numFmtId="0" fontId="3" fillId="2" borderId="6" xfId="0" applyFont="1" applyFill="1" applyBorder="1" applyAlignment="1">
      <alignment horizontal="left" vertical="justify"/>
    </xf>
    <xf numFmtId="0" fontId="3" fillId="2" borderId="6" xfId="0" applyFont="1" applyFill="1" applyBorder="1" applyAlignment="1">
      <alignment horizontal="left" vertical="justify" wrapText="1"/>
    </xf>
    <xf numFmtId="0" fontId="3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justify" wrapText="1"/>
    </xf>
    <xf numFmtId="0" fontId="3" fillId="2" borderId="2" xfId="2" applyNumberFormat="1" applyFont="1" applyFill="1" applyBorder="1" applyAlignment="1" applyProtection="1">
      <alignment horizontal="left" vertical="center" wrapText="1"/>
      <protection hidden="1"/>
    </xf>
    <xf numFmtId="0" fontId="3" fillId="2" borderId="2" xfId="0" applyFont="1" applyFill="1" applyBorder="1"/>
    <xf numFmtId="0" fontId="3" fillId="2" borderId="2" xfId="0" applyNumberFormat="1" applyFont="1" applyFill="1" applyBorder="1" applyAlignment="1">
      <alignment horizontal="left" vertical="justify" wrapText="1"/>
    </xf>
    <xf numFmtId="164" fontId="3" fillId="2" borderId="3" xfId="3" applyNumberFormat="1" applyFont="1" applyFill="1" applyBorder="1" applyAlignment="1" applyProtection="1">
      <alignment horizontal="right"/>
      <protection hidden="1"/>
    </xf>
    <xf numFmtId="164" fontId="3" fillId="2" borderId="2" xfId="3" applyNumberFormat="1" applyFont="1" applyFill="1" applyBorder="1" applyAlignment="1" applyProtection="1">
      <alignment horizontal="right"/>
      <protection hidden="1"/>
    </xf>
    <xf numFmtId="0" fontId="4" fillId="2" borderId="2" xfId="0" applyNumberFormat="1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wrapText="1"/>
    </xf>
    <xf numFmtId="0" fontId="4" fillId="2" borderId="2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justify" wrapText="1"/>
    </xf>
    <xf numFmtId="0" fontId="8" fillId="2" borderId="0" xfId="0" applyFont="1" applyFill="1"/>
    <xf numFmtId="165" fontId="3" fillId="2" borderId="0" xfId="0" applyNumberFormat="1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Border="1" applyAlignment="1">
      <alignment horizontal="center" wrapText="1"/>
    </xf>
  </cellXfs>
  <cellStyles count="17">
    <cellStyle name="Обычный" xfId="0" builtinId="0"/>
    <cellStyle name="Обычный 2" xfId="1"/>
    <cellStyle name="Обычный 2 2" xfId="3"/>
    <cellStyle name="Обычный 2 2 2" xfId="2"/>
    <cellStyle name="Обычный 3" xfId="4"/>
    <cellStyle name="Обычный 3 2" xfId="5"/>
    <cellStyle name="Обычный 3 2 2" xfId="6"/>
    <cellStyle name="Обычный 3 2 2 2" xfId="7"/>
    <cellStyle name="Обычный 3 2_4 " xfId="8"/>
    <cellStyle name="Обычный 3 3" xfId="9"/>
    <cellStyle name="Обычный 3 4" xfId="10"/>
    <cellStyle name="Обычный 3 5" xfId="11"/>
    <cellStyle name="Обычный 3_4 " xfId="12"/>
    <cellStyle name="Примечание 2" xfId="13"/>
    <cellStyle name="Примечание 3" xfId="14"/>
    <cellStyle name="Финансовый 2" xfId="15"/>
    <cellStyle name="Финансовый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7"/>
  <sheetViews>
    <sheetView tabSelected="1" view="pageBreakPreview" topLeftCell="A134" zoomScale="91" zoomScaleSheetLayoutView="91" workbookViewId="0">
      <selection activeCell="T142" sqref="T142"/>
    </sheetView>
  </sheetViews>
  <sheetFormatPr defaultColWidth="10.5703125" defaultRowHeight="15"/>
  <cols>
    <col min="1" max="1" width="26.28515625" style="2" customWidth="1"/>
    <col min="2" max="2" width="76.42578125" style="2" customWidth="1"/>
    <col min="3" max="4" width="13.28515625" style="2" hidden="1" customWidth="1"/>
    <col min="5" max="5" width="10" style="2" hidden="1" customWidth="1"/>
    <col min="6" max="6" width="10.5703125" style="2" hidden="1" customWidth="1"/>
    <col min="7" max="7" width="9.85546875" style="2" hidden="1" customWidth="1"/>
    <col min="8" max="8" width="6.5703125" style="2" hidden="1" customWidth="1"/>
    <col min="9" max="9" width="14.5703125" style="2" hidden="1" customWidth="1"/>
    <col min="10" max="10" width="10.5703125" style="2" hidden="1" customWidth="1"/>
    <col min="11" max="11" width="13.28515625" style="2" customWidth="1"/>
    <col min="12" max="12" width="10.5703125" style="2" hidden="1" customWidth="1"/>
    <col min="13" max="13" width="14.5703125" style="2" hidden="1" customWidth="1"/>
    <col min="14" max="14" width="10.5703125" style="2" customWidth="1"/>
    <col min="15" max="15" width="10.85546875" style="2" hidden="1" customWidth="1"/>
    <col min="16" max="16" width="10.5703125" style="2" customWidth="1"/>
    <col min="17" max="17" width="10.5703125" style="2" hidden="1" customWidth="1"/>
    <col min="18" max="18" width="20.140625" style="2" customWidth="1"/>
    <col min="19" max="16384" width="10.5703125" style="2"/>
  </cols>
  <sheetData>
    <row r="1" spans="1:17" ht="90.6" customHeight="1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1"/>
    </row>
    <row r="2" spans="1:17" ht="33" customHeigh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3"/>
      <c r="P2" s="3"/>
      <c r="Q2" s="3"/>
    </row>
    <row r="3" spans="1:17" ht="23.25" customHeight="1">
      <c r="A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2</v>
      </c>
      <c r="Q3" s="5"/>
    </row>
    <row r="4" spans="1:17" ht="60" customHeight="1">
      <c r="A4" s="6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7</v>
      </c>
      <c r="J4" s="8" t="s">
        <v>6</v>
      </c>
      <c r="K4" s="8" t="s">
        <v>8</v>
      </c>
      <c r="L4" s="8" t="s">
        <v>8</v>
      </c>
      <c r="M4" s="8" t="s">
        <v>7</v>
      </c>
      <c r="N4" s="8" t="s">
        <v>10</v>
      </c>
      <c r="O4" s="9" t="s">
        <v>11</v>
      </c>
      <c r="P4" s="8" t="s">
        <v>12</v>
      </c>
      <c r="Q4" s="9" t="s">
        <v>11</v>
      </c>
    </row>
    <row r="5" spans="1:17" ht="17.25" customHeight="1">
      <c r="A5" s="10" t="s">
        <v>13</v>
      </c>
      <c r="B5" s="11" t="s">
        <v>14</v>
      </c>
      <c r="C5" s="12">
        <f>C6+C9+C29+C32+C43+C52+C59+C45+C11</f>
        <v>171738.19999999998</v>
      </c>
      <c r="D5" s="12">
        <f>D6+D9+D29+D32+D43+D52+D59+D45+D11+D60+D23</f>
        <v>181776</v>
      </c>
      <c r="E5" s="13" t="e">
        <f>D5-#REF!</f>
        <v>#REF!</v>
      </c>
      <c r="F5" s="12">
        <f>F6+F9+F29+F32+F43+F52+F59+F45+F11</f>
        <v>169165</v>
      </c>
      <c r="G5" s="12">
        <f>G6+G9+G29+G32+G43+G52+G59+G45+G11</f>
        <v>178281</v>
      </c>
      <c r="H5" s="12">
        <f>H6+H9+H29+H32+H43+H52+H59+H45+H11</f>
        <v>0</v>
      </c>
      <c r="I5" s="12">
        <f t="shared" ref="I5:I22" si="0">D5-C5</f>
        <v>10037.800000000017</v>
      </c>
      <c r="J5" s="12">
        <f>J6+J9+J29+J32+J43+J52+J59+J45+J11</f>
        <v>169165</v>
      </c>
      <c r="K5" s="12">
        <f>K6+K9+K29+K32+K43+K52+K59+K45+K11+K60+K23</f>
        <v>199387</v>
      </c>
      <c r="L5" s="12">
        <f>L6+L9+L29+L32+L43+L52+L59+L45+L11+L60+L23</f>
        <v>196135</v>
      </c>
      <c r="M5" s="12">
        <f>M6+M9+M29+M32+M43+M52+M59+M45+M11+M60+M23</f>
        <v>21632</v>
      </c>
      <c r="N5" s="12">
        <f>N6+N9+N29+N32+N43+N52+N59+N45+N11+N60+N23</f>
        <v>209593</v>
      </c>
      <c r="O5" s="12">
        <f>N5-L5</f>
        <v>13458</v>
      </c>
      <c r="P5" s="12">
        <f>P6+P9+P29+P32+P43+P52+P59+P45+P11+P60+P23</f>
        <v>217446</v>
      </c>
      <c r="Q5" s="12">
        <f>P5-M5</f>
        <v>195814</v>
      </c>
    </row>
    <row r="6" spans="1:17" ht="17.25" customHeight="1">
      <c r="A6" s="14" t="s">
        <v>15</v>
      </c>
      <c r="B6" s="15" t="s">
        <v>16</v>
      </c>
      <c r="C6" s="12">
        <f>C7</f>
        <v>133813.9</v>
      </c>
      <c r="D6" s="12">
        <f>D7</f>
        <v>131719</v>
      </c>
      <c r="E6" s="13" t="e">
        <f>D6-#REF!</f>
        <v>#REF!</v>
      </c>
      <c r="F6" s="16">
        <f t="shared" ref="F6:P6" si="1">F7</f>
        <v>130523</v>
      </c>
      <c r="G6" s="16">
        <f t="shared" si="1"/>
        <v>138519</v>
      </c>
      <c r="H6" s="12">
        <f t="shared" si="1"/>
        <v>0</v>
      </c>
      <c r="I6" s="12">
        <f t="shared" si="0"/>
        <v>-2094.8999999999942</v>
      </c>
      <c r="J6" s="16">
        <f t="shared" si="1"/>
        <v>130523</v>
      </c>
      <c r="K6" s="12">
        <f>K7</f>
        <v>144117</v>
      </c>
      <c r="L6" s="12">
        <f t="shared" si="1"/>
        <v>143795</v>
      </c>
      <c r="M6" s="12">
        <f t="shared" ref="M6:M22" si="2">L6-J6</f>
        <v>13272</v>
      </c>
      <c r="N6" s="12">
        <f t="shared" si="1"/>
        <v>152750</v>
      </c>
      <c r="O6" s="12">
        <f t="shared" ref="O6:O75" si="3">N6-L6</f>
        <v>8955</v>
      </c>
      <c r="P6" s="12">
        <f t="shared" si="1"/>
        <v>159680</v>
      </c>
      <c r="Q6" s="17">
        <f t="shared" ref="Q6:Q88" si="4">P6-M6</f>
        <v>146408</v>
      </c>
    </row>
    <row r="7" spans="1:17" s="20" customFormat="1" ht="15.75" customHeight="1">
      <c r="A7" s="14" t="s">
        <v>17</v>
      </c>
      <c r="B7" s="15" t="s">
        <v>18</v>
      </c>
      <c r="C7" s="12">
        <v>133813.9</v>
      </c>
      <c r="D7" s="12">
        <f>131718+1</f>
        <v>131719</v>
      </c>
      <c r="E7" s="13" t="e">
        <f>D7-#REF!</f>
        <v>#REF!</v>
      </c>
      <c r="F7" s="16">
        <v>130523</v>
      </c>
      <c r="G7" s="16">
        <v>138519</v>
      </c>
      <c r="H7" s="18">
        <v>0</v>
      </c>
      <c r="I7" s="12">
        <f t="shared" si="0"/>
        <v>-2094.8999999999942</v>
      </c>
      <c r="J7" s="16">
        <v>130523</v>
      </c>
      <c r="K7" s="12">
        <f>146061-362-1582</f>
        <v>144117</v>
      </c>
      <c r="L7" s="12">
        <f>143794+1</f>
        <v>143795</v>
      </c>
      <c r="M7" s="12">
        <f t="shared" si="2"/>
        <v>13272</v>
      </c>
      <c r="N7" s="12">
        <f>153314-564</f>
        <v>152750</v>
      </c>
      <c r="O7" s="12">
        <f t="shared" si="3"/>
        <v>8955</v>
      </c>
      <c r="P7" s="12">
        <f>159964-284</f>
        <v>159680</v>
      </c>
      <c r="Q7" s="19">
        <f t="shared" si="4"/>
        <v>146408</v>
      </c>
    </row>
    <row r="8" spans="1:17" s="26" customFormat="1" ht="12" hidden="1" customHeight="1">
      <c r="A8" s="21" t="s">
        <v>19</v>
      </c>
      <c r="B8" s="22" t="s">
        <v>20</v>
      </c>
      <c r="C8" s="23" t="e">
        <f>B8+#REF!</f>
        <v>#VALUE!</v>
      </c>
      <c r="D8" s="23" t="e">
        <f>C8+#REF!</f>
        <v>#VALUE!</v>
      </c>
      <c r="E8" s="24" t="e">
        <f>D8-#REF!</f>
        <v>#VALUE!</v>
      </c>
      <c r="F8" s="23"/>
      <c r="G8" s="23"/>
      <c r="H8" s="25"/>
      <c r="I8" s="23" t="e">
        <f t="shared" si="0"/>
        <v>#VALUE!</v>
      </c>
      <c r="J8" s="23"/>
      <c r="K8" s="23" t="e">
        <f>J8+#REF!</f>
        <v>#REF!</v>
      </c>
      <c r="L8" s="23"/>
      <c r="M8" s="23">
        <f t="shared" si="2"/>
        <v>0</v>
      </c>
      <c r="N8" s="23"/>
      <c r="O8" s="23">
        <f t="shared" si="3"/>
        <v>0</v>
      </c>
      <c r="P8" s="23"/>
      <c r="Q8" s="23">
        <f t="shared" si="4"/>
        <v>0</v>
      </c>
    </row>
    <row r="9" spans="1:17" ht="26.25" customHeight="1">
      <c r="A9" s="10" t="s">
        <v>21</v>
      </c>
      <c r="B9" s="15" t="s">
        <v>22</v>
      </c>
      <c r="C9" s="12">
        <f>C10</f>
        <v>9839.2999999999993</v>
      </c>
      <c r="D9" s="12">
        <f>D10</f>
        <v>11472</v>
      </c>
      <c r="E9" s="13" t="e">
        <f>D9-#REF!</f>
        <v>#REF!</v>
      </c>
      <c r="F9" s="12">
        <f t="shared" ref="F9:P9" si="5">F10</f>
        <v>9835</v>
      </c>
      <c r="G9" s="12">
        <f t="shared" si="5"/>
        <v>10217</v>
      </c>
      <c r="H9" s="27">
        <f t="shared" si="5"/>
        <v>0</v>
      </c>
      <c r="I9" s="12">
        <f t="shared" si="0"/>
        <v>1632.7000000000007</v>
      </c>
      <c r="J9" s="12">
        <f t="shared" si="5"/>
        <v>9835</v>
      </c>
      <c r="K9" s="12">
        <f>K10</f>
        <v>13718</v>
      </c>
      <c r="L9" s="12">
        <f t="shared" si="5"/>
        <v>12199</v>
      </c>
      <c r="M9" s="12">
        <f t="shared" si="2"/>
        <v>2364</v>
      </c>
      <c r="N9" s="12">
        <f t="shared" si="5"/>
        <v>14073</v>
      </c>
      <c r="O9" s="12">
        <f t="shared" si="3"/>
        <v>1874</v>
      </c>
      <c r="P9" s="12">
        <f t="shared" si="5"/>
        <v>14717</v>
      </c>
      <c r="Q9" s="12">
        <f t="shared" si="4"/>
        <v>12353</v>
      </c>
    </row>
    <row r="10" spans="1:17" s="26" customFormat="1" ht="33" customHeight="1">
      <c r="A10" s="10" t="s">
        <v>23</v>
      </c>
      <c r="B10" s="15" t="s">
        <v>24</v>
      </c>
      <c r="C10" s="12">
        <v>9839.2999999999993</v>
      </c>
      <c r="D10" s="12">
        <v>11472</v>
      </c>
      <c r="E10" s="13" t="e">
        <f>D10-#REF!</f>
        <v>#REF!</v>
      </c>
      <c r="F10" s="12">
        <v>9835</v>
      </c>
      <c r="G10" s="12">
        <v>10217</v>
      </c>
      <c r="H10" s="27">
        <v>0</v>
      </c>
      <c r="I10" s="12">
        <f t="shared" si="0"/>
        <v>1632.7000000000007</v>
      </c>
      <c r="J10" s="12">
        <v>9835</v>
      </c>
      <c r="K10" s="12">
        <v>13718</v>
      </c>
      <c r="L10" s="12">
        <v>12199</v>
      </c>
      <c r="M10" s="12">
        <f t="shared" si="2"/>
        <v>2364</v>
      </c>
      <c r="N10" s="12">
        <v>14073</v>
      </c>
      <c r="O10" s="12">
        <f t="shared" si="3"/>
        <v>1874</v>
      </c>
      <c r="P10" s="12">
        <v>14717</v>
      </c>
      <c r="Q10" s="12">
        <f t="shared" si="4"/>
        <v>12353</v>
      </c>
    </row>
    <row r="11" spans="1:17" ht="32.25" customHeight="1">
      <c r="A11" s="10" t="s">
        <v>25</v>
      </c>
      <c r="B11" s="28" t="s">
        <v>26</v>
      </c>
      <c r="C11" s="12">
        <f>C12+C17+C19+C21</f>
        <v>18946</v>
      </c>
      <c r="D11" s="12">
        <f>D12+D17+D19+D21</f>
        <v>23664</v>
      </c>
      <c r="E11" s="13" t="e">
        <f>D11-#REF!</f>
        <v>#REF!</v>
      </c>
      <c r="F11" s="12">
        <f>F12+F17+F19+F21</f>
        <v>19585</v>
      </c>
      <c r="G11" s="12">
        <f>G12+G17+G19+G21</f>
        <v>20227</v>
      </c>
      <c r="H11" s="12">
        <f>H12+H17+H19+H21</f>
        <v>0</v>
      </c>
      <c r="I11" s="12">
        <f t="shared" si="0"/>
        <v>4718</v>
      </c>
      <c r="J11" s="12">
        <f>J12+J17+J19+J21</f>
        <v>19585</v>
      </c>
      <c r="K11" s="12">
        <f>K12+K17+K19+K21</f>
        <v>23465</v>
      </c>
      <c r="L11" s="12">
        <f>L12+L17+L19+L21</f>
        <v>25090</v>
      </c>
      <c r="M11" s="12">
        <f t="shared" si="2"/>
        <v>5505</v>
      </c>
      <c r="N11" s="12">
        <f>N12+N17+N19+N21</f>
        <v>25949</v>
      </c>
      <c r="O11" s="12">
        <f t="shared" si="3"/>
        <v>859</v>
      </c>
      <c r="P11" s="12">
        <f>P12+P17+P19+P21</f>
        <v>26390</v>
      </c>
      <c r="Q11" s="12">
        <f t="shared" si="4"/>
        <v>20885</v>
      </c>
    </row>
    <row r="12" spans="1:17" ht="27.75" customHeight="1">
      <c r="A12" s="10" t="s">
        <v>27</v>
      </c>
      <c r="B12" s="15" t="s">
        <v>28</v>
      </c>
      <c r="C12" s="12">
        <f>C13+C15</f>
        <v>17936</v>
      </c>
      <c r="D12" s="12">
        <f>D13+D15</f>
        <v>22281</v>
      </c>
      <c r="E12" s="13" t="e">
        <f>D12-#REF!</f>
        <v>#REF!</v>
      </c>
      <c r="F12" s="12">
        <f>F13+F15</f>
        <v>18519</v>
      </c>
      <c r="G12" s="12">
        <f>G13+G15</f>
        <v>19121</v>
      </c>
      <c r="H12" s="12">
        <f>H13+H15</f>
        <v>0</v>
      </c>
      <c r="I12" s="12">
        <f t="shared" si="0"/>
        <v>4345</v>
      </c>
      <c r="J12" s="12">
        <f>J13+J15</f>
        <v>18519</v>
      </c>
      <c r="K12" s="12">
        <f>K13+K15</f>
        <v>21511</v>
      </c>
      <c r="L12" s="12">
        <f>L13+L15</f>
        <v>23687</v>
      </c>
      <c r="M12" s="12">
        <f t="shared" si="2"/>
        <v>5168</v>
      </c>
      <c r="N12" s="12">
        <f>N13+N15</f>
        <v>23961</v>
      </c>
      <c r="O12" s="12">
        <f t="shared" si="3"/>
        <v>274</v>
      </c>
      <c r="P12" s="12">
        <f>P13+P15</f>
        <v>24358</v>
      </c>
      <c r="Q12" s="12">
        <f t="shared" si="4"/>
        <v>19190</v>
      </c>
    </row>
    <row r="13" spans="1:17" ht="32.25" customHeight="1">
      <c r="A13" s="10" t="s">
        <v>29</v>
      </c>
      <c r="B13" s="29" t="s">
        <v>30</v>
      </c>
      <c r="C13" s="12">
        <f>C14</f>
        <v>14364</v>
      </c>
      <c r="D13" s="12">
        <f>D14</f>
        <v>17344</v>
      </c>
      <c r="E13" s="13" t="e">
        <f>D13-#REF!</f>
        <v>#REF!</v>
      </c>
      <c r="F13" s="12">
        <f t="shared" ref="F13:P13" si="6">F14</f>
        <v>14831</v>
      </c>
      <c r="G13" s="12">
        <f t="shared" si="6"/>
        <v>15314</v>
      </c>
      <c r="H13" s="12">
        <f t="shared" si="6"/>
        <v>0</v>
      </c>
      <c r="I13" s="12">
        <f t="shared" si="0"/>
        <v>2980</v>
      </c>
      <c r="J13" s="12">
        <f t="shared" si="6"/>
        <v>14831</v>
      </c>
      <c r="K13" s="12">
        <f>K14</f>
        <v>18329</v>
      </c>
      <c r="L13" s="12">
        <f t="shared" si="6"/>
        <v>18430</v>
      </c>
      <c r="M13" s="12">
        <f t="shared" si="2"/>
        <v>3599</v>
      </c>
      <c r="N13" s="12">
        <f t="shared" si="6"/>
        <v>20573</v>
      </c>
      <c r="O13" s="12">
        <f t="shared" si="3"/>
        <v>2143</v>
      </c>
      <c r="P13" s="12">
        <f t="shared" si="6"/>
        <v>20925</v>
      </c>
      <c r="Q13" s="12">
        <f t="shared" si="4"/>
        <v>17326</v>
      </c>
    </row>
    <row r="14" spans="1:17" ht="32.25" customHeight="1">
      <c r="A14" s="30" t="s">
        <v>31</v>
      </c>
      <c r="B14" s="31" t="s">
        <v>30</v>
      </c>
      <c r="C14" s="16">
        <f>14364</f>
        <v>14364</v>
      </c>
      <c r="D14" s="16">
        <v>17344</v>
      </c>
      <c r="E14" s="13" t="e">
        <f>D14-#REF!</f>
        <v>#REF!</v>
      </c>
      <c r="F14" s="16">
        <v>14831</v>
      </c>
      <c r="G14" s="16">
        <v>15314</v>
      </c>
      <c r="H14" s="16">
        <v>0</v>
      </c>
      <c r="I14" s="12">
        <f t="shared" si="0"/>
        <v>2980</v>
      </c>
      <c r="J14" s="16">
        <v>14831</v>
      </c>
      <c r="K14" s="16">
        <f>18329</f>
        <v>18329</v>
      </c>
      <c r="L14" s="16">
        <v>18430</v>
      </c>
      <c r="M14" s="12">
        <f t="shared" si="2"/>
        <v>3599</v>
      </c>
      <c r="N14" s="16">
        <v>20573</v>
      </c>
      <c r="O14" s="12">
        <f t="shared" si="3"/>
        <v>2143</v>
      </c>
      <c r="P14" s="16">
        <v>20925</v>
      </c>
      <c r="Q14" s="12">
        <f t="shared" si="4"/>
        <v>17326</v>
      </c>
    </row>
    <row r="15" spans="1:17" ht="32.25" customHeight="1">
      <c r="A15" s="10" t="s">
        <v>32</v>
      </c>
      <c r="B15" s="15" t="s">
        <v>33</v>
      </c>
      <c r="C15" s="12">
        <f>C16</f>
        <v>3572</v>
      </c>
      <c r="D15" s="12">
        <f>D16</f>
        <v>4937</v>
      </c>
      <c r="E15" s="13" t="e">
        <f>D15-#REF!</f>
        <v>#REF!</v>
      </c>
      <c r="F15" s="12">
        <f t="shared" ref="F15:P15" si="7">F16</f>
        <v>3688</v>
      </c>
      <c r="G15" s="12">
        <f t="shared" si="7"/>
        <v>3807</v>
      </c>
      <c r="H15" s="12">
        <f t="shared" si="7"/>
        <v>0</v>
      </c>
      <c r="I15" s="12">
        <f t="shared" si="0"/>
        <v>1365</v>
      </c>
      <c r="J15" s="12">
        <f t="shared" si="7"/>
        <v>3688</v>
      </c>
      <c r="K15" s="12">
        <f>K16</f>
        <v>3182</v>
      </c>
      <c r="L15" s="12">
        <f t="shared" si="7"/>
        <v>5257</v>
      </c>
      <c r="M15" s="12">
        <f t="shared" si="2"/>
        <v>1569</v>
      </c>
      <c r="N15" s="12">
        <f t="shared" si="7"/>
        <v>3388</v>
      </c>
      <c r="O15" s="12">
        <f t="shared" si="3"/>
        <v>-1869</v>
      </c>
      <c r="P15" s="12">
        <f t="shared" si="7"/>
        <v>3433</v>
      </c>
      <c r="Q15" s="12">
        <f t="shared" si="4"/>
        <v>1864</v>
      </c>
    </row>
    <row r="16" spans="1:17" ht="47.25" customHeight="1">
      <c r="A16" s="30" t="s">
        <v>34</v>
      </c>
      <c r="B16" s="31" t="s">
        <v>35</v>
      </c>
      <c r="C16" s="16">
        <f>3572</f>
        <v>3572</v>
      </c>
      <c r="D16" s="16">
        <v>4937</v>
      </c>
      <c r="E16" s="13" t="e">
        <f>D16-#REF!</f>
        <v>#REF!</v>
      </c>
      <c r="F16" s="16">
        <v>3688</v>
      </c>
      <c r="G16" s="16">
        <v>3807</v>
      </c>
      <c r="H16" s="16">
        <v>0</v>
      </c>
      <c r="I16" s="12">
        <f t="shared" si="0"/>
        <v>1365</v>
      </c>
      <c r="J16" s="16">
        <v>3688</v>
      </c>
      <c r="K16" s="16">
        <v>3182</v>
      </c>
      <c r="L16" s="16">
        <v>5257</v>
      </c>
      <c r="M16" s="12">
        <f t="shared" si="2"/>
        <v>1569</v>
      </c>
      <c r="N16" s="16">
        <v>3388</v>
      </c>
      <c r="O16" s="12">
        <f t="shared" si="3"/>
        <v>-1869</v>
      </c>
      <c r="P16" s="16">
        <v>3433</v>
      </c>
      <c r="Q16" s="12">
        <f t="shared" si="4"/>
        <v>1864</v>
      </c>
    </row>
    <row r="17" spans="1:17" s="26" customFormat="1" ht="17.25" hidden="1" customHeight="1">
      <c r="A17" s="10" t="s">
        <v>36</v>
      </c>
      <c r="B17" s="15" t="s">
        <v>37</v>
      </c>
      <c r="C17" s="12">
        <f>SUM(C18:C18)</f>
        <v>0</v>
      </c>
      <c r="D17" s="12">
        <f>SUM(D18:D18)</f>
        <v>0</v>
      </c>
      <c r="E17" s="13" t="e">
        <f>D17-#REF!</f>
        <v>#REF!</v>
      </c>
      <c r="F17" s="12">
        <f t="shared" ref="F17:P17" si="8">SUM(F18:F18)</f>
        <v>0</v>
      </c>
      <c r="G17" s="12">
        <f t="shared" si="8"/>
        <v>0</v>
      </c>
      <c r="H17" s="12">
        <f t="shared" si="8"/>
        <v>0</v>
      </c>
      <c r="I17" s="12">
        <f t="shared" si="0"/>
        <v>0</v>
      </c>
      <c r="J17" s="12">
        <f t="shared" si="8"/>
        <v>0</v>
      </c>
      <c r="K17" s="12">
        <f>SUM(K18:K18)</f>
        <v>0</v>
      </c>
      <c r="L17" s="12">
        <f t="shared" si="8"/>
        <v>0</v>
      </c>
      <c r="M17" s="12">
        <f t="shared" si="2"/>
        <v>0</v>
      </c>
      <c r="N17" s="12">
        <f t="shared" si="8"/>
        <v>0</v>
      </c>
      <c r="O17" s="12">
        <f t="shared" si="3"/>
        <v>0</v>
      </c>
      <c r="P17" s="12">
        <f t="shared" si="8"/>
        <v>0</v>
      </c>
      <c r="Q17" s="12">
        <f t="shared" si="4"/>
        <v>0</v>
      </c>
    </row>
    <row r="18" spans="1:17" ht="17.25" hidden="1" customHeight="1">
      <c r="A18" s="30" t="s">
        <v>38</v>
      </c>
      <c r="B18" s="31" t="s">
        <v>37</v>
      </c>
      <c r="C18" s="16">
        <v>0</v>
      </c>
      <c r="D18" s="16">
        <v>0</v>
      </c>
      <c r="E18" s="13" t="e">
        <f>D18-#REF!</f>
        <v>#REF!</v>
      </c>
      <c r="F18" s="16">
        <v>0</v>
      </c>
      <c r="G18" s="16">
        <v>0</v>
      </c>
      <c r="H18" s="16">
        <v>0</v>
      </c>
      <c r="I18" s="12">
        <f t="shared" si="0"/>
        <v>0</v>
      </c>
      <c r="J18" s="16">
        <v>0</v>
      </c>
      <c r="K18" s="16"/>
      <c r="L18" s="16">
        <v>0</v>
      </c>
      <c r="M18" s="12">
        <f t="shared" si="2"/>
        <v>0</v>
      </c>
      <c r="N18" s="16"/>
      <c r="O18" s="12">
        <f t="shared" si="3"/>
        <v>0</v>
      </c>
      <c r="P18" s="16"/>
      <c r="Q18" s="12">
        <f t="shared" si="4"/>
        <v>0</v>
      </c>
    </row>
    <row r="19" spans="1:17" s="26" customFormat="1" ht="14.25">
      <c r="A19" s="10" t="s">
        <v>39</v>
      </c>
      <c r="B19" s="15" t="s">
        <v>40</v>
      </c>
      <c r="C19" s="12">
        <f>SUM(C20:C20)</f>
        <v>120</v>
      </c>
      <c r="D19" s="12">
        <f>SUM(D20:D20)</f>
        <v>613</v>
      </c>
      <c r="E19" s="13" t="e">
        <f>D19-#REF!</f>
        <v>#REF!</v>
      </c>
      <c r="F19" s="12">
        <f t="shared" ref="F19:P19" si="9">SUM(F20:F20)</f>
        <v>136</v>
      </c>
      <c r="G19" s="12">
        <f t="shared" si="9"/>
        <v>136</v>
      </c>
      <c r="H19" s="12">
        <f t="shared" si="9"/>
        <v>0</v>
      </c>
      <c r="I19" s="12">
        <f t="shared" si="0"/>
        <v>493</v>
      </c>
      <c r="J19" s="12">
        <f t="shared" si="9"/>
        <v>136</v>
      </c>
      <c r="K19" s="12">
        <f>SUM(K20:K20)</f>
        <v>800</v>
      </c>
      <c r="L19" s="12">
        <f t="shared" si="9"/>
        <v>613</v>
      </c>
      <c r="M19" s="12">
        <f t="shared" si="2"/>
        <v>477</v>
      </c>
      <c r="N19" s="12">
        <f t="shared" si="9"/>
        <v>820</v>
      </c>
      <c r="O19" s="12">
        <f t="shared" si="3"/>
        <v>207</v>
      </c>
      <c r="P19" s="12">
        <f t="shared" si="9"/>
        <v>850</v>
      </c>
      <c r="Q19" s="12">
        <f t="shared" si="4"/>
        <v>373</v>
      </c>
    </row>
    <row r="20" spans="1:17" s="26" customFormat="1">
      <c r="A20" s="30" t="s">
        <v>41</v>
      </c>
      <c r="B20" s="31" t="s">
        <v>40</v>
      </c>
      <c r="C20" s="16">
        <f>120</f>
        <v>120</v>
      </c>
      <c r="D20" s="16">
        <f>563+50</f>
        <v>613</v>
      </c>
      <c r="E20" s="13" t="e">
        <f>D20-#REF!</f>
        <v>#REF!</v>
      </c>
      <c r="F20" s="16">
        <v>136</v>
      </c>
      <c r="G20" s="16">
        <v>136</v>
      </c>
      <c r="H20" s="16">
        <v>0</v>
      </c>
      <c r="I20" s="12">
        <f t="shared" si="0"/>
        <v>493</v>
      </c>
      <c r="J20" s="16">
        <v>136</v>
      </c>
      <c r="K20" s="16">
        <v>800</v>
      </c>
      <c r="L20" s="16">
        <f>563+50</f>
        <v>613</v>
      </c>
      <c r="M20" s="12">
        <f t="shared" si="2"/>
        <v>477</v>
      </c>
      <c r="N20" s="16">
        <v>820</v>
      </c>
      <c r="O20" s="12">
        <f t="shared" si="3"/>
        <v>207</v>
      </c>
      <c r="P20" s="16">
        <v>850</v>
      </c>
      <c r="Q20" s="12">
        <f t="shared" si="4"/>
        <v>373</v>
      </c>
    </row>
    <row r="21" spans="1:17" s="26" customFormat="1" ht="27.75" customHeight="1">
      <c r="A21" s="10" t="s">
        <v>42</v>
      </c>
      <c r="B21" s="15" t="s">
        <v>43</v>
      </c>
      <c r="C21" s="12">
        <f>SUM(C22:C22)</f>
        <v>890</v>
      </c>
      <c r="D21" s="12">
        <f>SUM(D22:D22)</f>
        <v>770</v>
      </c>
      <c r="E21" s="13" t="e">
        <f>D21-#REF!</f>
        <v>#REF!</v>
      </c>
      <c r="F21" s="12">
        <f t="shared" ref="F21:P21" si="10">SUM(F22:F22)</f>
        <v>930</v>
      </c>
      <c r="G21" s="12">
        <f t="shared" si="10"/>
        <v>970</v>
      </c>
      <c r="H21" s="12">
        <f t="shared" si="10"/>
        <v>0</v>
      </c>
      <c r="I21" s="12">
        <f t="shared" si="0"/>
        <v>-120</v>
      </c>
      <c r="J21" s="12">
        <f t="shared" si="10"/>
        <v>930</v>
      </c>
      <c r="K21" s="12">
        <f>SUM(K22:K22)</f>
        <v>1154</v>
      </c>
      <c r="L21" s="12">
        <f t="shared" si="10"/>
        <v>790</v>
      </c>
      <c r="M21" s="12">
        <f t="shared" si="2"/>
        <v>-140</v>
      </c>
      <c r="N21" s="12">
        <f t="shared" si="10"/>
        <v>1168</v>
      </c>
      <c r="O21" s="12">
        <f t="shared" si="3"/>
        <v>378</v>
      </c>
      <c r="P21" s="12">
        <f t="shared" si="10"/>
        <v>1182</v>
      </c>
      <c r="Q21" s="12">
        <f t="shared" si="4"/>
        <v>1322</v>
      </c>
    </row>
    <row r="22" spans="1:17" s="26" customFormat="1" ht="32.25" customHeight="1">
      <c r="A22" s="30" t="s">
        <v>44</v>
      </c>
      <c r="B22" s="31" t="s">
        <v>45</v>
      </c>
      <c r="C22" s="16">
        <v>890</v>
      </c>
      <c r="D22" s="16">
        <v>770</v>
      </c>
      <c r="E22" s="13" t="e">
        <f>D22-#REF!</f>
        <v>#REF!</v>
      </c>
      <c r="F22" s="16">
        <v>930</v>
      </c>
      <c r="G22" s="16">
        <v>970</v>
      </c>
      <c r="H22" s="16">
        <v>0</v>
      </c>
      <c r="I22" s="12">
        <f t="shared" si="0"/>
        <v>-120</v>
      </c>
      <c r="J22" s="16">
        <v>930</v>
      </c>
      <c r="K22" s="16">
        <v>1154</v>
      </c>
      <c r="L22" s="16">
        <v>790</v>
      </c>
      <c r="M22" s="12">
        <f t="shared" si="2"/>
        <v>-140</v>
      </c>
      <c r="N22" s="16">
        <v>1168</v>
      </c>
      <c r="O22" s="12">
        <f t="shared" si="3"/>
        <v>378</v>
      </c>
      <c r="P22" s="16">
        <v>1182</v>
      </c>
      <c r="Q22" s="12">
        <f t="shared" si="4"/>
        <v>1322</v>
      </c>
    </row>
    <row r="23" spans="1:17" s="26" customFormat="1" ht="25.5" customHeight="1">
      <c r="A23" s="10" t="s">
        <v>46</v>
      </c>
      <c r="B23" s="28" t="s">
        <v>47</v>
      </c>
      <c r="C23" s="16"/>
      <c r="D23" s="12">
        <f>D24+D26</f>
        <v>4890</v>
      </c>
      <c r="E23" s="13"/>
      <c r="F23" s="12"/>
      <c r="G23" s="12"/>
      <c r="H23" s="12"/>
      <c r="I23" s="12"/>
      <c r="J23" s="12"/>
      <c r="K23" s="12">
        <f>K24+K26</f>
        <v>5820</v>
      </c>
      <c r="L23" s="12">
        <f>L24+L26</f>
        <v>4939</v>
      </c>
      <c r="M23" s="12">
        <f>M24+M26</f>
        <v>0</v>
      </c>
      <c r="N23" s="12">
        <f>N24+N26</f>
        <v>5886</v>
      </c>
      <c r="O23" s="12">
        <f t="shared" si="3"/>
        <v>947</v>
      </c>
      <c r="P23" s="12">
        <f>P24+P26</f>
        <v>5953</v>
      </c>
      <c r="Q23" s="12"/>
    </row>
    <row r="24" spans="1:17" s="26" customFormat="1" ht="21.75" customHeight="1">
      <c r="A24" s="10" t="s">
        <v>48</v>
      </c>
      <c r="B24" s="15" t="s">
        <v>49</v>
      </c>
      <c r="C24" s="12"/>
      <c r="D24" s="12">
        <f>D25</f>
        <v>2357</v>
      </c>
      <c r="E24" s="13"/>
      <c r="F24" s="12"/>
      <c r="G24" s="12"/>
      <c r="H24" s="12"/>
      <c r="I24" s="12"/>
      <c r="J24" s="12"/>
      <c r="K24" s="12">
        <f>K25</f>
        <v>3132</v>
      </c>
      <c r="L24" s="12">
        <f>L25</f>
        <v>2406</v>
      </c>
      <c r="M24" s="12"/>
      <c r="N24" s="12">
        <f>N25</f>
        <v>3198</v>
      </c>
      <c r="O24" s="12">
        <f t="shared" si="3"/>
        <v>792</v>
      </c>
      <c r="P24" s="12">
        <f>P25</f>
        <v>3265</v>
      </c>
      <c r="Q24" s="12"/>
    </row>
    <row r="25" spans="1:17" s="26" customFormat="1" ht="32.25" customHeight="1">
      <c r="A25" s="30" t="s">
        <v>50</v>
      </c>
      <c r="B25" s="31" t="s">
        <v>51</v>
      </c>
      <c r="C25" s="16"/>
      <c r="D25" s="16">
        <v>2357</v>
      </c>
      <c r="E25" s="13"/>
      <c r="F25" s="16"/>
      <c r="G25" s="16"/>
      <c r="H25" s="16"/>
      <c r="I25" s="12"/>
      <c r="J25" s="16"/>
      <c r="K25" s="16">
        <f>3132</f>
        <v>3132</v>
      </c>
      <c r="L25" s="16">
        <v>2406</v>
      </c>
      <c r="M25" s="12"/>
      <c r="N25" s="16">
        <f>3198</f>
        <v>3198</v>
      </c>
      <c r="O25" s="12">
        <f t="shared" si="3"/>
        <v>792</v>
      </c>
      <c r="P25" s="16">
        <f>3265</f>
        <v>3265</v>
      </c>
      <c r="Q25" s="12"/>
    </row>
    <row r="26" spans="1:17" s="26" customFormat="1" ht="19.5" customHeight="1">
      <c r="A26" s="10" t="s">
        <v>52</v>
      </c>
      <c r="B26" s="15" t="s">
        <v>53</v>
      </c>
      <c r="C26" s="12"/>
      <c r="D26" s="12">
        <f>D28+D27</f>
        <v>2533</v>
      </c>
      <c r="E26" s="13"/>
      <c r="F26" s="12"/>
      <c r="G26" s="12"/>
      <c r="H26" s="12"/>
      <c r="I26" s="12"/>
      <c r="J26" s="12"/>
      <c r="K26" s="12">
        <f>K28+K27</f>
        <v>2688</v>
      </c>
      <c r="L26" s="12">
        <f>L28+L27</f>
        <v>2533</v>
      </c>
      <c r="M26" s="12">
        <f>M28+M27</f>
        <v>0</v>
      </c>
      <c r="N26" s="12">
        <f>N28+N27</f>
        <v>2688</v>
      </c>
      <c r="O26" s="12">
        <f t="shared" si="3"/>
        <v>155</v>
      </c>
      <c r="P26" s="12">
        <f>P28+P27</f>
        <v>2688</v>
      </c>
      <c r="Q26" s="12"/>
    </row>
    <row r="27" spans="1:17" s="26" customFormat="1" ht="32.25" customHeight="1">
      <c r="A27" s="30" t="s">
        <v>54</v>
      </c>
      <c r="B27" s="31" t="s">
        <v>55</v>
      </c>
      <c r="C27" s="12"/>
      <c r="D27" s="16">
        <v>1079</v>
      </c>
      <c r="E27" s="32"/>
      <c r="F27" s="16"/>
      <c r="G27" s="16"/>
      <c r="H27" s="16"/>
      <c r="I27" s="16"/>
      <c r="J27" s="16"/>
      <c r="K27" s="16">
        <v>993</v>
      </c>
      <c r="L27" s="16">
        <v>1079</v>
      </c>
      <c r="M27" s="16"/>
      <c r="N27" s="16">
        <v>993</v>
      </c>
      <c r="O27" s="12">
        <f t="shared" si="3"/>
        <v>-86</v>
      </c>
      <c r="P27" s="16">
        <v>993</v>
      </c>
      <c r="Q27" s="12"/>
    </row>
    <row r="28" spans="1:17" s="26" customFormat="1" ht="32.25" customHeight="1">
      <c r="A28" s="30" t="s">
        <v>56</v>
      </c>
      <c r="B28" s="31" t="s">
        <v>57</v>
      </c>
      <c r="C28" s="16"/>
      <c r="D28" s="16">
        <v>1454</v>
      </c>
      <c r="E28" s="13"/>
      <c r="F28" s="16"/>
      <c r="G28" s="16"/>
      <c r="H28" s="16"/>
      <c r="I28" s="12"/>
      <c r="J28" s="16"/>
      <c r="K28" s="16">
        <v>1695</v>
      </c>
      <c r="L28" s="16">
        <v>1454</v>
      </c>
      <c r="M28" s="12"/>
      <c r="N28" s="16">
        <v>1695</v>
      </c>
      <c r="O28" s="12">
        <f t="shared" si="3"/>
        <v>241</v>
      </c>
      <c r="P28" s="16">
        <v>1695</v>
      </c>
      <c r="Q28" s="12"/>
    </row>
    <row r="29" spans="1:17">
      <c r="A29" s="10" t="s">
        <v>58</v>
      </c>
      <c r="B29" s="15" t="s">
        <v>59</v>
      </c>
      <c r="C29" s="12">
        <f>C31</f>
        <v>729</v>
      </c>
      <c r="D29" s="12">
        <f>D31</f>
        <v>793</v>
      </c>
      <c r="E29" s="13" t="e">
        <f>D29-#REF!</f>
        <v>#REF!</v>
      </c>
      <c r="F29" s="12">
        <f>F31</f>
        <v>729</v>
      </c>
      <c r="G29" s="12">
        <f>G31</f>
        <v>729</v>
      </c>
      <c r="H29" s="12">
        <f>H31</f>
        <v>0</v>
      </c>
      <c r="I29" s="12">
        <f t="shared" ref="I29:I94" si="11">D29-C29</f>
        <v>64</v>
      </c>
      <c r="J29" s="12">
        <f>J31</f>
        <v>729</v>
      </c>
      <c r="K29" s="12">
        <f>K31</f>
        <v>755</v>
      </c>
      <c r="L29" s="12">
        <f>L31</f>
        <v>793</v>
      </c>
      <c r="M29" s="12">
        <f t="shared" ref="M29:M47" si="12">L29-J29</f>
        <v>64</v>
      </c>
      <c r="N29" s="12">
        <f>N31</f>
        <v>755</v>
      </c>
      <c r="O29" s="12">
        <f t="shared" si="3"/>
        <v>-38</v>
      </c>
      <c r="P29" s="12">
        <f>P31</f>
        <v>755</v>
      </c>
      <c r="Q29" s="12">
        <f t="shared" si="4"/>
        <v>691</v>
      </c>
    </row>
    <row r="30" spans="1:17" s="26" customFormat="1" ht="29.25" customHeight="1">
      <c r="A30" s="10" t="s">
        <v>60</v>
      </c>
      <c r="B30" s="15" t="s">
        <v>61</v>
      </c>
      <c r="C30" s="12">
        <f>C31</f>
        <v>729</v>
      </c>
      <c r="D30" s="12">
        <f>D31</f>
        <v>793</v>
      </c>
      <c r="E30" s="13" t="e">
        <f>D30-#REF!</f>
        <v>#REF!</v>
      </c>
      <c r="F30" s="12">
        <f t="shared" ref="F30:P30" si="13">F31</f>
        <v>729</v>
      </c>
      <c r="G30" s="12">
        <f t="shared" si="13"/>
        <v>729</v>
      </c>
      <c r="H30" s="12">
        <f t="shared" si="13"/>
        <v>0</v>
      </c>
      <c r="I30" s="12">
        <f t="shared" si="11"/>
        <v>64</v>
      </c>
      <c r="J30" s="12">
        <f t="shared" si="13"/>
        <v>729</v>
      </c>
      <c r="K30" s="12">
        <f>K31</f>
        <v>755</v>
      </c>
      <c r="L30" s="12">
        <f t="shared" si="13"/>
        <v>793</v>
      </c>
      <c r="M30" s="12">
        <f t="shared" si="12"/>
        <v>64</v>
      </c>
      <c r="N30" s="12">
        <f t="shared" si="13"/>
        <v>755</v>
      </c>
      <c r="O30" s="12">
        <f t="shared" si="3"/>
        <v>-38</v>
      </c>
      <c r="P30" s="12">
        <f t="shared" si="13"/>
        <v>755</v>
      </c>
      <c r="Q30" s="12">
        <f t="shared" si="4"/>
        <v>691</v>
      </c>
    </row>
    <row r="31" spans="1:17" ht="31.5" customHeight="1">
      <c r="A31" s="30" t="s">
        <v>62</v>
      </c>
      <c r="B31" s="31" t="s">
        <v>63</v>
      </c>
      <c r="C31" s="16">
        <v>729</v>
      </c>
      <c r="D31" s="16">
        <v>793</v>
      </c>
      <c r="E31" s="13" t="e">
        <f>D31-#REF!</f>
        <v>#REF!</v>
      </c>
      <c r="F31" s="16">
        <v>729</v>
      </c>
      <c r="G31" s="16">
        <v>729</v>
      </c>
      <c r="H31" s="16">
        <v>0</v>
      </c>
      <c r="I31" s="12">
        <f t="shared" si="11"/>
        <v>64</v>
      </c>
      <c r="J31" s="16">
        <v>729</v>
      </c>
      <c r="K31" s="16">
        <v>755</v>
      </c>
      <c r="L31" s="16">
        <v>793</v>
      </c>
      <c r="M31" s="12">
        <f t="shared" si="12"/>
        <v>64</v>
      </c>
      <c r="N31" s="16">
        <v>755</v>
      </c>
      <c r="O31" s="12">
        <f t="shared" si="3"/>
        <v>-38</v>
      </c>
      <c r="P31" s="16">
        <v>755</v>
      </c>
      <c r="Q31" s="12">
        <f t="shared" si="4"/>
        <v>691</v>
      </c>
    </row>
    <row r="32" spans="1:17" ht="33" customHeight="1">
      <c r="A32" s="10" t="s">
        <v>64</v>
      </c>
      <c r="B32" s="15" t="s">
        <v>65</v>
      </c>
      <c r="C32" s="12">
        <f>C33+C35+C40</f>
        <v>4695</v>
      </c>
      <c r="D32" s="12">
        <f>D33+D35+D40</f>
        <v>5384</v>
      </c>
      <c r="E32" s="13" t="e">
        <f>D32-#REF!</f>
        <v>#REF!</v>
      </c>
      <c r="F32" s="12">
        <f>F33+F35+F40</f>
        <v>4695</v>
      </c>
      <c r="G32" s="12">
        <f>G33+G35+G40</f>
        <v>4695</v>
      </c>
      <c r="H32" s="12">
        <f>H33+H35+H40</f>
        <v>0</v>
      </c>
      <c r="I32" s="12">
        <f t="shared" si="11"/>
        <v>689</v>
      </c>
      <c r="J32" s="12">
        <f>J33+J35+J40</f>
        <v>4695</v>
      </c>
      <c r="K32" s="12">
        <f>K33+K35+K40</f>
        <v>5615</v>
      </c>
      <c r="L32" s="12">
        <f>L33+L35+L40</f>
        <v>5384</v>
      </c>
      <c r="M32" s="12">
        <f t="shared" si="12"/>
        <v>689</v>
      </c>
      <c r="N32" s="12">
        <f>N33+N35+N40</f>
        <v>5615</v>
      </c>
      <c r="O32" s="12">
        <f t="shared" si="3"/>
        <v>231</v>
      </c>
      <c r="P32" s="12">
        <f>P33+P35+P40</f>
        <v>5615</v>
      </c>
      <c r="Q32" s="12">
        <f t="shared" si="4"/>
        <v>4926</v>
      </c>
    </row>
    <row r="33" spans="1:17" s="26" customFormat="1" ht="80.25" hidden="1" customHeight="1">
      <c r="A33" s="10" t="s">
        <v>66</v>
      </c>
      <c r="B33" s="33" t="s">
        <v>67</v>
      </c>
      <c r="C33" s="12">
        <f>C34</f>
        <v>0</v>
      </c>
      <c r="D33" s="12">
        <f>D34</f>
        <v>0</v>
      </c>
      <c r="E33" s="13" t="e">
        <f>D33-#REF!</f>
        <v>#REF!</v>
      </c>
      <c r="F33" s="12">
        <f t="shared" ref="F33:P33" si="14">F34</f>
        <v>0</v>
      </c>
      <c r="G33" s="12">
        <f t="shared" si="14"/>
        <v>0</v>
      </c>
      <c r="H33" s="12">
        <f t="shared" si="14"/>
        <v>0</v>
      </c>
      <c r="I33" s="12">
        <f t="shared" si="11"/>
        <v>0</v>
      </c>
      <c r="J33" s="12">
        <f t="shared" si="14"/>
        <v>0</v>
      </c>
      <c r="K33" s="12">
        <f>K34</f>
        <v>0</v>
      </c>
      <c r="L33" s="12">
        <f t="shared" si="14"/>
        <v>0</v>
      </c>
      <c r="M33" s="12">
        <f t="shared" si="12"/>
        <v>0</v>
      </c>
      <c r="N33" s="12">
        <f t="shared" si="14"/>
        <v>0</v>
      </c>
      <c r="O33" s="12">
        <f t="shared" si="3"/>
        <v>0</v>
      </c>
      <c r="P33" s="12">
        <f t="shared" si="14"/>
        <v>0</v>
      </c>
      <c r="Q33" s="12">
        <f t="shared" si="4"/>
        <v>0</v>
      </c>
    </row>
    <row r="34" spans="1:17" ht="52.5" hidden="1" customHeight="1">
      <c r="A34" s="30" t="s">
        <v>68</v>
      </c>
      <c r="B34" s="31" t="s">
        <v>69</v>
      </c>
      <c r="C34" s="16">
        <v>0</v>
      </c>
      <c r="D34" s="16">
        <v>0</v>
      </c>
      <c r="E34" s="13" t="e">
        <f>D34-#REF!</f>
        <v>#REF!</v>
      </c>
      <c r="F34" s="16">
        <v>0</v>
      </c>
      <c r="G34" s="16">
        <v>0</v>
      </c>
      <c r="H34" s="16">
        <v>0</v>
      </c>
      <c r="I34" s="12">
        <f t="shared" si="11"/>
        <v>0</v>
      </c>
      <c r="J34" s="16">
        <v>0</v>
      </c>
      <c r="K34" s="16">
        <v>0</v>
      </c>
      <c r="L34" s="16">
        <v>0</v>
      </c>
      <c r="M34" s="12">
        <f t="shared" si="12"/>
        <v>0</v>
      </c>
      <c r="N34" s="16">
        <v>0</v>
      </c>
      <c r="O34" s="12">
        <f t="shared" si="3"/>
        <v>0</v>
      </c>
      <c r="P34" s="16">
        <v>0</v>
      </c>
      <c r="Q34" s="12">
        <f t="shared" si="4"/>
        <v>0</v>
      </c>
    </row>
    <row r="35" spans="1:17" s="26" customFormat="1" ht="72.75" customHeight="1">
      <c r="A35" s="10" t="s">
        <v>70</v>
      </c>
      <c r="B35" s="33" t="s">
        <v>71</v>
      </c>
      <c r="C35" s="12">
        <f>C36+C38</f>
        <v>3558</v>
      </c>
      <c r="D35" s="12">
        <f>D36+D38</f>
        <v>4234</v>
      </c>
      <c r="E35" s="13" t="e">
        <f>D35-#REF!</f>
        <v>#REF!</v>
      </c>
      <c r="F35" s="12">
        <f>F36+F38</f>
        <v>3558</v>
      </c>
      <c r="G35" s="12">
        <f>G36+G38</f>
        <v>3558</v>
      </c>
      <c r="H35" s="12">
        <f>H36+H38</f>
        <v>0</v>
      </c>
      <c r="I35" s="12">
        <f t="shared" si="11"/>
        <v>676</v>
      </c>
      <c r="J35" s="12">
        <f>J36+J38</f>
        <v>3558</v>
      </c>
      <c r="K35" s="12">
        <f>K36+K38</f>
        <v>4015</v>
      </c>
      <c r="L35" s="12">
        <f>L36+L38</f>
        <v>4234</v>
      </c>
      <c r="M35" s="12">
        <f t="shared" si="12"/>
        <v>676</v>
      </c>
      <c r="N35" s="12">
        <f>N36+N38</f>
        <v>4015</v>
      </c>
      <c r="O35" s="12">
        <f t="shared" si="3"/>
        <v>-219</v>
      </c>
      <c r="P35" s="12">
        <f>P36+P38</f>
        <v>4015</v>
      </c>
      <c r="Q35" s="12">
        <f t="shared" si="4"/>
        <v>3339</v>
      </c>
    </row>
    <row r="36" spans="1:17" s="26" customFormat="1" ht="63.75" customHeight="1">
      <c r="A36" s="10" t="s">
        <v>72</v>
      </c>
      <c r="B36" s="33" t="s">
        <v>73</v>
      </c>
      <c r="C36" s="12">
        <f>C37</f>
        <v>3113</v>
      </c>
      <c r="D36" s="12">
        <f>D37</f>
        <v>3324</v>
      </c>
      <c r="E36" s="13" t="e">
        <f>D36-#REF!</f>
        <v>#REF!</v>
      </c>
      <c r="F36" s="12">
        <f t="shared" ref="F36:P36" si="15">F37</f>
        <v>3113</v>
      </c>
      <c r="G36" s="12">
        <f t="shared" si="15"/>
        <v>3113</v>
      </c>
      <c r="H36" s="12">
        <f t="shared" si="15"/>
        <v>0</v>
      </c>
      <c r="I36" s="12">
        <f t="shared" si="11"/>
        <v>211</v>
      </c>
      <c r="J36" s="12">
        <f t="shared" si="15"/>
        <v>3113</v>
      </c>
      <c r="K36" s="12">
        <f>K37</f>
        <v>3100</v>
      </c>
      <c r="L36" s="12">
        <f t="shared" si="15"/>
        <v>3324</v>
      </c>
      <c r="M36" s="12">
        <f t="shared" si="12"/>
        <v>211</v>
      </c>
      <c r="N36" s="12">
        <f t="shared" si="15"/>
        <v>3100</v>
      </c>
      <c r="O36" s="12">
        <f t="shared" si="3"/>
        <v>-224</v>
      </c>
      <c r="P36" s="12">
        <f t="shared" si="15"/>
        <v>3100</v>
      </c>
      <c r="Q36" s="12">
        <f t="shared" si="4"/>
        <v>2889</v>
      </c>
    </row>
    <row r="37" spans="1:17" ht="66.75" customHeight="1">
      <c r="A37" s="30" t="s">
        <v>74</v>
      </c>
      <c r="B37" s="34" t="s">
        <v>75</v>
      </c>
      <c r="C37" s="16">
        <f>3113</f>
        <v>3113</v>
      </c>
      <c r="D37" s="16">
        <f>3241+83</f>
        <v>3324</v>
      </c>
      <c r="E37" s="13" t="e">
        <f>D37-#REF!</f>
        <v>#REF!</v>
      </c>
      <c r="F37" s="16">
        <v>3113</v>
      </c>
      <c r="G37" s="16">
        <v>3113</v>
      </c>
      <c r="H37" s="16">
        <v>0</v>
      </c>
      <c r="I37" s="12">
        <f t="shared" si="11"/>
        <v>211</v>
      </c>
      <c r="J37" s="16">
        <v>3113</v>
      </c>
      <c r="K37" s="16">
        <v>3100</v>
      </c>
      <c r="L37" s="16">
        <f>3241+83</f>
        <v>3324</v>
      </c>
      <c r="M37" s="12">
        <f t="shared" si="12"/>
        <v>211</v>
      </c>
      <c r="N37" s="16">
        <v>3100</v>
      </c>
      <c r="O37" s="12">
        <f t="shared" si="3"/>
        <v>-224</v>
      </c>
      <c r="P37" s="16">
        <v>3100</v>
      </c>
      <c r="Q37" s="12">
        <f t="shared" si="4"/>
        <v>2889</v>
      </c>
    </row>
    <row r="38" spans="1:17" ht="33" customHeight="1">
      <c r="A38" s="10" t="s">
        <v>76</v>
      </c>
      <c r="B38" s="15" t="s">
        <v>77</v>
      </c>
      <c r="C38" s="12">
        <f>C39</f>
        <v>445</v>
      </c>
      <c r="D38" s="12">
        <f>D39</f>
        <v>910</v>
      </c>
      <c r="E38" s="13" t="e">
        <f>D38-#REF!</f>
        <v>#REF!</v>
      </c>
      <c r="F38" s="12">
        <f t="shared" ref="F38:P38" si="16">F39</f>
        <v>445</v>
      </c>
      <c r="G38" s="12">
        <f t="shared" si="16"/>
        <v>445</v>
      </c>
      <c r="H38" s="12">
        <f t="shared" si="16"/>
        <v>0</v>
      </c>
      <c r="I38" s="12">
        <f t="shared" si="11"/>
        <v>465</v>
      </c>
      <c r="J38" s="12">
        <f t="shared" si="16"/>
        <v>445</v>
      </c>
      <c r="K38" s="12">
        <f>K39</f>
        <v>915</v>
      </c>
      <c r="L38" s="12">
        <f t="shared" si="16"/>
        <v>910</v>
      </c>
      <c r="M38" s="12">
        <f t="shared" si="12"/>
        <v>465</v>
      </c>
      <c r="N38" s="12">
        <f t="shared" si="16"/>
        <v>915</v>
      </c>
      <c r="O38" s="12">
        <f t="shared" si="3"/>
        <v>5</v>
      </c>
      <c r="P38" s="12">
        <f t="shared" si="16"/>
        <v>915</v>
      </c>
      <c r="Q38" s="12">
        <f t="shared" si="4"/>
        <v>450</v>
      </c>
    </row>
    <row r="39" spans="1:17" ht="34.5" customHeight="1">
      <c r="A39" s="30" t="s">
        <v>78</v>
      </c>
      <c r="B39" s="35" t="s">
        <v>79</v>
      </c>
      <c r="C39" s="16">
        <v>445</v>
      </c>
      <c r="D39" s="16">
        <f>418+492</f>
        <v>910</v>
      </c>
      <c r="E39" s="13" t="e">
        <f>D39-#REF!</f>
        <v>#REF!</v>
      </c>
      <c r="F39" s="16">
        <v>445</v>
      </c>
      <c r="G39" s="16">
        <v>445</v>
      </c>
      <c r="H39" s="16">
        <v>0</v>
      </c>
      <c r="I39" s="12">
        <f t="shared" si="11"/>
        <v>465</v>
      </c>
      <c r="J39" s="16">
        <v>445</v>
      </c>
      <c r="K39" s="16">
        <v>915</v>
      </c>
      <c r="L39" s="16">
        <f>418+492</f>
        <v>910</v>
      </c>
      <c r="M39" s="12">
        <f t="shared" si="12"/>
        <v>465</v>
      </c>
      <c r="N39" s="16">
        <v>915</v>
      </c>
      <c r="O39" s="12">
        <f t="shared" si="3"/>
        <v>5</v>
      </c>
      <c r="P39" s="16">
        <v>915</v>
      </c>
      <c r="Q39" s="12">
        <f t="shared" si="4"/>
        <v>450</v>
      </c>
    </row>
    <row r="40" spans="1:17" s="26" customFormat="1" ht="70.5" customHeight="1">
      <c r="A40" s="14" t="s">
        <v>80</v>
      </c>
      <c r="B40" s="33" t="s">
        <v>81</v>
      </c>
      <c r="C40" s="12">
        <f t="shared" ref="C40:P41" si="17">C41</f>
        <v>1137</v>
      </c>
      <c r="D40" s="12">
        <f t="shared" si="17"/>
        <v>1150</v>
      </c>
      <c r="E40" s="13" t="e">
        <f>D40-#REF!</f>
        <v>#REF!</v>
      </c>
      <c r="F40" s="12">
        <f t="shared" si="17"/>
        <v>1137</v>
      </c>
      <c r="G40" s="12">
        <f t="shared" si="17"/>
        <v>1137</v>
      </c>
      <c r="H40" s="12">
        <f t="shared" si="17"/>
        <v>0</v>
      </c>
      <c r="I40" s="12">
        <f t="shared" si="11"/>
        <v>13</v>
      </c>
      <c r="J40" s="12">
        <f t="shared" si="17"/>
        <v>1137</v>
      </c>
      <c r="K40" s="12">
        <f t="shared" si="17"/>
        <v>1600</v>
      </c>
      <c r="L40" s="12">
        <f t="shared" si="17"/>
        <v>1150</v>
      </c>
      <c r="M40" s="12">
        <f t="shared" si="12"/>
        <v>13</v>
      </c>
      <c r="N40" s="12">
        <f t="shared" si="17"/>
        <v>1600</v>
      </c>
      <c r="O40" s="12">
        <f t="shared" si="3"/>
        <v>450</v>
      </c>
      <c r="P40" s="12">
        <f t="shared" si="17"/>
        <v>1600</v>
      </c>
      <c r="Q40" s="12">
        <f t="shared" si="4"/>
        <v>1587</v>
      </c>
    </row>
    <row r="41" spans="1:17" ht="63.75" customHeight="1">
      <c r="A41" s="36" t="s">
        <v>82</v>
      </c>
      <c r="B41" s="37" t="s">
        <v>83</v>
      </c>
      <c r="C41" s="16">
        <f t="shared" si="17"/>
        <v>1137</v>
      </c>
      <c r="D41" s="16">
        <f t="shared" si="17"/>
        <v>1150</v>
      </c>
      <c r="E41" s="13" t="e">
        <f>D41-#REF!</f>
        <v>#REF!</v>
      </c>
      <c r="F41" s="16">
        <f t="shared" si="17"/>
        <v>1137</v>
      </c>
      <c r="G41" s="16">
        <f t="shared" si="17"/>
        <v>1137</v>
      </c>
      <c r="H41" s="16">
        <f t="shared" si="17"/>
        <v>0</v>
      </c>
      <c r="I41" s="12">
        <f t="shared" si="11"/>
        <v>13</v>
      </c>
      <c r="J41" s="16">
        <f t="shared" si="17"/>
        <v>1137</v>
      </c>
      <c r="K41" s="16">
        <f t="shared" si="17"/>
        <v>1600</v>
      </c>
      <c r="L41" s="16">
        <f t="shared" si="17"/>
        <v>1150</v>
      </c>
      <c r="M41" s="12">
        <f t="shared" si="12"/>
        <v>13</v>
      </c>
      <c r="N41" s="16">
        <f t="shared" si="17"/>
        <v>1600</v>
      </c>
      <c r="O41" s="12">
        <f t="shared" si="3"/>
        <v>450</v>
      </c>
      <c r="P41" s="16">
        <f t="shared" si="17"/>
        <v>1600</v>
      </c>
      <c r="Q41" s="12">
        <f t="shared" si="4"/>
        <v>1587</v>
      </c>
    </row>
    <row r="42" spans="1:17" ht="63.75" customHeight="1">
      <c r="A42" s="36" t="s">
        <v>84</v>
      </c>
      <c r="B42" s="38" t="s">
        <v>85</v>
      </c>
      <c r="C42" s="16">
        <f>1137</f>
        <v>1137</v>
      </c>
      <c r="D42" s="16">
        <v>1150</v>
      </c>
      <c r="E42" s="13" t="e">
        <f>D42-#REF!</f>
        <v>#REF!</v>
      </c>
      <c r="F42" s="16">
        <v>1137</v>
      </c>
      <c r="G42" s="16">
        <v>1137</v>
      </c>
      <c r="H42" s="16">
        <v>0</v>
      </c>
      <c r="I42" s="12">
        <f t="shared" si="11"/>
        <v>13</v>
      </c>
      <c r="J42" s="16">
        <v>1137</v>
      </c>
      <c r="K42" s="16">
        <v>1600</v>
      </c>
      <c r="L42" s="16">
        <v>1150</v>
      </c>
      <c r="M42" s="12">
        <f t="shared" si="12"/>
        <v>13</v>
      </c>
      <c r="N42" s="16">
        <v>1600</v>
      </c>
      <c r="O42" s="12">
        <f t="shared" si="3"/>
        <v>450</v>
      </c>
      <c r="P42" s="16">
        <v>1600</v>
      </c>
      <c r="Q42" s="12">
        <f t="shared" si="4"/>
        <v>1587</v>
      </c>
    </row>
    <row r="43" spans="1:17" ht="19.5" customHeight="1">
      <c r="A43" s="10" t="s">
        <v>86</v>
      </c>
      <c r="B43" s="28" t="s">
        <v>87</v>
      </c>
      <c r="C43" s="12">
        <f>C44</f>
        <v>990</v>
      </c>
      <c r="D43" s="12">
        <f>D44</f>
        <v>337</v>
      </c>
      <c r="E43" s="13" t="e">
        <f>D43-#REF!</f>
        <v>#REF!</v>
      </c>
      <c r="F43" s="12">
        <f t="shared" ref="F43:P43" si="18">F44</f>
        <v>1068</v>
      </c>
      <c r="G43" s="12">
        <f t="shared" si="18"/>
        <v>1154</v>
      </c>
      <c r="H43" s="12">
        <f t="shared" si="18"/>
        <v>0</v>
      </c>
      <c r="I43" s="12">
        <f t="shared" si="11"/>
        <v>-653</v>
      </c>
      <c r="J43" s="12">
        <f t="shared" si="18"/>
        <v>1068</v>
      </c>
      <c r="K43" s="12">
        <f>K44</f>
        <v>817</v>
      </c>
      <c r="L43" s="12">
        <f t="shared" si="18"/>
        <v>401</v>
      </c>
      <c r="M43" s="12">
        <f t="shared" si="12"/>
        <v>-667</v>
      </c>
      <c r="N43" s="12">
        <f t="shared" si="18"/>
        <v>865</v>
      </c>
      <c r="O43" s="12">
        <f t="shared" si="3"/>
        <v>464</v>
      </c>
      <c r="P43" s="12">
        <f t="shared" si="18"/>
        <v>916</v>
      </c>
      <c r="Q43" s="12">
        <f t="shared" si="4"/>
        <v>1583</v>
      </c>
    </row>
    <row r="44" spans="1:17" ht="19.5" customHeight="1">
      <c r="A44" s="30" t="s">
        <v>88</v>
      </c>
      <c r="B44" s="39" t="s">
        <v>89</v>
      </c>
      <c r="C44" s="16">
        <v>990</v>
      </c>
      <c r="D44" s="16">
        <v>337</v>
      </c>
      <c r="E44" s="32" t="e">
        <f>D44-#REF!</f>
        <v>#REF!</v>
      </c>
      <c r="F44" s="16">
        <v>1068</v>
      </c>
      <c r="G44" s="16">
        <v>1154</v>
      </c>
      <c r="H44" s="16">
        <v>0</v>
      </c>
      <c r="I44" s="16">
        <f t="shared" si="11"/>
        <v>-653</v>
      </c>
      <c r="J44" s="16">
        <v>1068</v>
      </c>
      <c r="K44" s="16">
        <v>817</v>
      </c>
      <c r="L44" s="16">
        <v>401</v>
      </c>
      <c r="M44" s="16">
        <f t="shared" si="12"/>
        <v>-667</v>
      </c>
      <c r="N44" s="16">
        <v>865</v>
      </c>
      <c r="O44" s="12">
        <f t="shared" si="3"/>
        <v>464</v>
      </c>
      <c r="P44" s="16">
        <v>916</v>
      </c>
      <c r="Q44" s="16">
        <f t="shared" si="4"/>
        <v>1583</v>
      </c>
    </row>
    <row r="45" spans="1:17" ht="40.5" customHeight="1">
      <c r="A45" s="10" t="s">
        <v>90</v>
      </c>
      <c r="B45" s="29" t="s">
        <v>91</v>
      </c>
      <c r="C45" s="12">
        <f>C46+C49</f>
        <v>752</v>
      </c>
      <c r="D45" s="12">
        <f>D46+D49</f>
        <v>1618</v>
      </c>
      <c r="E45" s="13" t="e">
        <f>D45-#REF!</f>
        <v>#REF!</v>
      </c>
      <c r="F45" s="12">
        <f>F46+F49</f>
        <v>752</v>
      </c>
      <c r="G45" s="12">
        <f>G46+G49</f>
        <v>752</v>
      </c>
      <c r="H45" s="12">
        <f>H46+H49</f>
        <v>0</v>
      </c>
      <c r="I45" s="12">
        <f t="shared" si="11"/>
        <v>866</v>
      </c>
      <c r="J45" s="12">
        <f>J46+J49</f>
        <v>752</v>
      </c>
      <c r="K45" s="12">
        <f>K46+K49</f>
        <v>2006</v>
      </c>
      <c r="L45" s="12">
        <f>L46+L49</f>
        <v>1625</v>
      </c>
      <c r="M45" s="12">
        <f t="shared" si="12"/>
        <v>873</v>
      </c>
      <c r="N45" s="12">
        <f>N46+N49</f>
        <v>2006</v>
      </c>
      <c r="O45" s="12">
        <f t="shared" si="3"/>
        <v>381</v>
      </c>
      <c r="P45" s="12">
        <f>P46+P49</f>
        <v>2006</v>
      </c>
      <c r="Q45" s="40">
        <f t="shared" si="4"/>
        <v>1133</v>
      </c>
    </row>
    <row r="46" spans="1:17" s="26" customFormat="1" ht="21.75" customHeight="1">
      <c r="A46" s="10" t="s">
        <v>92</v>
      </c>
      <c r="B46" s="29" t="s">
        <v>93</v>
      </c>
      <c r="C46" s="12">
        <f>C48</f>
        <v>752</v>
      </c>
      <c r="D46" s="12">
        <f>D48</f>
        <v>726.8</v>
      </c>
      <c r="E46" s="13" t="e">
        <f>D46-#REF!</f>
        <v>#REF!</v>
      </c>
      <c r="F46" s="12">
        <f>F48</f>
        <v>752</v>
      </c>
      <c r="G46" s="12">
        <f>G48</f>
        <v>752</v>
      </c>
      <c r="H46" s="12">
        <f>H48</f>
        <v>0</v>
      </c>
      <c r="I46" s="12">
        <f t="shared" si="11"/>
        <v>-25.200000000000045</v>
      </c>
      <c r="J46" s="12">
        <f>J48</f>
        <v>752</v>
      </c>
      <c r="K46" s="12">
        <f>K48</f>
        <v>726.8</v>
      </c>
      <c r="L46" s="12">
        <f>L48</f>
        <v>726.8</v>
      </c>
      <c r="M46" s="12">
        <f t="shared" si="12"/>
        <v>-25.200000000000045</v>
      </c>
      <c r="N46" s="12">
        <f>N48</f>
        <v>726.8</v>
      </c>
      <c r="O46" s="12">
        <f t="shared" si="3"/>
        <v>0</v>
      </c>
      <c r="P46" s="12">
        <f>P48</f>
        <v>726.8</v>
      </c>
      <c r="Q46" s="12">
        <f t="shared" si="4"/>
        <v>752</v>
      </c>
    </row>
    <row r="47" spans="1:17" ht="23.25" customHeight="1">
      <c r="A47" s="30" t="s">
        <v>94</v>
      </c>
      <c r="B47" s="41" t="s">
        <v>95</v>
      </c>
      <c r="C47" s="16">
        <f>C48</f>
        <v>752</v>
      </c>
      <c r="D47" s="16">
        <f>D48</f>
        <v>726.8</v>
      </c>
      <c r="E47" s="13" t="e">
        <f>D47-#REF!</f>
        <v>#REF!</v>
      </c>
      <c r="F47" s="16">
        <f t="shared" ref="F47:P47" si="19">F48</f>
        <v>752</v>
      </c>
      <c r="G47" s="16">
        <f t="shared" si="19"/>
        <v>752</v>
      </c>
      <c r="H47" s="16">
        <f t="shared" si="19"/>
        <v>0</v>
      </c>
      <c r="I47" s="12">
        <f t="shared" si="11"/>
        <v>-25.200000000000045</v>
      </c>
      <c r="J47" s="16">
        <f t="shared" si="19"/>
        <v>752</v>
      </c>
      <c r="K47" s="16">
        <f>K48</f>
        <v>726.8</v>
      </c>
      <c r="L47" s="16">
        <f t="shared" si="19"/>
        <v>726.8</v>
      </c>
      <c r="M47" s="12">
        <f t="shared" si="12"/>
        <v>-25.200000000000045</v>
      </c>
      <c r="N47" s="16">
        <f t="shared" si="19"/>
        <v>726.8</v>
      </c>
      <c r="O47" s="12">
        <f t="shared" si="3"/>
        <v>0</v>
      </c>
      <c r="P47" s="16">
        <f t="shared" si="19"/>
        <v>726.8</v>
      </c>
      <c r="Q47" s="12">
        <f t="shared" si="4"/>
        <v>752</v>
      </c>
    </row>
    <row r="48" spans="1:17" ht="32.25" customHeight="1">
      <c r="A48" s="30" t="s">
        <v>96</v>
      </c>
      <c r="B48" s="42" t="s">
        <v>97</v>
      </c>
      <c r="C48" s="16">
        <v>752</v>
      </c>
      <c r="D48" s="16">
        <v>726.8</v>
      </c>
      <c r="E48" s="13" t="e">
        <f>D48-#REF!</f>
        <v>#REF!</v>
      </c>
      <c r="F48" s="16">
        <v>752</v>
      </c>
      <c r="G48" s="16">
        <v>752</v>
      </c>
      <c r="H48" s="16">
        <v>0</v>
      </c>
      <c r="I48" s="12">
        <f t="shared" si="11"/>
        <v>-25.200000000000045</v>
      </c>
      <c r="J48" s="16">
        <v>752</v>
      </c>
      <c r="K48" s="16">
        <v>726.8</v>
      </c>
      <c r="L48" s="16">
        <v>726.8</v>
      </c>
      <c r="M48" s="16">
        <v>726.8</v>
      </c>
      <c r="N48" s="16">
        <v>726.8</v>
      </c>
      <c r="O48" s="16">
        <v>726.8</v>
      </c>
      <c r="P48" s="16">
        <v>726.8</v>
      </c>
      <c r="Q48" s="12">
        <f t="shared" si="4"/>
        <v>0</v>
      </c>
    </row>
    <row r="49" spans="1:17" s="26" customFormat="1" ht="22.5" customHeight="1">
      <c r="A49" s="10" t="s">
        <v>98</v>
      </c>
      <c r="B49" s="29" t="s">
        <v>99</v>
      </c>
      <c r="C49" s="12">
        <f t="shared" ref="C49:P50" si="20">C50</f>
        <v>0</v>
      </c>
      <c r="D49" s="12">
        <f t="shared" si="20"/>
        <v>891.2</v>
      </c>
      <c r="E49" s="13" t="e">
        <f>D49-#REF!</f>
        <v>#REF!</v>
      </c>
      <c r="F49" s="12">
        <f t="shared" si="20"/>
        <v>0</v>
      </c>
      <c r="G49" s="12">
        <f t="shared" si="20"/>
        <v>0</v>
      </c>
      <c r="H49" s="12">
        <f t="shared" si="20"/>
        <v>0</v>
      </c>
      <c r="I49" s="12">
        <f t="shared" si="11"/>
        <v>891.2</v>
      </c>
      <c r="J49" s="12">
        <f t="shared" si="20"/>
        <v>0</v>
      </c>
      <c r="K49" s="12">
        <f t="shared" si="20"/>
        <v>1279.2</v>
      </c>
      <c r="L49" s="12">
        <f t="shared" si="20"/>
        <v>898.2</v>
      </c>
      <c r="M49" s="12">
        <f>L49-J49</f>
        <v>898.2</v>
      </c>
      <c r="N49" s="12">
        <f t="shared" si="20"/>
        <v>1279.2</v>
      </c>
      <c r="O49" s="12">
        <f t="shared" si="3"/>
        <v>381</v>
      </c>
      <c r="P49" s="12">
        <f t="shared" si="20"/>
        <v>1279.2</v>
      </c>
      <c r="Q49" s="12">
        <f t="shared" si="4"/>
        <v>381</v>
      </c>
    </row>
    <row r="50" spans="1:17" ht="22.5" customHeight="1">
      <c r="A50" s="43" t="s">
        <v>100</v>
      </c>
      <c r="B50" s="42" t="s">
        <v>101</v>
      </c>
      <c r="C50" s="16">
        <f t="shared" si="20"/>
        <v>0</v>
      </c>
      <c r="D50" s="16">
        <f t="shared" si="20"/>
        <v>891.2</v>
      </c>
      <c r="E50" s="13" t="e">
        <f>D50-#REF!</f>
        <v>#REF!</v>
      </c>
      <c r="F50" s="16">
        <f t="shared" si="20"/>
        <v>0</v>
      </c>
      <c r="G50" s="16">
        <f t="shared" si="20"/>
        <v>0</v>
      </c>
      <c r="H50" s="16">
        <f t="shared" si="20"/>
        <v>0</v>
      </c>
      <c r="I50" s="12">
        <f t="shared" si="11"/>
        <v>891.2</v>
      </c>
      <c r="J50" s="16">
        <f t="shared" si="20"/>
        <v>0</v>
      </c>
      <c r="K50" s="16">
        <f t="shared" si="20"/>
        <v>1279.2</v>
      </c>
      <c r="L50" s="16">
        <f t="shared" si="20"/>
        <v>898.2</v>
      </c>
      <c r="M50" s="12">
        <f>L50-J50</f>
        <v>898.2</v>
      </c>
      <c r="N50" s="16">
        <f t="shared" si="20"/>
        <v>1279.2</v>
      </c>
      <c r="O50" s="12">
        <f t="shared" si="3"/>
        <v>381</v>
      </c>
      <c r="P50" s="16">
        <f t="shared" si="20"/>
        <v>1279.2</v>
      </c>
      <c r="Q50" s="12">
        <f t="shared" si="4"/>
        <v>381</v>
      </c>
    </row>
    <row r="51" spans="1:17" ht="31.5" customHeight="1">
      <c r="A51" s="30" t="s">
        <v>102</v>
      </c>
      <c r="B51" s="41" t="s">
        <v>103</v>
      </c>
      <c r="C51" s="16">
        <v>0</v>
      </c>
      <c r="D51" s="16">
        <v>891.2</v>
      </c>
      <c r="E51" s="13" t="e">
        <f>D51-#REF!</f>
        <v>#REF!</v>
      </c>
      <c r="F51" s="16">
        <v>0</v>
      </c>
      <c r="G51" s="16">
        <v>0</v>
      </c>
      <c r="H51" s="16">
        <v>0</v>
      </c>
      <c r="I51" s="12">
        <f t="shared" si="11"/>
        <v>891.2</v>
      </c>
      <c r="J51" s="16">
        <v>0</v>
      </c>
      <c r="K51" s="16">
        <f>2006-K48</f>
        <v>1279.2</v>
      </c>
      <c r="L51" s="16">
        <f>891.2+7</f>
        <v>898.2</v>
      </c>
      <c r="M51" s="16">
        <v>891.2</v>
      </c>
      <c r="N51" s="16">
        <f>2006-N48</f>
        <v>1279.2</v>
      </c>
      <c r="O51" s="16">
        <f>2006-O48</f>
        <v>1279.2</v>
      </c>
      <c r="P51" s="16">
        <f>2006-P48</f>
        <v>1279.2</v>
      </c>
      <c r="Q51" s="12">
        <f t="shared" si="4"/>
        <v>388</v>
      </c>
    </row>
    <row r="52" spans="1:17" ht="28.5" customHeight="1">
      <c r="A52" s="10" t="s">
        <v>104</v>
      </c>
      <c r="B52" s="15" t="s">
        <v>105</v>
      </c>
      <c r="C52" s="12">
        <f>C53+C56</f>
        <v>1579</v>
      </c>
      <c r="D52" s="12">
        <f>D53+D56</f>
        <v>1500</v>
      </c>
      <c r="E52" s="13" t="e">
        <f>D52-#REF!</f>
        <v>#REF!</v>
      </c>
      <c r="F52" s="12">
        <f>F53+F56</f>
        <v>1579</v>
      </c>
      <c r="G52" s="12">
        <f>G53+G56</f>
        <v>1579</v>
      </c>
      <c r="H52" s="12">
        <f>H53+H56</f>
        <v>0</v>
      </c>
      <c r="I52" s="12">
        <f t="shared" si="11"/>
        <v>-79</v>
      </c>
      <c r="J52" s="12">
        <f>J53+J56</f>
        <v>1579</v>
      </c>
      <c r="K52" s="12">
        <f>K53+K56</f>
        <v>2674</v>
      </c>
      <c r="L52" s="12">
        <f>L53+L56</f>
        <v>1500</v>
      </c>
      <c r="M52" s="12">
        <f t="shared" ref="M52:M60" si="21">L52-J52</f>
        <v>-79</v>
      </c>
      <c r="N52" s="12">
        <f>N53+N56</f>
        <v>1294</v>
      </c>
      <c r="O52" s="12">
        <f t="shared" si="3"/>
        <v>-206</v>
      </c>
      <c r="P52" s="12">
        <f>P53+P56</f>
        <v>1014</v>
      </c>
      <c r="Q52" s="12">
        <f t="shared" si="4"/>
        <v>1093</v>
      </c>
    </row>
    <row r="53" spans="1:17" s="26" customFormat="1" ht="74.25" customHeight="1">
      <c r="A53" s="44" t="s">
        <v>106</v>
      </c>
      <c r="B53" s="33" t="s">
        <v>107</v>
      </c>
      <c r="C53" s="12">
        <f t="shared" ref="C53:P54" si="22">C54</f>
        <v>479</v>
      </c>
      <c r="D53" s="12">
        <f t="shared" si="22"/>
        <v>400</v>
      </c>
      <c r="E53" s="13" t="e">
        <f>D53-#REF!</f>
        <v>#REF!</v>
      </c>
      <c r="F53" s="12">
        <f t="shared" si="22"/>
        <v>479</v>
      </c>
      <c r="G53" s="12">
        <f t="shared" si="22"/>
        <v>479</v>
      </c>
      <c r="H53" s="12">
        <f t="shared" si="22"/>
        <v>0</v>
      </c>
      <c r="I53" s="12">
        <f t="shared" si="11"/>
        <v>-79</v>
      </c>
      <c r="J53" s="12">
        <f t="shared" si="22"/>
        <v>479</v>
      </c>
      <c r="K53" s="12">
        <f t="shared" si="22"/>
        <v>1820</v>
      </c>
      <c r="L53" s="12">
        <f t="shared" si="22"/>
        <v>400</v>
      </c>
      <c r="M53" s="12">
        <f t="shared" si="21"/>
        <v>-79</v>
      </c>
      <c r="N53" s="12">
        <f t="shared" si="22"/>
        <v>440</v>
      </c>
      <c r="O53" s="12">
        <f t="shared" si="3"/>
        <v>40</v>
      </c>
      <c r="P53" s="12">
        <f t="shared" si="22"/>
        <v>300</v>
      </c>
      <c r="Q53" s="12">
        <f t="shared" si="4"/>
        <v>379</v>
      </c>
    </row>
    <row r="54" spans="1:17" ht="75.75" customHeight="1">
      <c r="A54" s="30" t="s">
        <v>108</v>
      </c>
      <c r="B54" s="45" t="s">
        <v>109</v>
      </c>
      <c r="C54" s="16">
        <f t="shared" si="22"/>
        <v>479</v>
      </c>
      <c r="D54" s="16">
        <f t="shared" si="22"/>
        <v>400</v>
      </c>
      <c r="E54" s="13" t="e">
        <f>D54-#REF!</f>
        <v>#REF!</v>
      </c>
      <c r="F54" s="16">
        <f t="shared" si="22"/>
        <v>479</v>
      </c>
      <c r="G54" s="16">
        <f t="shared" si="22"/>
        <v>479</v>
      </c>
      <c r="H54" s="16">
        <f t="shared" si="22"/>
        <v>0</v>
      </c>
      <c r="I54" s="12">
        <f t="shared" si="11"/>
        <v>-79</v>
      </c>
      <c r="J54" s="16">
        <f t="shared" si="22"/>
        <v>479</v>
      </c>
      <c r="K54" s="16">
        <f t="shared" si="22"/>
        <v>1820</v>
      </c>
      <c r="L54" s="16">
        <f t="shared" si="22"/>
        <v>400</v>
      </c>
      <c r="M54" s="12">
        <f t="shared" si="21"/>
        <v>-79</v>
      </c>
      <c r="N54" s="16">
        <f t="shared" si="22"/>
        <v>440</v>
      </c>
      <c r="O54" s="12">
        <f t="shared" si="3"/>
        <v>40</v>
      </c>
      <c r="P54" s="16">
        <f t="shared" si="22"/>
        <v>300</v>
      </c>
      <c r="Q54" s="12">
        <f t="shared" si="4"/>
        <v>379</v>
      </c>
    </row>
    <row r="55" spans="1:17" ht="78" customHeight="1">
      <c r="A55" s="36" t="s">
        <v>110</v>
      </c>
      <c r="B55" s="46" t="s">
        <v>111</v>
      </c>
      <c r="C55" s="16">
        <v>479</v>
      </c>
      <c r="D55" s="16">
        <v>400</v>
      </c>
      <c r="E55" s="13" t="e">
        <f>D55-#REF!</f>
        <v>#REF!</v>
      </c>
      <c r="F55" s="16">
        <v>479</v>
      </c>
      <c r="G55" s="16">
        <v>479</v>
      </c>
      <c r="H55" s="16">
        <v>0</v>
      </c>
      <c r="I55" s="12">
        <f t="shared" si="11"/>
        <v>-79</v>
      </c>
      <c r="J55" s="16">
        <v>479</v>
      </c>
      <c r="K55" s="16">
        <f>140+660+200+400+420</f>
        <v>1820</v>
      </c>
      <c r="L55" s="16">
        <v>400</v>
      </c>
      <c r="M55" s="12">
        <f t="shared" si="21"/>
        <v>-79</v>
      </c>
      <c r="N55" s="16">
        <f>140+300</f>
        <v>440</v>
      </c>
      <c r="O55" s="12">
        <f t="shared" si="3"/>
        <v>40</v>
      </c>
      <c r="P55" s="16">
        <v>300</v>
      </c>
      <c r="Q55" s="12">
        <f t="shared" si="4"/>
        <v>379</v>
      </c>
    </row>
    <row r="56" spans="1:17" s="26" customFormat="1" ht="32.25" customHeight="1">
      <c r="A56" s="10" t="s">
        <v>112</v>
      </c>
      <c r="B56" s="33" t="s">
        <v>113</v>
      </c>
      <c r="C56" s="12">
        <f t="shared" ref="C56:P57" si="23">C57</f>
        <v>1100</v>
      </c>
      <c r="D56" s="12">
        <f t="shared" si="23"/>
        <v>1100</v>
      </c>
      <c r="E56" s="13" t="e">
        <f>D56-#REF!</f>
        <v>#REF!</v>
      </c>
      <c r="F56" s="12">
        <f t="shared" si="23"/>
        <v>1100</v>
      </c>
      <c r="G56" s="12">
        <f t="shared" si="23"/>
        <v>1100</v>
      </c>
      <c r="H56" s="12">
        <f t="shared" si="23"/>
        <v>0</v>
      </c>
      <c r="I56" s="12">
        <f t="shared" si="11"/>
        <v>0</v>
      </c>
      <c r="J56" s="12">
        <f t="shared" si="23"/>
        <v>1100</v>
      </c>
      <c r="K56" s="12">
        <f t="shared" si="23"/>
        <v>854</v>
      </c>
      <c r="L56" s="12">
        <f t="shared" si="23"/>
        <v>1100</v>
      </c>
      <c r="M56" s="12">
        <f t="shared" si="21"/>
        <v>0</v>
      </c>
      <c r="N56" s="12">
        <f t="shared" si="23"/>
        <v>854</v>
      </c>
      <c r="O56" s="12">
        <f t="shared" si="3"/>
        <v>-246</v>
      </c>
      <c r="P56" s="12">
        <f t="shared" si="23"/>
        <v>714</v>
      </c>
      <c r="Q56" s="12">
        <f t="shared" si="4"/>
        <v>714</v>
      </c>
    </row>
    <row r="57" spans="1:17" ht="28.5" customHeight="1">
      <c r="A57" s="30" t="s">
        <v>114</v>
      </c>
      <c r="B57" s="37" t="s">
        <v>115</v>
      </c>
      <c r="C57" s="16">
        <f t="shared" si="23"/>
        <v>1100</v>
      </c>
      <c r="D57" s="16">
        <f t="shared" si="23"/>
        <v>1100</v>
      </c>
      <c r="E57" s="13" t="e">
        <f>D57-#REF!</f>
        <v>#REF!</v>
      </c>
      <c r="F57" s="16">
        <f t="shared" si="23"/>
        <v>1100</v>
      </c>
      <c r="G57" s="16">
        <f t="shared" si="23"/>
        <v>1100</v>
      </c>
      <c r="H57" s="16">
        <f t="shared" si="23"/>
        <v>0</v>
      </c>
      <c r="I57" s="12">
        <f t="shared" si="11"/>
        <v>0</v>
      </c>
      <c r="J57" s="16">
        <f t="shared" si="23"/>
        <v>1100</v>
      </c>
      <c r="K57" s="16">
        <f t="shared" si="23"/>
        <v>854</v>
      </c>
      <c r="L57" s="16">
        <f t="shared" si="23"/>
        <v>1100</v>
      </c>
      <c r="M57" s="12">
        <f t="shared" si="21"/>
        <v>0</v>
      </c>
      <c r="N57" s="16">
        <f t="shared" si="23"/>
        <v>854</v>
      </c>
      <c r="O57" s="12">
        <f t="shared" si="3"/>
        <v>-246</v>
      </c>
      <c r="P57" s="16">
        <f t="shared" si="23"/>
        <v>714</v>
      </c>
      <c r="Q57" s="12">
        <f t="shared" si="4"/>
        <v>714</v>
      </c>
    </row>
    <row r="58" spans="1:17" ht="33" customHeight="1">
      <c r="A58" s="30" t="s">
        <v>116</v>
      </c>
      <c r="B58" s="31" t="s">
        <v>117</v>
      </c>
      <c r="C58" s="16">
        <v>1100</v>
      </c>
      <c r="D58" s="16">
        <v>1100</v>
      </c>
      <c r="E58" s="13" t="e">
        <f>D58-#REF!</f>
        <v>#REF!</v>
      </c>
      <c r="F58" s="16">
        <v>1100</v>
      </c>
      <c r="G58" s="16">
        <v>1100</v>
      </c>
      <c r="H58" s="16">
        <v>0</v>
      </c>
      <c r="I58" s="12">
        <f t="shared" si="11"/>
        <v>0</v>
      </c>
      <c r="J58" s="16">
        <v>1100</v>
      </c>
      <c r="K58" s="16">
        <f>572+282</f>
        <v>854</v>
      </c>
      <c r="L58" s="16">
        <v>1100</v>
      </c>
      <c r="M58" s="12">
        <f t="shared" si="21"/>
        <v>0</v>
      </c>
      <c r="N58" s="16">
        <f>572+282</f>
        <v>854</v>
      </c>
      <c r="O58" s="12">
        <f t="shared" si="3"/>
        <v>-246</v>
      </c>
      <c r="P58" s="16">
        <f>572+142</f>
        <v>714</v>
      </c>
      <c r="Q58" s="12">
        <f t="shared" si="4"/>
        <v>714</v>
      </c>
    </row>
    <row r="59" spans="1:17" ht="17.25" customHeight="1">
      <c r="A59" s="10" t="s">
        <v>118</v>
      </c>
      <c r="B59" s="15" t="s">
        <v>119</v>
      </c>
      <c r="C59" s="12">
        <v>394</v>
      </c>
      <c r="D59" s="12">
        <v>399</v>
      </c>
      <c r="E59" s="13" t="e">
        <f>D59-#REF!</f>
        <v>#REF!</v>
      </c>
      <c r="F59" s="12">
        <v>399</v>
      </c>
      <c r="G59" s="12">
        <v>409</v>
      </c>
      <c r="H59" s="12">
        <v>0</v>
      </c>
      <c r="I59" s="12">
        <f t="shared" si="11"/>
        <v>5</v>
      </c>
      <c r="J59" s="12">
        <v>399</v>
      </c>
      <c r="K59" s="12">
        <v>360</v>
      </c>
      <c r="L59" s="12">
        <v>409</v>
      </c>
      <c r="M59" s="12">
        <f t="shared" si="21"/>
        <v>10</v>
      </c>
      <c r="N59" s="12">
        <v>360</v>
      </c>
      <c r="O59" s="12">
        <f t="shared" ref="N59:P60" si="24">O60+O62</f>
        <v>2747.3999999999996</v>
      </c>
      <c r="P59" s="12">
        <v>360</v>
      </c>
      <c r="Q59" s="12">
        <f t="shared" si="4"/>
        <v>350</v>
      </c>
    </row>
    <row r="60" spans="1:17" ht="17.25" customHeight="1">
      <c r="A60" s="10" t="s">
        <v>120</v>
      </c>
      <c r="B60" s="15" t="s">
        <v>121</v>
      </c>
      <c r="C60" s="12">
        <v>394</v>
      </c>
      <c r="D60" s="12">
        <v>0</v>
      </c>
      <c r="E60" s="13" t="e">
        <f>D60-#REF!</f>
        <v>#REF!</v>
      </c>
      <c r="F60" s="12">
        <v>399</v>
      </c>
      <c r="G60" s="12">
        <v>409</v>
      </c>
      <c r="H60" s="12">
        <v>0</v>
      </c>
      <c r="I60" s="12">
        <f t="shared" si="11"/>
        <v>-394</v>
      </c>
      <c r="J60" s="12">
        <v>399</v>
      </c>
      <c r="K60" s="12">
        <f>K61+K63</f>
        <v>40</v>
      </c>
      <c r="L60" s="12">
        <v>0</v>
      </c>
      <c r="M60" s="12">
        <f t="shared" si="21"/>
        <v>-399</v>
      </c>
      <c r="N60" s="12">
        <f t="shared" si="24"/>
        <v>40</v>
      </c>
      <c r="O60" s="12">
        <f t="shared" si="24"/>
        <v>1831.6</v>
      </c>
      <c r="P60" s="12">
        <f t="shared" si="24"/>
        <v>40</v>
      </c>
      <c r="Q60" s="12">
        <f>P60-M60</f>
        <v>439</v>
      </c>
    </row>
    <row r="61" spans="1:17" ht="17.25" customHeight="1">
      <c r="A61" s="10" t="s">
        <v>122</v>
      </c>
      <c r="B61" s="15" t="s">
        <v>123</v>
      </c>
      <c r="C61" s="12"/>
      <c r="D61" s="12"/>
      <c r="E61" s="13"/>
      <c r="F61" s="12"/>
      <c r="G61" s="12"/>
      <c r="H61" s="12"/>
      <c r="I61" s="12"/>
      <c r="J61" s="12"/>
      <c r="K61" s="12">
        <f>K62</f>
        <v>40</v>
      </c>
      <c r="L61" s="12"/>
      <c r="M61" s="12"/>
      <c r="N61" s="12">
        <f>N62</f>
        <v>40</v>
      </c>
      <c r="O61" s="12">
        <f>O62</f>
        <v>915.8</v>
      </c>
      <c r="P61" s="12">
        <f>P62</f>
        <v>40</v>
      </c>
      <c r="Q61" s="12"/>
    </row>
    <row r="62" spans="1:17" ht="17.25" customHeight="1">
      <c r="A62" s="30" t="s">
        <v>124</v>
      </c>
      <c r="B62" s="31" t="s">
        <v>125</v>
      </c>
      <c r="C62" s="12"/>
      <c r="D62" s="12"/>
      <c r="E62" s="13"/>
      <c r="F62" s="12"/>
      <c r="G62" s="12"/>
      <c r="H62" s="12"/>
      <c r="I62" s="12"/>
      <c r="J62" s="12"/>
      <c r="K62" s="16">
        <v>40</v>
      </c>
      <c r="L62" s="12"/>
      <c r="M62" s="12"/>
      <c r="N62" s="16">
        <v>40</v>
      </c>
      <c r="O62" s="16">
        <v>915.8</v>
      </c>
      <c r="P62" s="16">
        <v>40</v>
      </c>
      <c r="Q62" s="12"/>
    </row>
    <row r="63" spans="1:17" ht="17.25" hidden="1" customHeight="1">
      <c r="A63" s="10" t="s">
        <v>126</v>
      </c>
      <c r="B63" s="15" t="s">
        <v>127</v>
      </c>
      <c r="C63" s="12"/>
      <c r="D63" s="12"/>
      <c r="E63" s="13"/>
      <c r="F63" s="12"/>
      <c r="G63" s="12"/>
      <c r="H63" s="12"/>
      <c r="I63" s="12"/>
      <c r="J63" s="12"/>
      <c r="K63" s="12">
        <f>K64</f>
        <v>0</v>
      </c>
      <c r="L63" s="12"/>
      <c r="M63" s="12"/>
      <c r="N63" s="12">
        <f>N64</f>
        <v>0</v>
      </c>
      <c r="O63" s="12">
        <f>O64</f>
        <v>915.8</v>
      </c>
      <c r="P63" s="12">
        <f>P64</f>
        <v>0</v>
      </c>
      <c r="Q63" s="12"/>
    </row>
    <row r="64" spans="1:17" ht="17.25" hidden="1" customHeight="1">
      <c r="A64" s="30" t="s">
        <v>128</v>
      </c>
      <c r="B64" s="31" t="s">
        <v>129</v>
      </c>
      <c r="C64" s="12"/>
      <c r="D64" s="12"/>
      <c r="E64" s="13"/>
      <c r="F64" s="12"/>
      <c r="G64" s="12"/>
      <c r="H64" s="12"/>
      <c r="I64" s="12"/>
      <c r="J64" s="12"/>
      <c r="K64" s="16"/>
      <c r="L64" s="12"/>
      <c r="M64" s="12"/>
      <c r="N64" s="16"/>
      <c r="O64" s="16">
        <v>915.8</v>
      </c>
      <c r="P64" s="16"/>
      <c r="Q64" s="12"/>
    </row>
    <row r="65" spans="1:17" ht="26.25" customHeight="1">
      <c r="A65" s="47" t="s">
        <v>130</v>
      </c>
      <c r="B65" s="28" t="s">
        <v>131</v>
      </c>
      <c r="C65" s="12" t="e">
        <f>C66+C167</f>
        <v>#REF!</v>
      </c>
      <c r="D65" s="12">
        <f>D66+D167+D164</f>
        <v>602791.99999999988</v>
      </c>
      <c r="E65" s="13" t="e">
        <f>D65-#REF!</f>
        <v>#REF!</v>
      </c>
      <c r="F65" s="12" t="e">
        <f>F66+F168</f>
        <v>#REF!</v>
      </c>
      <c r="G65" s="12" t="e">
        <f>G66+G168</f>
        <v>#REF!</v>
      </c>
      <c r="H65" s="12" t="e">
        <f>H66+H168</f>
        <v>#REF!</v>
      </c>
      <c r="I65" s="12" t="e">
        <f t="shared" si="11"/>
        <v>#REF!</v>
      </c>
      <c r="J65" s="12" t="e">
        <f>J66+J167+J164</f>
        <v>#REF!</v>
      </c>
      <c r="K65" s="12">
        <f>K66+K167+K164</f>
        <v>766743.66999999993</v>
      </c>
      <c r="L65" s="12">
        <f>L66+L167+L164</f>
        <v>639773</v>
      </c>
      <c r="M65" s="12" t="e">
        <f>L65-J65</f>
        <v>#REF!</v>
      </c>
      <c r="N65" s="12">
        <f>N66+N167+N164</f>
        <v>396026.989</v>
      </c>
      <c r="O65" s="12">
        <f t="shared" si="3"/>
        <v>-243746.011</v>
      </c>
      <c r="P65" s="12">
        <f>P66+P167+P164</f>
        <v>396549</v>
      </c>
      <c r="Q65" s="12" t="e">
        <f t="shared" si="4"/>
        <v>#REF!</v>
      </c>
    </row>
    <row r="66" spans="1:17" ht="31.5" customHeight="1">
      <c r="A66" s="47" t="s">
        <v>132</v>
      </c>
      <c r="B66" s="15" t="s">
        <v>133</v>
      </c>
      <c r="C66" s="12" t="e">
        <f>C74+C134+C159+C67</f>
        <v>#REF!</v>
      </c>
      <c r="D66" s="12">
        <f>D74+D134+D159+D67</f>
        <v>602791.99999999988</v>
      </c>
      <c r="E66" s="13" t="e">
        <f>D66-#REF!</f>
        <v>#REF!</v>
      </c>
      <c r="F66" s="12" t="e">
        <f>F74+F134+F159+F67</f>
        <v>#REF!</v>
      </c>
      <c r="G66" s="12" t="e">
        <f>G74+G134+G159+G67</f>
        <v>#REF!</v>
      </c>
      <c r="H66" s="12" t="e">
        <f>H74+H134+H159+H67</f>
        <v>#REF!</v>
      </c>
      <c r="I66" s="12" t="e">
        <f t="shared" si="11"/>
        <v>#REF!</v>
      </c>
      <c r="J66" s="12" t="e">
        <f>J74+J134+J159+J67</f>
        <v>#REF!</v>
      </c>
      <c r="K66" s="12">
        <f>K74+K134+K159+K67</f>
        <v>766743.66999999993</v>
      </c>
      <c r="L66" s="12">
        <f>L74+L134+L159+L67</f>
        <v>639773</v>
      </c>
      <c r="M66" s="12" t="e">
        <f>L66-J66</f>
        <v>#REF!</v>
      </c>
      <c r="N66" s="12">
        <f>N74+N134+N159+N67</f>
        <v>396026.989</v>
      </c>
      <c r="O66" s="12">
        <f t="shared" si="3"/>
        <v>-243746.011</v>
      </c>
      <c r="P66" s="12">
        <f>P74+P134+P159+P67</f>
        <v>396549</v>
      </c>
      <c r="Q66" s="12" t="e">
        <f t="shared" si="4"/>
        <v>#REF!</v>
      </c>
    </row>
    <row r="67" spans="1:17" ht="20.25" customHeight="1">
      <c r="A67" s="47" t="s">
        <v>134</v>
      </c>
      <c r="B67" s="48" t="s">
        <v>135</v>
      </c>
      <c r="C67" s="12" t="e">
        <f>C68+C72+#REF!</f>
        <v>#REF!</v>
      </c>
      <c r="D67" s="12">
        <f>D68+D72+D70</f>
        <v>124260.4</v>
      </c>
      <c r="E67" s="13" t="e">
        <f>D67-#REF!</f>
        <v>#REF!</v>
      </c>
      <c r="F67" s="12" t="e">
        <f>F68+F72+#REF!</f>
        <v>#REF!</v>
      </c>
      <c r="G67" s="12">
        <f>G68+G72</f>
        <v>104958.9</v>
      </c>
      <c r="H67" s="12">
        <f>H68+H72</f>
        <v>0</v>
      </c>
      <c r="I67" s="12" t="e">
        <f t="shared" si="11"/>
        <v>#REF!</v>
      </c>
      <c r="J67" s="12" t="e">
        <f>J68+J72+#REF!</f>
        <v>#REF!</v>
      </c>
      <c r="K67" s="12">
        <f>K68+K72+K70</f>
        <v>132593.70000000001</v>
      </c>
      <c r="L67" s="12">
        <f>L68+L72</f>
        <v>126168.90000000001</v>
      </c>
      <c r="M67" s="12">
        <f>M68+M72</f>
        <v>22196.30000000001</v>
      </c>
      <c r="N67" s="12">
        <f>N68+N72</f>
        <v>132353.29999999999</v>
      </c>
      <c r="O67" s="12">
        <f t="shared" si="3"/>
        <v>6184.3999999999796</v>
      </c>
      <c r="P67" s="12">
        <f>P68+P72</f>
        <v>135325.90000000002</v>
      </c>
      <c r="Q67" s="12">
        <f t="shared" si="4"/>
        <v>113129.60000000001</v>
      </c>
    </row>
    <row r="68" spans="1:17" ht="20.25" customHeight="1">
      <c r="A68" s="49" t="s">
        <v>136</v>
      </c>
      <c r="B68" s="50" t="s">
        <v>137</v>
      </c>
      <c r="C68" s="12">
        <f>C69</f>
        <v>52957.5</v>
      </c>
      <c r="D68" s="12">
        <f>D69</f>
        <v>58668.5</v>
      </c>
      <c r="E68" s="13" t="e">
        <f>D68-#REF!</f>
        <v>#REF!</v>
      </c>
      <c r="F68" s="12">
        <f t="shared" ref="F68:P68" si="25">F69</f>
        <v>56497.5</v>
      </c>
      <c r="G68" s="12">
        <f t="shared" si="25"/>
        <v>57483.8</v>
      </c>
      <c r="H68" s="12">
        <f t="shared" si="25"/>
        <v>0</v>
      </c>
      <c r="I68" s="12">
        <f t="shared" si="11"/>
        <v>5711</v>
      </c>
      <c r="J68" s="12">
        <f t="shared" si="25"/>
        <v>56497.5</v>
      </c>
      <c r="K68" s="12">
        <f>K69</f>
        <v>54906.8</v>
      </c>
      <c r="L68" s="12">
        <f t="shared" si="25"/>
        <v>56669.8</v>
      </c>
      <c r="M68" s="12">
        <f>L68-J68</f>
        <v>172.30000000000291</v>
      </c>
      <c r="N68" s="12">
        <f t="shared" si="25"/>
        <v>50527.199999999997</v>
      </c>
      <c r="O68" s="12">
        <f t="shared" si="3"/>
        <v>-6142.6000000000058</v>
      </c>
      <c r="P68" s="12">
        <f t="shared" si="25"/>
        <v>49473.3</v>
      </c>
      <c r="Q68" s="12">
        <f t="shared" si="4"/>
        <v>49301</v>
      </c>
    </row>
    <row r="69" spans="1:17" ht="33.75" customHeight="1">
      <c r="A69" s="49" t="s">
        <v>138</v>
      </c>
      <c r="B69" s="50" t="s">
        <v>139</v>
      </c>
      <c r="C69" s="16">
        <v>52957.5</v>
      </c>
      <c r="D69" s="16">
        <v>58668.5</v>
      </c>
      <c r="E69" s="13" t="e">
        <f>D69-#REF!</f>
        <v>#REF!</v>
      </c>
      <c r="F69" s="16">
        <v>56497.5</v>
      </c>
      <c r="G69" s="16">
        <v>57483.8</v>
      </c>
      <c r="H69" s="16">
        <v>0</v>
      </c>
      <c r="I69" s="12">
        <f t="shared" si="11"/>
        <v>5711</v>
      </c>
      <c r="J69" s="16">
        <v>56497.5</v>
      </c>
      <c r="K69" s="16">
        <v>54906.8</v>
      </c>
      <c r="L69" s="16">
        <v>56669.8</v>
      </c>
      <c r="M69" s="12">
        <f>L69-J69</f>
        <v>172.30000000000291</v>
      </c>
      <c r="N69" s="16">
        <v>50527.199999999997</v>
      </c>
      <c r="O69" s="12">
        <f t="shared" si="3"/>
        <v>-6142.6000000000058</v>
      </c>
      <c r="P69" s="16">
        <v>49473.3</v>
      </c>
      <c r="Q69" s="12">
        <f t="shared" si="4"/>
        <v>49301</v>
      </c>
    </row>
    <row r="70" spans="1:17" ht="29.25" hidden="1" customHeight="1">
      <c r="A70" s="49" t="s">
        <v>140</v>
      </c>
      <c r="B70" s="50" t="s">
        <v>141</v>
      </c>
      <c r="C70" s="16"/>
      <c r="D70" s="12">
        <f>D71</f>
        <v>0</v>
      </c>
      <c r="E70" s="13"/>
      <c r="F70" s="12"/>
      <c r="G70" s="12"/>
      <c r="H70" s="12"/>
      <c r="I70" s="12"/>
      <c r="J70" s="12"/>
      <c r="K70" s="12">
        <f>K71</f>
        <v>0</v>
      </c>
      <c r="L70" s="12">
        <f>L71</f>
        <v>0</v>
      </c>
      <c r="M70" s="12"/>
      <c r="N70" s="12">
        <f>N71</f>
        <v>0</v>
      </c>
      <c r="O70" s="12">
        <f t="shared" si="3"/>
        <v>0</v>
      </c>
      <c r="P70" s="12">
        <f>P71</f>
        <v>0</v>
      </c>
      <c r="Q70" s="12"/>
    </row>
    <row r="71" spans="1:17" ht="33.75" hidden="1" customHeight="1">
      <c r="A71" s="49" t="s">
        <v>142</v>
      </c>
      <c r="B71" s="50" t="s">
        <v>143</v>
      </c>
      <c r="C71" s="16"/>
      <c r="D71" s="16">
        <v>0</v>
      </c>
      <c r="E71" s="13"/>
      <c r="F71" s="16"/>
      <c r="G71" s="16"/>
      <c r="H71" s="16"/>
      <c r="I71" s="12"/>
      <c r="J71" s="16"/>
      <c r="K71" s="16"/>
      <c r="L71" s="16">
        <v>0</v>
      </c>
      <c r="M71" s="12"/>
      <c r="N71" s="16"/>
      <c r="O71" s="16">
        <f t="shared" si="3"/>
        <v>0</v>
      </c>
      <c r="P71" s="16"/>
      <c r="Q71" s="12"/>
    </row>
    <row r="72" spans="1:17" ht="33.75" customHeight="1">
      <c r="A72" s="49" t="s">
        <v>144</v>
      </c>
      <c r="B72" s="51" t="s">
        <v>145</v>
      </c>
      <c r="C72" s="12">
        <f>C73</f>
        <v>47475.1</v>
      </c>
      <c r="D72" s="12">
        <f>D73</f>
        <v>65591.899999999994</v>
      </c>
      <c r="E72" s="13" t="e">
        <f>D72-#REF!</f>
        <v>#REF!</v>
      </c>
      <c r="F72" s="12">
        <f t="shared" ref="F72:P72" si="26">F73</f>
        <v>47475.1</v>
      </c>
      <c r="G72" s="12">
        <f t="shared" si="26"/>
        <v>47475.1</v>
      </c>
      <c r="H72" s="12">
        <f t="shared" si="26"/>
        <v>0</v>
      </c>
      <c r="I72" s="12">
        <f t="shared" si="11"/>
        <v>18116.799999999996</v>
      </c>
      <c r="J72" s="12">
        <f t="shared" si="26"/>
        <v>47475.1</v>
      </c>
      <c r="K72" s="12">
        <f>K73</f>
        <v>77686.899999999994</v>
      </c>
      <c r="L72" s="12">
        <f t="shared" si="26"/>
        <v>69499.100000000006</v>
      </c>
      <c r="M72" s="12">
        <f>L72-J72</f>
        <v>22024.000000000007</v>
      </c>
      <c r="N72" s="12">
        <f t="shared" si="26"/>
        <v>81826.100000000006</v>
      </c>
      <c r="O72" s="12">
        <f t="shared" si="3"/>
        <v>12327</v>
      </c>
      <c r="P72" s="12">
        <f t="shared" si="26"/>
        <v>85852.6</v>
      </c>
      <c r="Q72" s="12">
        <f t="shared" si="4"/>
        <v>63828.6</v>
      </c>
    </row>
    <row r="73" spans="1:17" ht="44.25" customHeight="1">
      <c r="A73" s="49" t="s">
        <v>146</v>
      </c>
      <c r="B73" s="51" t="s">
        <v>147</v>
      </c>
      <c r="C73" s="16">
        <f>47475.1</f>
        <v>47475.1</v>
      </c>
      <c r="D73" s="16">
        <v>65591.899999999994</v>
      </c>
      <c r="E73" s="13" t="e">
        <f>D73-#REF!</f>
        <v>#REF!</v>
      </c>
      <c r="F73" s="16">
        <v>47475.1</v>
      </c>
      <c r="G73" s="16">
        <v>47475.1</v>
      </c>
      <c r="H73" s="16">
        <v>0</v>
      </c>
      <c r="I73" s="12">
        <f t="shared" si="11"/>
        <v>18116.799999999996</v>
      </c>
      <c r="J73" s="16">
        <v>47475.1</v>
      </c>
      <c r="K73" s="16">
        <v>77686.899999999994</v>
      </c>
      <c r="L73" s="16">
        <v>69499.100000000006</v>
      </c>
      <c r="M73" s="12">
        <f>L73-J73</f>
        <v>22024.000000000007</v>
      </c>
      <c r="N73" s="16">
        <v>81826.100000000006</v>
      </c>
      <c r="O73" s="12">
        <f t="shared" si="3"/>
        <v>12327</v>
      </c>
      <c r="P73" s="16">
        <v>85852.6</v>
      </c>
      <c r="Q73" s="12">
        <f t="shared" si="4"/>
        <v>63828.6</v>
      </c>
    </row>
    <row r="74" spans="1:17" ht="33" customHeight="1">
      <c r="A74" s="47" t="s">
        <v>148</v>
      </c>
      <c r="B74" s="22" t="s">
        <v>149</v>
      </c>
      <c r="C74" s="12" t="e">
        <f>C107+C99+#REF!+C93+C81+C85+#REF!+C87+C91+C103+C77+C89+#REF!+#REF!+#REF!+C75</f>
        <v>#REF!</v>
      </c>
      <c r="D74" s="12">
        <f>D107+D99+D93+D81+D85+D87+D91+D103+D77+D89+D75+D97+D105+D79+D83</f>
        <v>278065.39999999997</v>
      </c>
      <c r="E74" s="13" t="e">
        <f>D74-#REF!</f>
        <v>#REF!</v>
      </c>
      <c r="F74" s="12" t="e">
        <f>F107+F99+#REF!+F93+F81+F85+#REF!+F87+F91+F103+F77+F89+#REF!+#REF!+#REF!+F75</f>
        <v>#REF!</v>
      </c>
      <c r="G74" s="12" t="e">
        <f>G107+G99+#REF!+G93+G81+G85+#REF!+G87+G91+G103+G77+G89+#REF!+#REF!+#REF!+G75</f>
        <v>#REF!</v>
      </c>
      <c r="H74" s="12" t="e">
        <f>H107+H99+#REF!+H93+H81+H85+#REF!+H87+H91+H103+H77+H89+#REF!+#REF!+#REF!+H75</f>
        <v>#REF!</v>
      </c>
      <c r="I74" s="12" t="e">
        <f>D74-C74</f>
        <v>#REF!</v>
      </c>
      <c r="J74" s="12" t="e">
        <f>J107+J99+#REF!+J93+J81+J85+#REF!+J87+J91+J103+J77+J89+#REF!+#REF!+#REF!+J75</f>
        <v>#REF!</v>
      </c>
      <c r="K74" s="12">
        <f>K107+K99+K93+K81+K85+K87+K91+K103+K77+K89+K75+K97+K105+K79+K83+K101+K95</f>
        <v>420483.17</v>
      </c>
      <c r="L74" s="12">
        <f>L107+L99+L93+L81+L85+L87+L91+L103+L77+L89+L75+L97+L105+L79+L83</f>
        <v>302932.3</v>
      </c>
      <c r="M74" s="12">
        <f>M107+M99+M93+M81+M85+M87+M91+M103+M77+M89+M75+M97+M105</f>
        <v>113776.87999999999</v>
      </c>
      <c r="N74" s="12">
        <f>N107+N99+N93+N81+N85+N87+N91+N103+N77+N89+N75+N97+N105+N79+N83+N101+N95</f>
        <v>37515.888999999996</v>
      </c>
      <c r="O74" s="12">
        <f>O107+O99+O93+O81+O85+O87+O91+O103+O77+O89+O75+O97+O105+O79+O83+O101+O95</f>
        <v>-265416.41099999996</v>
      </c>
      <c r="P74" s="12">
        <f>P107+P99+P93+P81+P85+P87+P91+P103+P77+P89+P75+P97+P105+P79+P83+P101+P95</f>
        <v>20191.2</v>
      </c>
      <c r="Q74" s="12">
        <f t="shared" si="4"/>
        <v>-93585.68</v>
      </c>
    </row>
    <row r="75" spans="1:17" ht="36.75" customHeight="1">
      <c r="A75" s="52" t="s">
        <v>150</v>
      </c>
      <c r="B75" s="35" t="s">
        <v>151</v>
      </c>
      <c r="C75" s="12">
        <f>C76</f>
        <v>156924.9</v>
      </c>
      <c r="D75" s="12">
        <f>D76</f>
        <v>0</v>
      </c>
      <c r="E75" s="13" t="e">
        <f>D75-#REF!</f>
        <v>#REF!</v>
      </c>
      <c r="F75" s="12">
        <f t="shared" ref="F75:P75" si="27">F76</f>
        <v>0</v>
      </c>
      <c r="G75" s="12">
        <f t="shared" si="27"/>
        <v>0</v>
      </c>
      <c r="H75" s="12">
        <f t="shared" si="27"/>
        <v>0</v>
      </c>
      <c r="I75" s="12">
        <f t="shared" si="11"/>
        <v>-156924.9</v>
      </c>
      <c r="J75" s="12">
        <f t="shared" si="27"/>
        <v>0</v>
      </c>
      <c r="K75" s="12">
        <f>K76</f>
        <v>137159</v>
      </c>
      <c r="L75" s="12">
        <f t="shared" si="27"/>
        <v>0</v>
      </c>
      <c r="M75" s="12">
        <f>L75-J75</f>
        <v>0</v>
      </c>
      <c r="N75" s="12">
        <f t="shared" si="27"/>
        <v>0</v>
      </c>
      <c r="O75" s="12">
        <f t="shared" si="3"/>
        <v>0</v>
      </c>
      <c r="P75" s="12">
        <f t="shared" si="27"/>
        <v>0</v>
      </c>
      <c r="Q75" s="12">
        <f t="shared" si="4"/>
        <v>0</v>
      </c>
    </row>
    <row r="76" spans="1:17" ht="36.75" customHeight="1">
      <c r="A76" s="52" t="s">
        <v>152</v>
      </c>
      <c r="B76" s="35" t="s">
        <v>153</v>
      </c>
      <c r="C76" s="16">
        <v>156924.9</v>
      </c>
      <c r="D76" s="16">
        <v>0</v>
      </c>
      <c r="E76" s="13" t="e">
        <f>D76-#REF!</f>
        <v>#REF!</v>
      </c>
      <c r="F76" s="16">
        <v>0</v>
      </c>
      <c r="G76" s="16">
        <v>0</v>
      </c>
      <c r="H76" s="16">
        <v>0</v>
      </c>
      <c r="I76" s="12">
        <f t="shared" si="11"/>
        <v>-156924.9</v>
      </c>
      <c r="J76" s="16">
        <v>0</v>
      </c>
      <c r="K76" s="16">
        <v>137159</v>
      </c>
      <c r="L76" s="16">
        <v>0</v>
      </c>
      <c r="M76" s="12">
        <f>L76-J76</f>
        <v>0</v>
      </c>
      <c r="N76" s="16">
        <v>0</v>
      </c>
      <c r="O76" s="12">
        <f t="shared" ref="O76:O155" si="28">N76-L76</f>
        <v>0</v>
      </c>
      <c r="P76" s="16">
        <v>0</v>
      </c>
      <c r="Q76" s="12">
        <f t="shared" si="4"/>
        <v>0</v>
      </c>
    </row>
    <row r="77" spans="1:17" ht="97.5" customHeight="1">
      <c r="A77" s="52" t="s">
        <v>154</v>
      </c>
      <c r="B77" s="53" t="s">
        <v>155</v>
      </c>
      <c r="C77" s="12">
        <f>C78</f>
        <v>29743.34</v>
      </c>
      <c r="D77" s="12">
        <f>D78</f>
        <v>57011.8</v>
      </c>
      <c r="E77" s="13" t="e">
        <f>D77-#REF!</f>
        <v>#REF!</v>
      </c>
      <c r="F77" s="12">
        <f t="shared" ref="F77:P77" si="29">F78</f>
        <v>137412.56200000001</v>
      </c>
      <c r="G77" s="12">
        <f t="shared" si="29"/>
        <v>0</v>
      </c>
      <c r="H77" s="12">
        <f t="shared" si="29"/>
        <v>0</v>
      </c>
      <c r="I77" s="12">
        <f t="shared" si="11"/>
        <v>27268.460000000003</v>
      </c>
      <c r="J77" s="12">
        <f t="shared" si="29"/>
        <v>57011.847999999998</v>
      </c>
      <c r="K77" s="12">
        <f>K78</f>
        <v>57806.1</v>
      </c>
      <c r="L77" s="12">
        <f t="shared" si="29"/>
        <v>81292.2</v>
      </c>
      <c r="M77" s="12">
        <f>L77-J77</f>
        <v>24280.351999999999</v>
      </c>
      <c r="N77" s="12">
        <f t="shared" si="29"/>
        <v>0</v>
      </c>
      <c r="O77" s="12">
        <f t="shared" si="28"/>
        <v>-81292.2</v>
      </c>
      <c r="P77" s="12">
        <f t="shared" si="29"/>
        <v>0</v>
      </c>
      <c r="Q77" s="12">
        <f t="shared" si="4"/>
        <v>-24280.351999999999</v>
      </c>
    </row>
    <row r="78" spans="1:17" ht="97.5" customHeight="1">
      <c r="A78" s="52" t="s">
        <v>156</v>
      </c>
      <c r="B78" s="53" t="s">
        <v>157</v>
      </c>
      <c r="C78" s="16">
        <f>12906.536+16836.804</f>
        <v>29743.34</v>
      </c>
      <c r="D78" s="16">
        <v>57011.8</v>
      </c>
      <c r="E78" s="13" t="e">
        <f>D78-#REF!</f>
        <v>#REF!</v>
      </c>
      <c r="F78" s="16">
        <v>137412.56200000001</v>
      </c>
      <c r="G78" s="16">
        <v>0</v>
      </c>
      <c r="H78" s="16">
        <v>0</v>
      </c>
      <c r="I78" s="12">
        <f t="shared" si="11"/>
        <v>27268.460000000003</v>
      </c>
      <c r="J78" s="16">
        <f>137412.562-80400.714</f>
        <v>57011.847999999998</v>
      </c>
      <c r="K78" s="16">
        <v>57806.1</v>
      </c>
      <c r="L78" s="16">
        <v>81292.2</v>
      </c>
      <c r="M78" s="12">
        <f>L78-J78</f>
        <v>24280.351999999999</v>
      </c>
      <c r="N78" s="16">
        <v>0</v>
      </c>
      <c r="O78" s="12">
        <f t="shared" si="28"/>
        <v>-81292.2</v>
      </c>
      <c r="P78" s="16">
        <v>0</v>
      </c>
      <c r="Q78" s="40">
        <f t="shared" si="4"/>
        <v>-24280.351999999999</v>
      </c>
    </row>
    <row r="79" spans="1:17" ht="51.75" hidden="1" customHeight="1">
      <c r="A79" s="52" t="s">
        <v>158</v>
      </c>
      <c r="B79" s="53" t="s">
        <v>159</v>
      </c>
      <c r="C79" s="16"/>
      <c r="D79" s="12">
        <f>D80</f>
        <v>0</v>
      </c>
      <c r="E79" s="13"/>
      <c r="F79" s="12"/>
      <c r="G79" s="12"/>
      <c r="H79" s="12"/>
      <c r="I79" s="12"/>
      <c r="J79" s="12"/>
      <c r="K79" s="12">
        <f>K80</f>
        <v>0</v>
      </c>
      <c r="L79" s="12">
        <f>L80</f>
        <v>0</v>
      </c>
      <c r="M79" s="12"/>
      <c r="N79" s="12">
        <f>N80</f>
        <v>0</v>
      </c>
      <c r="O79" s="12">
        <f>O80</f>
        <v>0</v>
      </c>
      <c r="P79" s="12">
        <f>P80</f>
        <v>0</v>
      </c>
      <c r="Q79" s="40"/>
    </row>
    <row r="80" spans="1:17" ht="48" hidden="1" customHeight="1">
      <c r="A80" s="52" t="s">
        <v>160</v>
      </c>
      <c r="B80" s="53" t="s">
        <v>161</v>
      </c>
      <c r="C80" s="16"/>
      <c r="D80" s="16">
        <v>0</v>
      </c>
      <c r="E80" s="32"/>
      <c r="F80" s="16"/>
      <c r="G80" s="16"/>
      <c r="H80" s="16"/>
      <c r="I80" s="16"/>
      <c r="J80" s="16"/>
      <c r="K80" s="16"/>
      <c r="L80" s="16">
        <v>0</v>
      </c>
      <c r="M80" s="16"/>
      <c r="N80" s="16"/>
      <c r="O80" s="16">
        <v>0</v>
      </c>
      <c r="P80" s="16">
        <v>0</v>
      </c>
      <c r="Q80" s="40"/>
    </row>
    <row r="81" spans="1:17" ht="71.25" customHeight="1">
      <c r="A81" s="52" t="s">
        <v>162</v>
      </c>
      <c r="B81" s="54" t="s">
        <v>163</v>
      </c>
      <c r="C81" s="12">
        <f>C82</f>
        <v>27113.699000000001</v>
      </c>
      <c r="D81" s="12">
        <f>D82</f>
        <v>143728.79999999999</v>
      </c>
      <c r="E81" s="13" t="e">
        <f>D81-#REF!</f>
        <v>#REF!</v>
      </c>
      <c r="F81" s="12">
        <f t="shared" ref="F81:P81" si="30">F82</f>
        <v>52981.008999999998</v>
      </c>
      <c r="G81" s="12">
        <f t="shared" si="30"/>
        <v>0</v>
      </c>
      <c r="H81" s="12">
        <f t="shared" si="30"/>
        <v>0</v>
      </c>
      <c r="I81" s="12">
        <f t="shared" si="11"/>
        <v>116615.101</v>
      </c>
      <c r="J81" s="12">
        <f t="shared" si="30"/>
        <v>3514.7089999999953</v>
      </c>
      <c r="K81" s="12">
        <f>K82</f>
        <v>102987.3</v>
      </c>
      <c r="L81" s="12">
        <f t="shared" si="30"/>
        <v>118670.1</v>
      </c>
      <c r="M81" s="12">
        <f>L81-J81</f>
        <v>115155.391</v>
      </c>
      <c r="N81" s="12">
        <f t="shared" si="30"/>
        <v>0</v>
      </c>
      <c r="O81" s="12">
        <f t="shared" si="28"/>
        <v>-118670.1</v>
      </c>
      <c r="P81" s="12">
        <f t="shared" si="30"/>
        <v>0</v>
      </c>
      <c r="Q81" s="12">
        <f t="shared" si="4"/>
        <v>-115155.391</v>
      </c>
    </row>
    <row r="82" spans="1:17" ht="70.5" customHeight="1">
      <c r="A82" s="52" t="s">
        <v>164</v>
      </c>
      <c r="B82" s="53" t="s">
        <v>165</v>
      </c>
      <c r="C82" s="16">
        <f>4864.768+22248.931</f>
        <v>27113.699000000001</v>
      </c>
      <c r="D82" s="16">
        <v>143728.79999999999</v>
      </c>
      <c r="E82" s="13" t="e">
        <f>D82-#REF!</f>
        <v>#REF!</v>
      </c>
      <c r="F82" s="16">
        <v>52981.008999999998</v>
      </c>
      <c r="G82" s="16">
        <v>0</v>
      </c>
      <c r="H82" s="16">
        <v>0</v>
      </c>
      <c r="I82" s="12">
        <f t="shared" si="11"/>
        <v>116615.101</v>
      </c>
      <c r="J82" s="16">
        <f>52981.009-49466.3</f>
        <v>3514.7089999999953</v>
      </c>
      <c r="K82" s="16">
        <v>102987.3</v>
      </c>
      <c r="L82" s="16">
        <v>118670.1</v>
      </c>
      <c r="M82" s="12">
        <f>L82-J82</f>
        <v>115155.391</v>
      </c>
      <c r="N82" s="16">
        <v>0</v>
      </c>
      <c r="O82" s="12">
        <f t="shared" si="28"/>
        <v>-118670.1</v>
      </c>
      <c r="P82" s="16">
        <v>0</v>
      </c>
      <c r="Q82" s="12">
        <f t="shared" si="4"/>
        <v>-115155.391</v>
      </c>
    </row>
    <row r="83" spans="1:17" ht="29.25" hidden="1" customHeight="1">
      <c r="A83" s="52" t="s">
        <v>166</v>
      </c>
      <c r="B83" s="53" t="s">
        <v>167</v>
      </c>
      <c r="C83" s="16"/>
      <c r="D83" s="12">
        <f>D84</f>
        <v>0</v>
      </c>
      <c r="E83" s="13"/>
      <c r="F83" s="12"/>
      <c r="G83" s="12"/>
      <c r="H83" s="12"/>
      <c r="I83" s="12"/>
      <c r="J83" s="12"/>
      <c r="K83" s="12">
        <f>K84</f>
        <v>0</v>
      </c>
      <c r="L83" s="12">
        <f>L84</f>
        <v>0</v>
      </c>
      <c r="M83" s="12"/>
      <c r="N83" s="12">
        <f>N84</f>
        <v>0</v>
      </c>
      <c r="O83" s="12">
        <f>O84</f>
        <v>0</v>
      </c>
      <c r="P83" s="12">
        <v>0</v>
      </c>
      <c r="Q83" s="12"/>
    </row>
    <row r="84" spans="1:17" ht="31.5" hidden="1" customHeight="1">
      <c r="A84" s="52" t="s">
        <v>168</v>
      </c>
      <c r="B84" s="53" t="s">
        <v>169</v>
      </c>
      <c r="C84" s="16"/>
      <c r="D84" s="16">
        <v>0</v>
      </c>
      <c r="E84" s="13"/>
      <c r="F84" s="16"/>
      <c r="G84" s="16"/>
      <c r="H84" s="16"/>
      <c r="I84" s="12"/>
      <c r="J84" s="16"/>
      <c r="K84" s="16"/>
      <c r="L84" s="16">
        <v>0</v>
      </c>
      <c r="M84" s="12"/>
      <c r="N84" s="16"/>
      <c r="O84" s="12">
        <v>0</v>
      </c>
      <c r="P84" s="16"/>
      <c r="Q84" s="12"/>
    </row>
    <row r="85" spans="1:17" ht="63" hidden="1" customHeight="1">
      <c r="A85" s="52" t="s">
        <v>170</v>
      </c>
      <c r="B85" s="55" t="s">
        <v>171</v>
      </c>
      <c r="C85" s="12">
        <f>C86</f>
        <v>0</v>
      </c>
      <c r="D85" s="12">
        <f>D86</f>
        <v>2195.1</v>
      </c>
      <c r="E85" s="13" t="e">
        <f>D85-#REF!</f>
        <v>#REF!</v>
      </c>
      <c r="F85" s="12">
        <f t="shared" ref="F85:P85" si="31">F86</f>
        <v>1568.5</v>
      </c>
      <c r="G85" s="12">
        <f t="shared" si="31"/>
        <v>3000</v>
      </c>
      <c r="H85" s="12">
        <f t="shared" si="31"/>
        <v>0</v>
      </c>
      <c r="I85" s="12">
        <f t="shared" si="11"/>
        <v>2195.1</v>
      </c>
      <c r="J85" s="12">
        <f t="shared" si="31"/>
        <v>1568.5</v>
      </c>
      <c r="K85" s="12">
        <f>K86</f>
        <v>0</v>
      </c>
      <c r="L85" s="12">
        <f t="shared" si="31"/>
        <v>0</v>
      </c>
      <c r="M85" s="12">
        <f t="shared" ref="M85:M94" si="32">L85-J85</f>
        <v>-1568.5</v>
      </c>
      <c r="N85" s="12">
        <f t="shared" si="31"/>
        <v>0</v>
      </c>
      <c r="O85" s="12">
        <f t="shared" si="28"/>
        <v>0</v>
      </c>
      <c r="P85" s="12">
        <f t="shared" si="31"/>
        <v>0</v>
      </c>
      <c r="Q85" s="12">
        <f t="shared" si="4"/>
        <v>1568.5</v>
      </c>
    </row>
    <row r="86" spans="1:17" ht="63.75" hidden="1" customHeight="1">
      <c r="A86" s="52" t="s">
        <v>172</v>
      </c>
      <c r="B86" s="55" t="s">
        <v>173</v>
      </c>
      <c r="C86" s="16">
        <v>0</v>
      </c>
      <c r="D86" s="16">
        <v>2195.1</v>
      </c>
      <c r="E86" s="13" t="e">
        <f>D86-#REF!</f>
        <v>#REF!</v>
      </c>
      <c r="F86" s="16">
        <v>1568.5</v>
      </c>
      <c r="G86" s="16">
        <v>3000</v>
      </c>
      <c r="H86" s="16">
        <v>0</v>
      </c>
      <c r="I86" s="12">
        <f t="shared" si="11"/>
        <v>2195.1</v>
      </c>
      <c r="J86" s="16">
        <v>1568.5</v>
      </c>
      <c r="K86" s="16">
        <v>0</v>
      </c>
      <c r="L86" s="16">
        <v>0</v>
      </c>
      <c r="M86" s="12">
        <f t="shared" si="32"/>
        <v>-1568.5</v>
      </c>
      <c r="N86" s="16">
        <v>0</v>
      </c>
      <c r="O86" s="12">
        <f t="shared" si="28"/>
        <v>0</v>
      </c>
      <c r="P86" s="16">
        <v>0</v>
      </c>
      <c r="Q86" s="12">
        <f t="shared" si="4"/>
        <v>1568.5</v>
      </c>
    </row>
    <row r="87" spans="1:17" ht="45.75" hidden="1" customHeight="1">
      <c r="A87" s="52" t="s">
        <v>174</v>
      </c>
      <c r="B87" s="46" t="s">
        <v>175</v>
      </c>
      <c r="C87" s="12">
        <f>C88</f>
        <v>1584.9069999999999</v>
      </c>
      <c r="D87" s="12">
        <f>D88</f>
        <v>3196.9</v>
      </c>
      <c r="E87" s="13" t="e">
        <f>D87-#REF!</f>
        <v>#REF!</v>
      </c>
      <c r="F87" s="12">
        <f t="shared" ref="F87:P87" si="33">F88</f>
        <v>3130.1759999999999</v>
      </c>
      <c r="G87" s="12">
        <f t="shared" si="33"/>
        <v>6385.4160000000002</v>
      </c>
      <c r="H87" s="12">
        <f t="shared" si="33"/>
        <v>0</v>
      </c>
      <c r="I87" s="12">
        <f t="shared" si="11"/>
        <v>1611.9930000000002</v>
      </c>
      <c r="J87" s="12">
        <f t="shared" si="33"/>
        <v>3130.1759999999999</v>
      </c>
      <c r="K87" s="12">
        <f>K88</f>
        <v>0</v>
      </c>
      <c r="L87" s="12">
        <f t="shared" si="33"/>
        <v>0</v>
      </c>
      <c r="M87" s="12">
        <f t="shared" si="32"/>
        <v>-3130.1759999999999</v>
      </c>
      <c r="N87" s="12">
        <f t="shared" si="33"/>
        <v>0</v>
      </c>
      <c r="O87" s="12">
        <f t="shared" si="28"/>
        <v>0</v>
      </c>
      <c r="P87" s="12">
        <f t="shared" si="33"/>
        <v>0</v>
      </c>
      <c r="Q87" s="12">
        <f t="shared" si="4"/>
        <v>3130.1759999999999</v>
      </c>
    </row>
    <row r="88" spans="1:17" ht="49.5" hidden="1" customHeight="1">
      <c r="A88" s="52" t="s">
        <v>176</v>
      </c>
      <c r="B88" s="46" t="s">
        <v>177</v>
      </c>
      <c r="C88" s="16">
        <f>1584.407+0.5</f>
        <v>1584.9069999999999</v>
      </c>
      <c r="D88" s="16">
        <v>3196.9</v>
      </c>
      <c r="E88" s="13" t="e">
        <f>D88-#REF!</f>
        <v>#REF!</v>
      </c>
      <c r="F88" s="16">
        <f>1563.676+1566.5</f>
        <v>3130.1759999999999</v>
      </c>
      <c r="G88" s="16">
        <v>6385.4160000000002</v>
      </c>
      <c r="H88" s="16">
        <v>0</v>
      </c>
      <c r="I88" s="12">
        <f t="shared" si="11"/>
        <v>1611.9930000000002</v>
      </c>
      <c r="J88" s="16">
        <f>1563.676+1566.5</f>
        <v>3130.1759999999999</v>
      </c>
      <c r="K88" s="16">
        <v>0</v>
      </c>
      <c r="L88" s="16">
        <v>0</v>
      </c>
      <c r="M88" s="12">
        <f t="shared" si="32"/>
        <v>-3130.1759999999999</v>
      </c>
      <c r="N88" s="16"/>
      <c r="O88" s="12">
        <f t="shared" si="28"/>
        <v>0</v>
      </c>
      <c r="P88" s="16"/>
      <c r="Q88" s="12">
        <f t="shared" si="4"/>
        <v>3130.1759999999999</v>
      </c>
    </row>
    <row r="89" spans="1:17" ht="33" customHeight="1">
      <c r="A89" s="52" t="s">
        <v>178</v>
      </c>
      <c r="B89" s="54" t="s">
        <v>179</v>
      </c>
      <c r="C89" s="12">
        <f>C90</f>
        <v>0</v>
      </c>
      <c r="D89" s="12">
        <f>D90</f>
        <v>0</v>
      </c>
      <c r="E89" s="13" t="e">
        <f>D89-#REF!</f>
        <v>#REF!</v>
      </c>
      <c r="F89" s="12">
        <f t="shared" ref="F89:P89" si="34">F90</f>
        <v>0</v>
      </c>
      <c r="G89" s="12">
        <f t="shared" si="34"/>
        <v>57291.7</v>
      </c>
      <c r="H89" s="12">
        <f t="shared" si="34"/>
        <v>0</v>
      </c>
      <c r="I89" s="12">
        <f t="shared" si="11"/>
        <v>0</v>
      </c>
      <c r="J89" s="12">
        <f t="shared" si="34"/>
        <v>0</v>
      </c>
      <c r="K89" s="12">
        <f>K90</f>
        <v>10600.2</v>
      </c>
      <c r="L89" s="12">
        <f t="shared" si="34"/>
        <v>16658.8</v>
      </c>
      <c r="M89" s="12">
        <f t="shared" si="32"/>
        <v>16658.8</v>
      </c>
      <c r="N89" s="12">
        <f t="shared" si="34"/>
        <v>0</v>
      </c>
      <c r="O89" s="12">
        <f t="shared" si="28"/>
        <v>-16658.8</v>
      </c>
      <c r="P89" s="12">
        <f t="shared" si="34"/>
        <v>0</v>
      </c>
      <c r="Q89" s="12">
        <f t="shared" ref="Q89:Q170" si="35">P89-M89</f>
        <v>-16658.8</v>
      </c>
    </row>
    <row r="90" spans="1:17" ht="32.25" customHeight="1">
      <c r="A90" s="52" t="s">
        <v>180</v>
      </c>
      <c r="B90" s="54" t="s">
        <v>181</v>
      </c>
      <c r="C90" s="16">
        <v>0</v>
      </c>
      <c r="D90" s="16">
        <v>0</v>
      </c>
      <c r="E90" s="13" t="e">
        <f>D90-#REF!</f>
        <v>#REF!</v>
      </c>
      <c r="F90" s="16">
        <v>0</v>
      </c>
      <c r="G90" s="16">
        <v>57291.7</v>
      </c>
      <c r="H90" s="16">
        <v>0</v>
      </c>
      <c r="I90" s="12">
        <f t="shared" si="11"/>
        <v>0</v>
      </c>
      <c r="J90" s="16">
        <v>0</v>
      </c>
      <c r="K90" s="16">
        <v>10600.2</v>
      </c>
      <c r="L90" s="16">
        <f>2134+14524.8</f>
        <v>16658.8</v>
      </c>
      <c r="M90" s="12">
        <f t="shared" si="32"/>
        <v>16658.8</v>
      </c>
      <c r="N90" s="16">
        <v>0</v>
      </c>
      <c r="O90" s="12">
        <f t="shared" si="28"/>
        <v>-16658.8</v>
      </c>
      <c r="P90" s="16">
        <v>0</v>
      </c>
      <c r="Q90" s="12">
        <f t="shared" si="35"/>
        <v>-16658.8</v>
      </c>
    </row>
    <row r="91" spans="1:17" ht="47.25" customHeight="1">
      <c r="A91" s="52" t="s">
        <v>182</v>
      </c>
      <c r="B91" s="54" t="s">
        <v>183</v>
      </c>
      <c r="C91" s="12">
        <f>C92</f>
        <v>5300.5999999999995</v>
      </c>
      <c r="D91" s="12">
        <f>D92</f>
        <v>5704.4</v>
      </c>
      <c r="E91" s="13" t="e">
        <f>D91-#REF!</f>
        <v>#REF!</v>
      </c>
      <c r="F91" s="12">
        <f>F92</f>
        <v>5073</v>
      </c>
      <c r="G91" s="12">
        <f>G92</f>
        <v>5216.0999999999995</v>
      </c>
      <c r="H91" s="12">
        <f>H92</f>
        <v>0</v>
      </c>
      <c r="I91" s="12">
        <f t="shared" si="11"/>
        <v>403.80000000000018</v>
      </c>
      <c r="J91" s="12">
        <f>J92</f>
        <v>5073</v>
      </c>
      <c r="K91" s="12">
        <f>K92</f>
        <v>6003</v>
      </c>
      <c r="L91" s="12">
        <f>L92</f>
        <v>886.2</v>
      </c>
      <c r="M91" s="12">
        <f t="shared" si="32"/>
        <v>-4186.8</v>
      </c>
      <c r="N91" s="12">
        <f>N92</f>
        <v>5867.5</v>
      </c>
      <c r="O91" s="12">
        <f>O92</f>
        <v>4981.3</v>
      </c>
      <c r="P91" s="12">
        <f>P92</f>
        <v>5700.7</v>
      </c>
      <c r="Q91" s="12">
        <f t="shared" si="35"/>
        <v>9887.5</v>
      </c>
    </row>
    <row r="92" spans="1:17" ht="48.75" customHeight="1">
      <c r="A92" s="52" t="s">
        <v>184</v>
      </c>
      <c r="B92" s="54" t="s">
        <v>185</v>
      </c>
      <c r="C92" s="16">
        <f>5201.2+99.4</f>
        <v>5300.5999999999995</v>
      </c>
      <c r="D92" s="16">
        <v>5704.4</v>
      </c>
      <c r="E92" s="13" t="e">
        <f>D92-#REF!</f>
        <v>#REF!</v>
      </c>
      <c r="F92" s="16">
        <v>5073</v>
      </c>
      <c r="G92" s="16">
        <f>5226.9-10.8</f>
        <v>5216.0999999999995</v>
      </c>
      <c r="H92" s="16">
        <v>0</v>
      </c>
      <c r="I92" s="12">
        <f t="shared" si="11"/>
        <v>403.80000000000018</v>
      </c>
      <c r="J92" s="16">
        <v>5073</v>
      </c>
      <c r="K92" s="16">
        <v>6003</v>
      </c>
      <c r="L92" s="16">
        <f>L93</f>
        <v>886.2</v>
      </c>
      <c r="M92" s="16">
        <f>L92-J92</f>
        <v>-4186.8</v>
      </c>
      <c r="N92" s="16">
        <v>5867.5</v>
      </c>
      <c r="O92" s="16">
        <f>N92-L92</f>
        <v>4981.3</v>
      </c>
      <c r="P92" s="16">
        <v>5700.7</v>
      </c>
      <c r="Q92" s="12">
        <f t="shared" si="35"/>
        <v>9887.5</v>
      </c>
    </row>
    <row r="93" spans="1:17" ht="33" customHeight="1">
      <c r="A93" s="52" t="s">
        <v>186</v>
      </c>
      <c r="B93" s="54" t="s">
        <v>187</v>
      </c>
      <c r="C93" s="12">
        <f>C94</f>
        <v>1237.537</v>
      </c>
      <c r="D93" s="12">
        <f>D94</f>
        <v>930</v>
      </c>
      <c r="E93" s="13" t="e">
        <f>D93-#REF!</f>
        <v>#REF!</v>
      </c>
      <c r="F93" s="12">
        <f t="shared" ref="F93:P93" si="36">F94</f>
        <v>857.19899999999996</v>
      </c>
      <c r="G93" s="12">
        <f t="shared" si="36"/>
        <v>830.56700000000001</v>
      </c>
      <c r="H93" s="12">
        <f t="shared" si="36"/>
        <v>0</v>
      </c>
      <c r="I93" s="12">
        <f t="shared" si="11"/>
        <v>-307.53700000000003</v>
      </c>
      <c r="J93" s="12">
        <f t="shared" si="36"/>
        <v>857.19899999999996</v>
      </c>
      <c r="K93" s="12">
        <f>K94</f>
        <v>743.5</v>
      </c>
      <c r="L93" s="12">
        <f t="shared" si="36"/>
        <v>886.2</v>
      </c>
      <c r="M93" s="12">
        <f t="shared" si="32"/>
        <v>29.00100000000009</v>
      </c>
      <c r="N93" s="12">
        <f t="shared" si="36"/>
        <v>732.09199999999998</v>
      </c>
      <c r="O93" s="12">
        <f t="shared" si="28"/>
        <v>-154.10800000000006</v>
      </c>
      <c r="P93" s="12">
        <f t="shared" si="36"/>
        <v>702</v>
      </c>
      <c r="Q93" s="12">
        <f t="shared" si="35"/>
        <v>672.99899999999991</v>
      </c>
    </row>
    <row r="94" spans="1:17" ht="33" customHeight="1">
      <c r="A94" s="52" t="s">
        <v>188</v>
      </c>
      <c r="B94" s="56" t="s">
        <v>189</v>
      </c>
      <c r="C94" s="16">
        <f>875.737+361.8</f>
        <v>1237.537</v>
      </c>
      <c r="D94" s="16">
        <v>930</v>
      </c>
      <c r="E94" s="13" t="e">
        <f>D94-#REF!</f>
        <v>#REF!</v>
      </c>
      <c r="F94" s="16">
        <v>857.19899999999996</v>
      </c>
      <c r="G94" s="16">
        <v>830.56700000000001</v>
      </c>
      <c r="H94" s="16">
        <v>0</v>
      </c>
      <c r="I94" s="12">
        <f t="shared" si="11"/>
        <v>-307.53700000000003</v>
      </c>
      <c r="J94" s="16">
        <v>857.19899999999996</v>
      </c>
      <c r="K94" s="16">
        <v>743.5</v>
      </c>
      <c r="L94" s="16">
        <v>886.2</v>
      </c>
      <c r="M94" s="12">
        <f t="shared" si="32"/>
        <v>29.00100000000009</v>
      </c>
      <c r="N94" s="16">
        <v>732.09199999999998</v>
      </c>
      <c r="O94" s="12">
        <f t="shared" si="28"/>
        <v>-154.10800000000006</v>
      </c>
      <c r="P94" s="16">
        <v>702</v>
      </c>
      <c r="Q94" s="12">
        <f t="shared" si="35"/>
        <v>672.99899999999991</v>
      </c>
    </row>
    <row r="95" spans="1:17" ht="33" customHeight="1">
      <c r="A95" s="52" t="s">
        <v>190</v>
      </c>
      <c r="B95" s="56" t="s">
        <v>191</v>
      </c>
      <c r="C95" s="16"/>
      <c r="D95" s="16"/>
      <c r="E95" s="13"/>
      <c r="F95" s="16"/>
      <c r="G95" s="16"/>
      <c r="H95" s="16"/>
      <c r="I95" s="12"/>
      <c r="J95" s="16"/>
      <c r="K95" s="16">
        <f>K96</f>
        <v>81.5</v>
      </c>
      <c r="L95" s="16"/>
      <c r="M95" s="12"/>
      <c r="N95" s="16">
        <f>N96</f>
        <v>0</v>
      </c>
      <c r="O95" s="12"/>
      <c r="P95" s="16">
        <f>P96</f>
        <v>0</v>
      </c>
      <c r="Q95" s="12"/>
    </row>
    <row r="96" spans="1:17" ht="33" customHeight="1">
      <c r="A96" s="52" t="s">
        <v>192</v>
      </c>
      <c r="B96" s="56" t="s">
        <v>193</v>
      </c>
      <c r="C96" s="16"/>
      <c r="D96" s="16"/>
      <c r="E96" s="13"/>
      <c r="F96" s="16"/>
      <c r="G96" s="16"/>
      <c r="H96" s="16"/>
      <c r="I96" s="12"/>
      <c r="J96" s="16"/>
      <c r="K96" s="16">
        <v>81.5</v>
      </c>
      <c r="L96" s="16"/>
      <c r="M96" s="12"/>
      <c r="N96" s="16">
        <v>0</v>
      </c>
      <c r="O96" s="12"/>
      <c r="P96" s="16">
        <v>0</v>
      </c>
      <c r="Q96" s="12"/>
    </row>
    <row r="97" spans="1:17" ht="33" hidden="1" customHeight="1">
      <c r="A97" s="52" t="s">
        <v>194</v>
      </c>
      <c r="B97" s="56" t="s">
        <v>195</v>
      </c>
      <c r="C97" s="16"/>
      <c r="D97" s="16">
        <f>D98</f>
        <v>9814.7000000000007</v>
      </c>
      <c r="E97" s="13"/>
      <c r="F97" s="16"/>
      <c r="G97" s="16"/>
      <c r="H97" s="16"/>
      <c r="I97" s="12"/>
      <c r="J97" s="16"/>
      <c r="K97" s="16">
        <f>K98</f>
        <v>0</v>
      </c>
      <c r="L97" s="16">
        <f>L98</f>
        <v>0</v>
      </c>
      <c r="M97" s="16">
        <f>M98</f>
        <v>0</v>
      </c>
      <c r="N97" s="16">
        <f>N98</f>
        <v>0</v>
      </c>
      <c r="O97" s="12">
        <f t="shared" si="28"/>
        <v>0</v>
      </c>
      <c r="P97" s="16">
        <f>P98</f>
        <v>0</v>
      </c>
      <c r="Q97" s="12"/>
    </row>
    <row r="98" spans="1:17" ht="33" hidden="1" customHeight="1">
      <c r="A98" s="52" t="s">
        <v>196</v>
      </c>
      <c r="B98" s="54" t="s">
        <v>197</v>
      </c>
      <c r="C98" s="16"/>
      <c r="D98" s="16">
        <v>9814.7000000000007</v>
      </c>
      <c r="E98" s="13"/>
      <c r="F98" s="16"/>
      <c r="G98" s="16"/>
      <c r="H98" s="16"/>
      <c r="I98" s="12"/>
      <c r="J98" s="16"/>
      <c r="K98" s="16">
        <v>0</v>
      </c>
      <c r="L98" s="16">
        <v>0</v>
      </c>
      <c r="M98" s="12"/>
      <c r="N98" s="16">
        <v>0</v>
      </c>
      <c r="O98" s="12">
        <f t="shared" si="28"/>
        <v>0</v>
      </c>
      <c r="P98" s="16">
        <v>0</v>
      </c>
      <c r="Q98" s="12"/>
    </row>
    <row r="99" spans="1:17" ht="36.75" customHeight="1">
      <c r="A99" s="52" t="s">
        <v>198</v>
      </c>
      <c r="B99" s="35" t="s">
        <v>199</v>
      </c>
      <c r="C99" s="12">
        <f>C100</f>
        <v>1143.3879999999999</v>
      </c>
      <c r="D99" s="12">
        <f>D100</f>
        <v>2493.9</v>
      </c>
      <c r="E99" s="13" t="e">
        <f>D99-#REF!</f>
        <v>#REF!</v>
      </c>
      <c r="F99" s="12">
        <f t="shared" ref="F99:P99" si="37">F100</f>
        <v>1143.3879999999999</v>
      </c>
      <c r="G99" s="12">
        <f t="shared" si="37"/>
        <v>1231.598</v>
      </c>
      <c r="H99" s="12">
        <f t="shared" si="37"/>
        <v>0</v>
      </c>
      <c r="I99" s="12">
        <f>D99-C99</f>
        <v>1350.5120000000002</v>
      </c>
      <c r="J99" s="12">
        <f t="shared" si="37"/>
        <v>1143.3879999999999</v>
      </c>
      <c r="K99" s="12">
        <f>K100</f>
        <v>1070.74</v>
      </c>
      <c r="L99" s="12">
        <f t="shared" si="37"/>
        <v>1214.5999999999999</v>
      </c>
      <c r="M99" s="12">
        <f>L99-J99</f>
        <v>71.211999999999989</v>
      </c>
      <c r="N99" s="12">
        <f t="shared" si="37"/>
        <v>0</v>
      </c>
      <c r="O99" s="12">
        <f t="shared" si="28"/>
        <v>-1214.5999999999999</v>
      </c>
      <c r="P99" s="12">
        <f t="shared" si="37"/>
        <v>0</v>
      </c>
      <c r="Q99" s="12">
        <f t="shared" si="35"/>
        <v>-71.211999999999989</v>
      </c>
    </row>
    <row r="100" spans="1:17" ht="33.75" customHeight="1">
      <c r="A100" s="52" t="s">
        <v>200</v>
      </c>
      <c r="B100" s="35" t="s">
        <v>201</v>
      </c>
      <c r="C100" s="16">
        <v>1143.3879999999999</v>
      </c>
      <c r="D100" s="16">
        <f>(381.3+751.1)+1361.5</f>
        <v>2493.9</v>
      </c>
      <c r="E100" s="13" t="e">
        <f>D100-#REF!</f>
        <v>#REF!</v>
      </c>
      <c r="F100" s="16">
        <v>1143.3879999999999</v>
      </c>
      <c r="G100" s="16">
        <v>1231.598</v>
      </c>
      <c r="H100" s="16">
        <v>0</v>
      </c>
      <c r="I100" s="12">
        <f>D100-C100</f>
        <v>1350.5120000000002</v>
      </c>
      <c r="J100" s="16">
        <v>1143.3879999999999</v>
      </c>
      <c r="K100" s="16">
        <f>1070.74</f>
        <v>1070.74</v>
      </c>
      <c r="L100" s="16">
        <f>384.8+829.8</f>
        <v>1214.5999999999999</v>
      </c>
      <c r="M100" s="12">
        <f>L100-J100</f>
        <v>71.211999999999989</v>
      </c>
      <c r="N100" s="16">
        <v>0</v>
      </c>
      <c r="O100" s="12">
        <f t="shared" si="28"/>
        <v>-1214.5999999999999</v>
      </c>
      <c r="P100" s="16">
        <v>0</v>
      </c>
      <c r="Q100" s="12">
        <f t="shared" si="35"/>
        <v>-71.211999999999989</v>
      </c>
    </row>
    <row r="101" spans="1:17" ht="33.75" customHeight="1">
      <c r="A101" s="52" t="s">
        <v>202</v>
      </c>
      <c r="B101" s="35" t="s">
        <v>203</v>
      </c>
      <c r="C101" s="16"/>
      <c r="D101" s="16"/>
      <c r="E101" s="13"/>
      <c r="F101" s="16"/>
      <c r="G101" s="16"/>
      <c r="H101" s="16"/>
      <c r="I101" s="12"/>
      <c r="J101" s="16"/>
      <c r="K101" s="16">
        <f>K102</f>
        <v>180</v>
      </c>
      <c r="L101" s="16"/>
      <c r="M101" s="12"/>
      <c r="N101" s="16">
        <f>N102</f>
        <v>0</v>
      </c>
      <c r="O101" s="12"/>
      <c r="P101" s="16">
        <f>P102</f>
        <v>0</v>
      </c>
      <c r="Q101" s="12"/>
    </row>
    <row r="102" spans="1:17" ht="33.75" customHeight="1">
      <c r="A102" s="52" t="s">
        <v>204</v>
      </c>
      <c r="B102" s="35" t="s">
        <v>205</v>
      </c>
      <c r="C102" s="16"/>
      <c r="D102" s="16"/>
      <c r="E102" s="13"/>
      <c r="F102" s="16"/>
      <c r="G102" s="16"/>
      <c r="H102" s="16"/>
      <c r="I102" s="12"/>
      <c r="J102" s="16"/>
      <c r="K102" s="16">
        <f>54+126</f>
        <v>180</v>
      </c>
      <c r="L102" s="16"/>
      <c r="M102" s="12"/>
      <c r="N102" s="16">
        <v>0</v>
      </c>
      <c r="O102" s="12"/>
      <c r="P102" s="16">
        <v>0</v>
      </c>
      <c r="Q102" s="12"/>
    </row>
    <row r="103" spans="1:17" ht="33.75" customHeight="1">
      <c r="A103" s="52" t="s">
        <v>206</v>
      </c>
      <c r="B103" s="41" t="s">
        <v>207</v>
      </c>
      <c r="C103" s="12">
        <f>C104</f>
        <v>7086.2350000000006</v>
      </c>
      <c r="D103" s="12">
        <f>D104</f>
        <v>5527.3</v>
      </c>
      <c r="E103" s="13" t="e">
        <f>D103-#REF!</f>
        <v>#REF!</v>
      </c>
      <c r="F103" s="12">
        <f t="shared" ref="F103:P103" si="38">F104</f>
        <v>0</v>
      </c>
      <c r="G103" s="12">
        <f t="shared" si="38"/>
        <v>0</v>
      </c>
      <c r="H103" s="12">
        <f t="shared" si="38"/>
        <v>0</v>
      </c>
      <c r="I103" s="12">
        <f>D103-C103</f>
        <v>-1558.9350000000004</v>
      </c>
      <c r="J103" s="12">
        <f t="shared" si="38"/>
        <v>0</v>
      </c>
      <c r="K103" s="12">
        <f>K104</f>
        <v>12405.6</v>
      </c>
      <c r="L103" s="12">
        <f t="shared" si="38"/>
        <v>0</v>
      </c>
      <c r="M103" s="12">
        <f>L103-J103</f>
        <v>0</v>
      </c>
      <c r="N103" s="12">
        <f t="shared" si="38"/>
        <v>0</v>
      </c>
      <c r="O103" s="12">
        <f t="shared" si="28"/>
        <v>0</v>
      </c>
      <c r="P103" s="12">
        <f t="shared" si="38"/>
        <v>0</v>
      </c>
      <c r="Q103" s="12">
        <f t="shared" si="35"/>
        <v>0</v>
      </c>
    </row>
    <row r="104" spans="1:17" ht="33.75" customHeight="1">
      <c r="A104" s="52" t="s">
        <v>208</v>
      </c>
      <c r="B104" s="35" t="s">
        <v>209</v>
      </c>
      <c r="C104" s="16">
        <f>6765.635+320.6</f>
        <v>7086.2350000000006</v>
      </c>
      <c r="D104" s="16">
        <v>5527.3</v>
      </c>
      <c r="E104" s="13" t="e">
        <f>D104-#REF!</f>
        <v>#REF!</v>
      </c>
      <c r="F104" s="16">
        <v>0</v>
      </c>
      <c r="G104" s="16">
        <v>0</v>
      </c>
      <c r="H104" s="16">
        <v>0</v>
      </c>
      <c r="I104" s="12">
        <f>D104-C104</f>
        <v>-1558.9350000000004</v>
      </c>
      <c r="J104" s="16">
        <v>0</v>
      </c>
      <c r="K104" s="16">
        <v>12405.6</v>
      </c>
      <c r="L104" s="16">
        <v>0</v>
      </c>
      <c r="M104" s="12">
        <f>L104-J104</f>
        <v>0</v>
      </c>
      <c r="N104" s="16">
        <v>0</v>
      </c>
      <c r="O104" s="12">
        <f t="shared" si="28"/>
        <v>0</v>
      </c>
      <c r="P104" s="16">
        <v>0</v>
      </c>
      <c r="Q104" s="12">
        <f t="shared" si="35"/>
        <v>0</v>
      </c>
    </row>
    <row r="105" spans="1:17" ht="33.75" customHeight="1">
      <c r="A105" s="52" t="s">
        <v>210</v>
      </c>
      <c r="B105" s="35" t="s">
        <v>211</v>
      </c>
      <c r="C105" s="16"/>
      <c r="D105" s="16">
        <f>D106</f>
        <v>0</v>
      </c>
      <c r="E105" s="13"/>
      <c r="F105" s="16"/>
      <c r="G105" s="16"/>
      <c r="H105" s="16"/>
      <c r="I105" s="12"/>
      <c r="J105" s="16"/>
      <c r="K105" s="16">
        <f>K106</f>
        <v>15127.8</v>
      </c>
      <c r="L105" s="16">
        <f>L106</f>
        <v>58939.5</v>
      </c>
      <c r="M105" s="12"/>
      <c r="N105" s="16">
        <f>N106</f>
        <v>15127.8</v>
      </c>
      <c r="O105" s="12">
        <f t="shared" si="28"/>
        <v>-43811.7</v>
      </c>
      <c r="P105" s="16">
        <f>P106</f>
        <v>0</v>
      </c>
      <c r="Q105" s="12"/>
    </row>
    <row r="106" spans="1:17" ht="33.75" customHeight="1">
      <c r="A106" s="52" t="s">
        <v>212</v>
      </c>
      <c r="B106" s="35" t="s">
        <v>213</v>
      </c>
      <c r="C106" s="16"/>
      <c r="D106" s="16">
        <v>0</v>
      </c>
      <c r="E106" s="13"/>
      <c r="F106" s="16"/>
      <c r="G106" s="16"/>
      <c r="H106" s="16"/>
      <c r="I106" s="12"/>
      <c r="J106" s="16"/>
      <c r="K106" s="16">
        <f>15127.8</f>
        <v>15127.8</v>
      </c>
      <c r="L106" s="16">
        <v>58939.5</v>
      </c>
      <c r="M106" s="12"/>
      <c r="N106" s="16">
        <f>12294.5+2833.3</f>
        <v>15127.8</v>
      </c>
      <c r="O106" s="12">
        <f t="shared" si="28"/>
        <v>-43811.7</v>
      </c>
      <c r="P106" s="16">
        <v>0</v>
      </c>
      <c r="Q106" s="12"/>
    </row>
    <row r="107" spans="1:17">
      <c r="A107" s="47" t="s">
        <v>214</v>
      </c>
      <c r="B107" s="57" t="s">
        <v>215</v>
      </c>
      <c r="C107" s="12">
        <f>C108</f>
        <v>21199.5</v>
      </c>
      <c r="D107" s="12">
        <f>D108</f>
        <v>47462.5</v>
      </c>
      <c r="E107" s="13" t="e">
        <f>D107-#REF!</f>
        <v>#REF!</v>
      </c>
      <c r="F107" s="12">
        <f t="shared" ref="F107:P107" si="39">F108</f>
        <v>57917.1</v>
      </c>
      <c r="G107" s="12">
        <f t="shared" si="39"/>
        <v>11739.820000000002</v>
      </c>
      <c r="H107" s="12">
        <f t="shared" si="39"/>
        <v>-958.72</v>
      </c>
      <c r="I107" s="12">
        <f t="shared" ref="I107:I146" si="40">D107-C107</f>
        <v>26263</v>
      </c>
      <c r="J107" s="12">
        <f t="shared" si="39"/>
        <v>57917.1</v>
      </c>
      <c r="K107" s="12">
        <f>K108</f>
        <v>76318.429999999993</v>
      </c>
      <c r="L107" s="12">
        <f t="shared" si="39"/>
        <v>24384.699999999997</v>
      </c>
      <c r="M107" s="12">
        <f t="shared" ref="M107:M120" si="41">L107-J107</f>
        <v>-33532.400000000001</v>
      </c>
      <c r="N107" s="12">
        <f t="shared" si="39"/>
        <v>15788.496999999999</v>
      </c>
      <c r="O107" s="12">
        <f t="shared" si="28"/>
        <v>-8596.2029999999977</v>
      </c>
      <c r="P107" s="12">
        <f t="shared" si="39"/>
        <v>13788.5</v>
      </c>
      <c r="Q107" s="12">
        <f t="shared" si="35"/>
        <v>47320.9</v>
      </c>
    </row>
    <row r="108" spans="1:17">
      <c r="A108" s="47" t="s">
        <v>216</v>
      </c>
      <c r="B108" s="57" t="s">
        <v>217</v>
      </c>
      <c r="C108" s="27">
        <f>SUM(C109:C133)</f>
        <v>21199.5</v>
      </c>
      <c r="D108" s="27">
        <f>SUM(D109:D133)</f>
        <v>47462.5</v>
      </c>
      <c r="E108" s="13" t="e">
        <f>D108-#REF!</f>
        <v>#REF!</v>
      </c>
      <c r="F108" s="27">
        <f>SUM(F109:F133)</f>
        <v>57917.1</v>
      </c>
      <c r="G108" s="27">
        <f>SUM(G109:G133)</f>
        <v>11739.820000000002</v>
      </c>
      <c r="H108" s="27">
        <f>SUM(H109:H133)</f>
        <v>-958.72</v>
      </c>
      <c r="I108" s="12">
        <f t="shared" si="40"/>
        <v>26263</v>
      </c>
      <c r="J108" s="27">
        <f>SUM(J109:J133)</f>
        <v>57917.1</v>
      </c>
      <c r="K108" s="27">
        <f>SUM(K109:K133)</f>
        <v>76318.429999999993</v>
      </c>
      <c r="L108" s="27">
        <f>SUM(L109:L133)</f>
        <v>24384.699999999997</v>
      </c>
      <c r="M108" s="12">
        <f t="shared" si="41"/>
        <v>-33532.400000000001</v>
      </c>
      <c r="N108" s="27">
        <f>SUM(N109:N133)</f>
        <v>15788.496999999999</v>
      </c>
      <c r="O108" s="12">
        <f t="shared" si="28"/>
        <v>-8596.2029999999977</v>
      </c>
      <c r="P108" s="27">
        <f>SUM(P109:P133)</f>
        <v>13788.5</v>
      </c>
      <c r="Q108" s="12">
        <f t="shared" si="35"/>
        <v>47320.9</v>
      </c>
    </row>
    <row r="109" spans="1:17" ht="61.5" customHeight="1">
      <c r="A109" s="52" t="s">
        <v>216</v>
      </c>
      <c r="B109" s="35" t="s">
        <v>218</v>
      </c>
      <c r="C109" s="16">
        <v>1979</v>
      </c>
      <c r="D109" s="16">
        <v>0</v>
      </c>
      <c r="E109" s="13" t="e">
        <f>D109-#REF!</f>
        <v>#REF!</v>
      </c>
      <c r="F109" s="16">
        <v>1979</v>
      </c>
      <c r="G109" s="16">
        <v>1979</v>
      </c>
      <c r="H109" s="16">
        <v>0</v>
      </c>
      <c r="I109" s="12">
        <f t="shared" si="40"/>
        <v>-1979</v>
      </c>
      <c r="J109" s="16">
        <v>1979</v>
      </c>
      <c r="K109" s="16">
        <v>39003</v>
      </c>
      <c r="L109" s="16">
        <v>610.70000000000005</v>
      </c>
      <c r="M109" s="12">
        <f>L109-J109</f>
        <v>-1368.3</v>
      </c>
      <c r="N109" s="16">
        <v>803</v>
      </c>
      <c r="O109" s="12">
        <f>N109-L109</f>
        <v>192.29999999999995</v>
      </c>
      <c r="P109" s="16">
        <v>803</v>
      </c>
      <c r="Q109" s="12">
        <f t="shared" si="35"/>
        <v>2171.3000000000002</v>
      </c>
    </row>
    <row r="110" spans="1:17" ht="69" customHeight="1">
      <c r="A110" s="52" t="s">
        <v>216</v>
      </c>
      <c r="B110" s="35" t="s">
        <v>219</v>
      </c>
      <c r="C110" s="16">
        <v>1372.5</v>
      </c>
      <c r="D110" s="16">
        <v>3621.7</v>
      </c>
      <c r="E110" s="13" t="e">
        <f>D110-#REF!</f>
        <v>#REF!</v>
      </c>
      <c r="F110" s="16">
        <v>1372.5</v>
      </c>
      <c r="G110" s="16">
        <v>1372.5</v>
      </c>
      <c r="H110" s="16">
        <v>0</v>
      </c>
      <c r="I110" s="12">
        <f>D110-C110</f>
        <v>2249.1999999999998</v>
      </c>
      <c r="J110" s="16">
        <v>1372.5</v>
      </c>
      <c r="K110" s="16">
        <v>658</v>
      </c>
      <c r="L110" s="16">
        <v>0</v>
      </c>
      <c r="M110" s="12">
        <f>L110-J110</f>
        <v>-1372.5</v>
      </c>
      <c r="N110" s="16">
        <v>0</v>
      </c>
      <c r="O110" s="12">
        <f>N110-L110</f>
        <v>0</v>
      </c>
      <c r="P110" s="16">
        <v>0</v>
      </c>
      <c r="Q110" s="12">
        <f>P110-M110</f>
        <v>1372.5</v>
      </c>
    </row>
    <row r="111" spans="1:17" ht="84" customHeight="1">
      <c r="A111" s="52" t="s">
        <v>216</v>
      </c>
      <c r="B111" s="35" t="s">
        <v>220</v>
      </c>
      <c r="C111" s="16">
        <v>1372.5</v>
      </c>
      <c r="D111" s="16">
        <v>3621.7</v>
      </c>
      <c r="E111" s="13" t="e">
        <f>D111-#REF!</f>
        <v>#REF!</v>
      </c>
      <c r="F111" s="16">
        <v>1372.5</v>
      </c>
      <c r="G111" s="16">
        <v>1372.5</v>
      </c>
      <c r="H111" s="16">
        <v>0</v>
      </c>
      <c r="I111" s="12">
        <f>D111-C111</f>
        <v>2249.1999999999998</v>
      </c>
      <c r="J111" s="16">
        <v>1372.5</v>
      </c>
      <c r="K111" s="16">
        <v>3961.7</v>
      </c>
      <c r="L111" s="16">
        <v>0</v>
      </c>
      <c r="M111" s="12">
        <f>L111-J111</f>
        <v>-1372.5</v>
      </c>
      <c r="N111" s="16">
        <v>0</v>
      </c>
      <c r="O111" s="12">
        <f>N111-L111</f>
        <v>0</v>
      </c>
      <c r="P111" s="16">
        <v>0</v>
      </c>
      <c r="Q111" s="12">
        <f>P111-M111</f>
        <v>1372.5</v>
      </c>
    </row>
    <row r="112" spans="1:17" ht="86.25" customHeight="1">
      <c r="A112" s="52" t="s">
        <v>216</v>
      </c>
      <c r="B112" s="35" t="s">
        <v>221</v>
      </c>
      <c r="C112" s="16">
        <v>1372.5</v>
      </c>
      <c r="D112" s="16">
        <v>3621.7</v>
      </c>
      <c r="E112" s="13" t="e">
        <f>D112-#REF!</f>
        <v>#REF!</v>
      </c>
      <c r="F112" s="16">
        <v>1372.5</v>
      </c>
      <c r="G112" s="16">
        <v>1372.5</v>
      </c>
      <c r="H112" s="16">
        <v>0</v>
      </c>
      <c r="I112" s="12">
        <f>D112-C112</f>
        <v>2249.1999999999998</v>
      </c>
      <c r="J112" s="16">
        <v>1372.5</v>
      </c>
      <c r="K112" s="16">
        <v>601.4</v>
      </c>
      <c r="L112" s="16">
        <v>0</v>
      </c>
      <c r="M112" s="12">
        <f>L112-J112</f>
        <v>-1372.5</v>
      </c>
      <c r="N112" s="16">
        <v>0</v>
      </c>
      <c r="O112" s="12">
        <f>N112-L112</f>
        <v>0</v>
      </c>
      <c r="P112" s="16">
        <v>0</v>
      </c>
      <c r="Q112" s="12">
        <f>P112-M112</f>
        <v>1372.5</v>
      </c>
    </row>
    <row r="113" spans="1:17" ht="58.5" customHeight="1">
      <c r="A113" s="52" t="s">
        <v>216</v>
      </c>
      <c r="B113" s="35" t="s">
        <v>222</v>
      </c>
      <c r="C113" s="16">
        <v>1372.5</v>
      </c>
      <c r="D113" s="16">
        <v>3621.7</v>
      </c>
      <c r="E113" s="13" t="e">
        <f>D113-#REF!</f>
        <v>#REF!</v>
      </c>
      <c r="F113" s="16">
        <v>1372.5</v>
      </c>
      <c r="G113" s="16">
        <v>1372.5</v>
      </c>
      <c r="H113" s="16">
        <v>0</v>
      </c>
      <c r="I113" s="12">
        <f>D113-C113</f>
        <v>2249.1999999999998</v>
      </c>
      <c r="J113" s="16">
        <v>1372.5</v>
      </c>
      <c r="K113" s="16">
        <v>350</v>
      </c>
      <c r="L113" s="16">
        <v>0</v>
      </c>
      <c r="M113" s="12">
        <f>L113-J113</f>
        <v>-1372.5</v>
      </c>
      <c r="N113" s="16">
        <v>0</v>
      </c>
      <c r="O113" s="12">
        <f>N113-L113</f>
        <v>0</v>
      </c>
      <c r="P113" s="16">
        <v>0</v>
      </c>
      <c r="Q113" s="12">
        <f>P113-M113</f>
        <v>1372.5</v>
      </c>
    </row>
    <row r="114" spans="1:17" ht="81.75" customHeight="1">
      <c r="A114" s="52" t="s">
        <v>216</v>
      </c>
      <c r="B114" s="35" t="s">
        <v>223</v>
      </c>
      <c r="C114" s="16">
        <v>661</v>
      </c>
      <c r="D114" s="16">
        <v>610.70000000000005</v>
      </c>
      <c r="E114" s="13" t="e">
        <f>D114-#REF!</f>
        <v>#REF!</v>
      </c>
      <c r="F114" s="16">
        <v>731.4</v>
      </c>
      <c r="G114" s="16">
        <v>731.4</v>
      </c>
      <c r="H114" s="16">
        <v>0</v>
      </c>
      <c r="I114" s="12">
        <f t="shared" si="40"/>
        <v>-50.299999999999955</v>
      </c>
      <c r="J114" s="16">
        <v>731.4</v>
      </c>
      <c r="K114" s="16">
        <v>682.4</v>
      </c>
      <c r="L114" s="16">
        <v>610.70000000000005</v>
      </c>
      <c r="M114" s="12">
        <f t="shared" si="41"/>
        <v>-120.69999999999993</v>
      </c>
      <c r="N114" s="16">
        <v>682.4</v>
      </c>
      <c r="O114" s="12">
        <f t="shared" si="28"/>
        <v>71.699999999999932</v>
      </c>
      <c r="P114" s="16">
        <v>682.4</v>
      </c>
      <c r="Q114" s="12">
        <f t="shared" si="35"/>
        <v>803.09999999999991</v>
      </c>
    </row>
    <row r="115" spans="1:17" ht="78.75" customHeight="1">
      <c r="A115" s="52" t="s">
        <v>216</v>
      </c>
      <c r="B115" s="35" t="s">
        <v>224</v>
      </c>
      <c r="C115" s="16">
        <v>300</v>
      </c>
      <c r="D115" s="16">
        <v>600</v>
      </c>
      <c r="E115" s="13" t="e">
        <f>D115-#REF!</f>
        <v>#REF!</v>
      </c>
      <c r="F115" s="16">
        <v>0</v>
      </c>
      <c r="G115" s="16">
        <v>0</v>
      </c>
      <c r="H115" s="16">
        <v>0</v>
      </c>
      <c r="I115" s="12">
        <f t="shared" si="40"/>
        <v>300</v>
      </c>
      <c r="J115" s="16">
        <v>0</v>
      </c>
      <c r="K115" s="16">
        <v>900</v>
      </c>
      <c r="L115" s="16">
        <f>300+300</f>
        <v>600</v>
      </c>
      <c r="M115" s="12">
        <f t="shared" si="41"/>
        <v>600</v>
      </c>
      <c r="N115" s="16">
        <v>600</v>
      </c>
      <c r="O115" s="12">
        <f t="shared" si="28"/>
        <v>0</v>
      </c>
      <c r="P115" s="16">
        <v>600</v>
      </c>
      <c r="Q115" s="12">
        <f t="shared" si="35"/>
        <v>0</v>
      </c>
    </row>
    <row r="116" spans="1:17" ht="75">
      <c r="A116" s="52" t="s">
        <v>216</v>
      </c>
      <c r="B116" s="35" t="s">
        <v>225</v>
      </c>
      <c r="C116" s="16">
        <v>89.2</v>
      </c>
      <c r="D116" s="16">
        <v>50.1</v>
      </c>
      <c r="E116" s="13" t="e">
        <f>D116-#REF!</f>
        <v>#REF!</v>
      </c>
      <c r="F116" s="16">
        <v>94.1</v>
      </c>
      <c r="G116" s="16">
        <v>94.1</v>
      </c>
      <c r="H116" s="16">
        <v>0</v>
      </c>
      <c r="I116" s="12">
        <f t="shared" si="40"/>
        <v>-39.1</v>
      </c>
      <c r="J116" s="16">
        <v>94.1</v>
      </c>
      <c r="K116" s="16">
        <v>77.900000000000006</v>
      </c>
      <c r="L116" s="16">
        <v>50.1</v>
      </c>
      <c r="M116" s="12">
        <f t="shared" si="41"/>
        <v>-43.999999999999993</v>
      </c>
      <c r="N116" s="16">
        <v>57.2</v>
      </c>
      <c r="O116" s="12">
        <f t="shared" si="28"/>
        <v>7.1000000000000014</v>
      </c>
      <c r="P116" s="16">
        <v>57.2</v>
      </c>
      <c r="Q116" s="12">
        <f t="shared" si="35"/>
        <v>101.19999999999999</v>
      </c>
    </row>
    <row r="117" spans="1:17" ht="62.25" customHeight="1">
      <c r="A117" s="52" t="s">
        <v>216</v>
      </c>
      <c r="B117" s="35" t="s">
        <v>226</v>
      </c>
      <c r="C117" s="16">
        <v>388.9</v>
      </c>
      <c r="D117" s="16">
        <v>388.9</v>
      </c>
      <c r="E117" s="13" t="e">
        <f>D117-#REF!</f>
        <v>#REF!</v>
      </c>
      <c r="F117" s="16">
        <v>388.9</v>
      </c>
      <c r="G117" s="16">
        <v>388.9</v>
      </c>
      <c r="H117" s="16">
        <v>0</v>
      </c>
      <c r="I117" s="12">
        <f t="shared" si="40"/>
        <v>0</v>
      </c>
      <c r="J117" s="16">
        <v>388.9</v>
      </c>
      <c r="K117" s="16">
        <v>446.8</v>
      </c>
      <c r="L117" s="16">
        <v>388.9</v>
      </c>
      <c r="M117" s="12">
        <f t="shared" si="41"/>
        <v>0</v>
      </c>
      <c r="N117" s="16">
        <v>388.9</v>
      </c>
      <c r="O117" s="12">
        <f t="shared" si="28"/>
        <v>0</v>
      </c>
      <c r="P117" s="16">
        <v>388.9</v>
      </c>
      <c r="Q117" s="12">
        <f t="shared" si="35"/>
        <v>388.9</v>
      </c>
    </row>
    <row r="118" spans="1:17" ht="109.5" hidden="1" customHeight="1">
      <c r="A118" s="52" t="s">
        <v>216</v>
      </c>
      <c r="B118" s="35" t="s">
        <v>227</v>
      </c>
      <c r="C118" s="16">
        <v>2249.1999999999998</v>
      </c>
      <c r="D118" s="16">
        <v>0</v>
      </c>
      <c r="E118" s="13" t="e">
        <f>D118-#REF!</f>
        <v>#REF!</v>
      </c>
      <c r="F118" s="16">
        <v>0</v>
      </c>
      <c r="G118" s="16">
        <v>0</v>
      </c>
      <c r="H118" s="16">
        <v>0</v>
      </c>
      <c r="I118" s="12">
        <f t="shared" si="40"/>
        <v>-2249.1999999999998</v>
      </c>
      <c r="J118" s="16">
        <v>0</v>
      </c>
      <c r="K118" s="16">
        <v>0</v>
      </c>
      <c r="L118" s="16">
        <v>0</v>
      </c>
      <c r="M118" s="12">
        <f t="shared" si="41"/>
        <v>0</v>
      </c>
      <c r="N118" s="16">
        <v>0</v>
      </c>
      <c r="O118" s="12">
        <f t="shared" si="28"/>
        <v>0</v>
      </c>
      <c r="P118" s="16">
        <v>0</v>
      </c>
      <c r="Q118" s="12">
        <f t="shared" si="35"/>
        <v>0</v>
      </c>
    </row>
    <row r="119" spans="1:17" ht="78.75" customHeight="1">
      <c r="A119" s="52" t="s">
        <v>216</v>
      </c>
      <c r="B119" s="35" t="s">
        <v>228</v>
      </c>
      <c r="C119" s="16">
        <v>1757.7</v>
      </c>
      <c r="D119" s="16">
        <f>3393.1+316.7-47.8</f>
        <v>3661.9999999999995</v>
      </c>
      <c r="E119" s="13" t="e">
        <f>D119-#REF!</f>
        <v>#REF!</v>
      </c>
      <c r="F119" s="16">
        <v>1757.7</v>
      </c>
      <c r="G119" s="16">
        <v>1757.7</v>
      </c>
      <c r="H119" s="16">
        <v>0</v>
      </c>
      <c r="I119" s="12">
        <f t="shared" si="40"/>
        <v>1904.2999999999995</v>
      </c>
      <c r="J119" s="16">
        <v>1757.7</v>
      </c>
      <c r="K119" s="16">
        <v>3818.8</v>
      </c>
      <c r="L119" s="16">
        <v>3662</v>
      </c>
      <c r="M119" s="12">
        <f t="shared" si="41"/>
        <v>1904.3</v>
      </c>
      <c r="N119" s="16">
        <v>3818.797</v>
      </c>
      <c r="O119" s="16">
        <v>3818.797</v>
      </c>
      <c r="P119" s="16">
        <v>3818.8</v>
      </c>
      <c r="Q119" s="12">
        <f t="shared" si="35"/>
        <v>1914.5000000000002</v>
      </c>
    </row>
    <row r="120" spans="1:17" ht="87" hidden="1" customHeight="1">
      <c r="A120" s="52" t="s">
        <v>216</v>
      </c>
      <c r="B120" s="35" t="s">
        <v>229</v>
      </c>
      <c r="C120" s="16">
        <v>0</v>
      </c>
      <c r="D120" s="16">
        <v>0</v>
      </c>
      <c r="E120" s="13" t="e">
        <f>D120-#REF!</f>
        <v>#REF!</v>
      </c>
      <c r="F120" s="16">
        <v>0</v>
      </c>
      <c r="G120" s="16">
        <v>0</v>
      </c>
      <c r="H120" s="16">
        <v>0</v>
      </c>
      <c r="I120" s="12">
        <f t="shared" si="40"/>
        <v>0</v>
      </c>
      <c r="J120" s="16">
        <v>0</v>
      </c>
      <c r="K120" s="16">
        <v>0</v>
      </c>
      <c r="L120" s="16">
        <v>0</v>
      </c>
      <c r="M120" s="12">
        <f t="shared" si="41"/>
        <v>0</v>
      </c>
      <c r="N120" s="16">
        <v>0</v>
      </c>
      <c r="O120" s="12">
        <f t="shared" si="28"/>
        <v>0</v>
      </c>
      <c r="P120" s="16">
        <v>0</v>
      </c>
      <c r="Q120" s="12">
        <f t="shared" si="35"/>
        <v>0</v>
      </c>
    </row>
    <row r="121" spans="1:17" ht="99.75" customHeight="1">
      <c r="A121" s="52" t="s">
        <v>216</v>
      </c>
      <c r="B121" s="35" t="s">
        <v>230</v>
      </c>
      <c r="C121" s="16">
        <v>0</v>
      </c>
      <c r="D121" s="16">
        <v>491.2</v>
      </c>
      <c r="E121" s="13" t="e">
        <f>D121-#REF!</f>
        <v>#REF!</v>
      </c>
      <c r="F121" s="16">
        <v>0</v>
      </c>
      <c r="G121" s="16">
        <v>0</v>
      </c>
      <c r="H121" s="16">
        <v>0</v>
      </c>
      <c r="I121" s="12">
        <f t="shared" si="40"/>
        <v>491.2</v>
      </c>
      <c r="J121" s="16">
        <v>0</v>
      </c>
      <c r="K121" s="16">
        <v>523.20000000000005</v>
      </c>
      <c r="L121" s="16">
        <v>491.2</v>
      </c>
      <c r="M121" s="16">
        <v>491.2</v>
      </c>
      <c r="N121" s="16">
        <v>523.20000000000005</v>
      </c>
      <c r="O121" s="16">
        <v>523.20000000000005</v>
      </c>
      <c r="P121" s="16">
        <v>523.20000000000005</v>
      </c>
      <c r="Q121" s="12">
        <f t="shared" si="35"/>
        <v>32.000000000000057</v>
      </c>
    </row>
    <row r="122" spans="1:17" ht="89.25" customHeight="1">
      <c r="A122" s="52" t="s">
        <v>216</v>
      </c>
      <c r="B122" s="35" t="s">
        <v>231</v>
      </c>
      <c r="C122" s="18">
        <v>2000</v>
      </c>
      <c r="D122" s="18">
        <v>0</v>
      </c>
      <c r="E122" s="13" t="e">
        <f>D122-#REF!</f>
        <v>#REF!</v>
      </c>
      <c r="F122" s="16">
        <v>6000</v>
      </c>
      <c r="G122" s="16">
        <v>0</v>
      </c>
      <c r="H122" s="16">
        <v>0</v>
      </c>
      <c r="I122" s="12">
        <f t="shared" si="40"/>
        <v>-2000</v>
      </c>
      <c r="J122" s="16">
        <v>6000</v>
      </c>
      <c r="K122" s="18">
        <v>11264.83</v>
      </c>
      <c r="L122" s="16">
        <v>11264.8</v>
      </c>
      <c r="M122" s="12">
        <f t="shared" ref="M122:M128" si="42">L122-J122</f>
        <v>5264.7999999999993</v>
      </c>
      <c r="N122" s="16">
        <v>0</v>
      </c>
      <c r="O122" s="12">
        <f t="shared" si="28"/>
        <v>-11264.8</v>
      </c>
      <c r="P122" s="16">
        <v>0</v>
      </c>
      <c r="Q122" s="12">
        <f>P122-M122</f>
        <v>-5264.7999999999993</v>
      </c>
    </row>
    <row r="123" spans="1:17" ht="98.25" customHeight="1">
      <c r="A123" s="52" t="s">
        <v>216</v>
      </c>
      <c r="B123" s="58" t="s">
        <v>232</v>
      </c>
      <c r="C123" s="18"/>
      <c r="D123" s="18"/>
      <c r="E123" s="13"/>
      <c r="F123" s="16"/>
      <c r="G123" s="16"/>
      <c r="H123" s="16"/>
      <c r="I123" s="12"/>
      <c r="J123" s="16"/>
      <c r="K123" s="18">
        <v>0</v>
      </c>
      <c r="L123" s="16"/>
      <c r="M123" s="12"/>
      <c r="N123" s="16">
        <v>2000</v>
      </c>
      <c r="O123" s="12"/>
      <c r="P123" s="16"/>
      <c r="Q123" s="12"/>
    </row>
    <row r="124" spans="1:17" ht="98.25" hidden="1" customHeight="1">
      <c r="A124" s="52" t="s">
        <v>216</v>
      </c>
      <c r="B124" s="35" t="s">
        <v>233</v>
      </c>
      <c r="C124" s="18">
        <v>2000</v>
      </c>
      <c r="D124" s="18">
        <v>6000</v>
      </c>
      <c r="E124" s="13" t="e">
        <f>D124-#REF!</f>
        <v>#REF!</v>
      </c>
      <c r="F124" s="16">
        <v>6000</v>
      </c>
      <c r="G124" s="16">
        <v>0</v>
      </c>
      <c r="H124" s="16">
        <v>0</v>
      </c>
      <c r="I124" s="12">
        <f t="shared" si="40"/>
        <v>4000</v>
      </c>
      <c r="J124" s="16">
        <v>6000</v>
      </c>
      <c r="K124" s="59">
        <v>0</v>
      </c>
      <c r="L124" s="16">
        <v>0</v>
      </c>
      <c r="M124" s="12">
        <f t="shared" si="42"/>
        <v>-6000</v>
      </c>
      <c r="N124" s="16">
        <v>0</v>
      </c>
      <c r="O124" s="12">
        <f t="shared" si="28"/>
        <v>0</v>
      </c>
      <c r="P124" s="16">
        <v>0</v>
      </c>
      <c r="Q124" s="12">
        <f t="shared" si="35"/>
        <v>6000</v>
      </c>
    </row>
    <row r="125" spans="1:17" ht="92.25" hidden="1" customHeight="1">
      <c r="A125" s="52" t="s">
        <v>216</v>
      </c>
      <c r="B125" s="35" t="s">
        <v>234</v>
      </c>
      <c r="C125" s="16">
        <v>0</v>
      </c>
      <c r="D125" s="16">
        <v>8439</v>
      </c>
      <c r="E125" s="13" t="e">
        <f>D125-#REF!</f>
        <v>#REF!</v>
      </c>
      <c r="F125" s="16">
        <v>11712</v>
      </c>
      <c r="G125" s="16">
        <v>0</v>
      </c>
      <c r="H125" s="16">
        <v>0</v>
      </c>
      <c r="I125" s="12">
        <f t="shared" si="40"/>
        <v>8439</v>
      </c>
      <c r="J125" s="16">
        <v>11712</v>
      </c>
      <c r="K125" s="16">
        <v>0</v>
      </c>
      <c r="L125" s="16">
        <v>0</v>
      </c>
      <c r="M125" s="12">
        <f t="shared" si="42"/>
        <v>-11712</v>
      </c>
      <c r="N125" s="16"/>
      <c r="O125" s="12">
        <f t="shared" si="28"/>
        <v>0</v>
      </c>
      <c r="P125" s="16"/>
      <c r="Q125" s="12">
        <f t="shared" si="35"/>
        <v>11712</v>
      </c>
    </row>
    <row r="126" spans="1:17" ht="78" customHeight="1">
      <c r="A126" s="52" t="s">
        <v>216</v>
      </c>
      <c r="B126" s="35" t="s">
        <v>235</v>
      </c>
      <c r="C126" s="16">
        <v>0</v>
      </c>
      <c r="D126" s="16">
        <v>5729.5</v>
      </c>
      <c r="E126" s="13" t="e">
        <f>D126-#REF!</f>
        <v>#REF!</v>
      </c>
      <c r="F126" s="16">
        <v>11712</v>
      </c>
      <c r="G126" s="16">
        <v>0</v>
      </c>
      <c r="H126" s="16">
        <v>0</v>
      </c>
      <c r="I126" s="12">
        <f t="shared" si="40"/>
        <v>5729.5</v>
      </c>
      <c r="J126" s="16">
        <v>11712</v>
      </c>
      <c r="K126" s="16">
        <v>5729.5</v>
      </c>
      <c r="L126" s="16">
        <v>5729.5</v>
      </c>
      <c r="M126" s="12">
        <f t="shared" si="42"/>
        <v>-5982.5</v>
      </c>
      <c r="N126" s="16">
        <v>5729.5</v>
      </c>
      <c r="O126" s="16">
        <v>5729.5</v>
      </c>
      <c r="P126" s="16">
        <v>5729.5</v>
      </c>
      <c r="Q126" s="12">
        <f>P126-M126</f>
        <v>11712</v>
      </c>
    </row>
    <row r="127" spans="1:17" ht="68.25" customHeight="1">
      <c r="A127" s="52" t="s">
        <v>216</v>
      </c>
      <c r="B127" s="35" t="s">
        <v>236</v>
      </c>
      <c r="C127" s="16">
        <v>0</v>
      </c>
      <c r="D127" s="16">
        <v>4727.5</v>
      </c>
      <c r="E127" s="13" t="e">
        <f>D127-#REF!</f>
        <v>#REF!</v>
      </c>
      <c r="F127" s="16">
        <v>11712</v>
      </c>
      <c r="G127" s="16">
        <v>0</v>
      </c>
      <c r="H127" s="16">
        <v>0</v>
      </c>
      <c r="I127" s="12">
        <f t="shared" si="40"/>
        <v>4727.5</v>
      </c>
      <c r="J127" s="16">
        <v>11712</v>
      </c>
      <c r="K127" s="16">
        <v>4727.5</v>
      </c>
      <c r="L127" s="16">
        <v>0</v>
      </c>
      <c r="M127" s="12">
        <f t="shared" si="42"/>
        <v>-11712</v>
      </c>
      <c r="N127" s="16">
        <v>0</v>
      </c>
      <c r="O127" s="12">
        <f t="shared" si="28"/>
        <v>0</v>
      </c>
      <c r="P127" s="16">
        <v>0</v>
      </c>
      <c r="Q127" s="12">
        <f>P127-M127</f>
        <v>11712</v>
      </c>
    </row>
    <row r="128" spans="1:17" ht="19.5" hidden="1" customHeight="1">
      <c r="A128" s="52" t="s">
        <v>216</v>
      </c>
      <c r="B128" s="35" t="s">
        <v>237</v>
      </c>
      <c r="C128" s="16">
        <v>3944.5</v>
      </c>
      <c r="D128" s="16">
        <v>0</v>
      </c>
      <c r="E128" s="13" t="e">
        <f>D128-#REF!</f>
        <v>#REF!</v>
      </c>
      <c r="F128" s="16">
        <v>0</v>
      </c>
      <c r="G128" s="16">
        <v>324.68</v>
      </c>
      <c r="H128" s="16">
        <v>-324.68</v>
      </c>
      <c r="I128" s="12">
        <f t="shared" si="40"/>
        <v>-3944.5</v>
      </c>
      <c r="J128" s="16">
        <v>0</v>
      </c>
      <c r="K128" s="16">
        <v>0</v>
      </c>
      <c r="L128" s="16">
        <v>0</v>
      </c>
      <c r="M128" s="12">
        <f t="shared" si="42"/>
        <v>0</v>
      </c>
      <c r="N128" s="16"/>
      <c r="O128" s="12">
        <f t="shared" si="28"/>
        <v>0</v>
      </c>
      <c r="P128" s="16"/>
      <c r="Q128" s="12">
        <f t="shared" si="35"/>
        <v>0</v>
      </c>
    </row>
    <row r="129" spans="1:17" ht="96" customHeight="1">
      <c r="A129" s="52" t="s">
        <v>216</v>
      </c>
      <c r="B129" s="35" t="s">
        <v>238</v>
      </c>
      <c r="C129" s="16">
        <v>0</v>
      </c>
      <c r="D129" s="16">
        <v>636.79999999999995</v>
      </c>
      <c r="E129" s="13" t="e">
        <f>D129-#REF!</f>
        <v>#REF!</v>
      </c>
      <c r="F129" s="16">
        <v>0</v>
      </c>
      <c r="G129" s="16">
        <v>324.68</v>
      </c>
      <c r="H129" s="16">
        <v>-324.68</v>
      </c>
      <c r="I129" s="12">
        <f t="shared" si="40"/>
        <v>636.79999999999995</v>
      </c>
      <c r="J129" s="16">
        <v>0</v>
      </c>
      <c r="K129" s="16">
        <v>1185.5</v>
      </c>
      <c r="L129" s="16">
        <v>636.79999999999995</v>
      </c>
      <c r="M129" s="16">
        <v>636.79999999999995</v>
      </c>
      <c r="N129" s="16">
        <v>1185.5</v>
      </c>
      <c r="O129" s="12">
        <f t="shared" si="28"/>
        <v>548.70000000000005</v>
      </c>
      <c r="P129" s="16">
        <v>1185.5</v>
      </c>
      <c r="Q129" s="12">
        <f>P129-M129</f>
        <v>548.70000000000005</v>
      </c>
    </row>
    <row r="130" spans="1:17" ht="83.25" hidden="1" customHeight="1">
      <c r="A130" s="52" t="s">
        <v>216</v>
      </c>
      <c r="B130" s="35" t="s">
        <v>239</v>
      </c>
      <c r="C130" s="16">
        <v>0</v>
      </c>
      <c r="D130" s="16">
        <v>650</v>
      </c>
      <c r="E130" s="13" t="e">
        <f>D130-#REF!</f>
        <v>#REF!</v>
      </c>
      <c r="F130" s="16">
        <v>0</v>
      </c>
      <c r="G130" s="16">
        <v>324.68</v>
      </c>
      <c r="H130" s="16">
        <v>-324.68</v>
      </c>
      <c r="I130" s="12">
        <f t="shared" si="40"/>
        <v>650</v>
      </c>
      <c r="J130" s="16">
        <v>0</v>
      </c>
      <c r="K130" s="16">
        <v>0</v>
      </c>
      <c r="L130" s="16">
        <v>0</v>
      </c>
      <c r="M130" s="12">
        <f>L130-J130</f>
        <v>0</v>
      </c>
      <c r="N130" s="16"/>
      <c r="O130" s="12">
        <f t="shared" si="28"/>
        <v>0</v>
      </c>
      <c r="P130" s="16"/>
      <c r="Q130" s="12">
        <f>P130-M130</f>
        <v>0</v>
      </c>
    </row>
    <row r="131" spans="1:17" ht="65.25" customHeight="1">
      <c r="A131" s="52" t="s">
        <v>216</v>
      </c>
      <c r="B131" s="35" t="s">
        <v>240</v>
      </c>
      <c r="C131" s="16"/>
      <c r="D131" s="16"/>
      <c r="E131" s="13"/>
      <c r="F131" s="16"/>
      <c r="G131" s="16"/>
      <c r="H131" s="16"/>
      <c r="I131" s="12"/>
      <c r="J131" s="16"/>
      <c r="K131" s="16">
        <v>2387.9</v>
      </c>
      <c r="L131" s="16"/>
      <c r="M131" s="12"/>
      <c r="N131" s="16">
        <v>0</v>
      </c>
      <c r="O131" s="12"/>
      <c r="P131" s="16">
        <v>0</v>
      </c>
      <c r="Q131" s="12"/>
    </row>
    <row r="132" spans="1:17" ht="72" hidden="1" customHeight="1">
      <c r="A132" s="52" t="s">
        <v>216</v>
      </c>
      <c r="B132" s="35" t="s">
        <v>241</v>
      </c>
      <c r="C132" s="16">
        <v>0</v>
      </c>
      <c r="D132" s="16">
        <v>650</v>
      </c>
      <c r="E132" s="13" t="e">
        <f>D132-#REF!</f>
        <v>#REF!</v>
      </c>
      <c r="F132" s="16">
        <v>0</v>
      </c>
      <c r="G132" s="16">
        <v>324.68</v>
      </c>
      <c r="H132" s="16">
        <v>-324.68</v>
      </c>
      <c r="I132" s="12">
        <f>D132-C132</f>
        <v>650</v>
      </c>
      <c r="J132" s="16">
        <v>0</v>
      </c>
      <c r="L132" s="16">
        <v>0</v>
      </c>
      <c r="M132" s="12">
        <f>L132-J132</f>
        <v>0</v>
      </c>
      <c r="N132" s="16"/>
      <c r="O132" s="12">
        <f>N132-L132</f>
        <v>0</v>
      </c>
      <c r="P132" s="16"/>
      <c r="Q132" s="12">
        <f>P132-M132</f>
        <v>0</v>
      </c>
    </row>
    <row r="133" spans="1:17" ht="77.25" hidden="1" customHeight="1">
      <c r="A133" s="52" t="s">
        <v>216</v>
      </c>
      <c r="B133" s="60" t="s">
        <v>242</v>
      </c>
      <c r="C133" s="16">
        <v>340</v>
      </c>
      <c r="D133" s="16">
        <v>340</v>
      </c>
      <c r="E133" s="13" t="e">
        <f>D133-#REF!</f>
        <v>#REF!</v>
      </c>
      <c r="F133" s="16">
        <v>340</v>
      </c>
      <c r="G133" s="16">
        <v>0</v>
      </c>
      <c r="H133" s="16">
        <v>340</v>
      </c>
      <c r="I133" s="12">
        <f t="shared" si="40"/>
        <v>0</v>
      </c>
      <c r="J133" s="16">
        <v>340</v>
      </c>
      <c r="K133" s="16"/>
      <c r="L133" s="16">
        <v>340</v>
      </c>
      <c r="M133" s="12">
        <f>L133-J133</f>
        <v>0</v>
      </c>
      <c r="N133" s="16"/>
      <c r="O133" s="12">
        <f t="shared" si="28"/>
        <v>-340</v>
      </c>
      <c r="P133" s="16"/>
      <c r="Q133" s="12">
        <f t="shared" si="35"/>
        <v>0</v>
      </c>
    </row>
    <row r="134" spans="1:17" ht="18" customHeight="1">
      <c r="A134" s="47" t="s">
        <v>243</v>
      </c>
      <c r="B134" s="57" t="s">
        <v>244</v>
      </c>
      <c r="C134" s="12">
        <f>C137+C149+C155+C157+C151</f>
        <v>175284.69199999998</v>
      </c>
      <c r="D134" s="12">
        <f>D137+D149+D155+D157+D151+D147+D153</f>
        <v>200309.9</v>
      </c>
      <c r="E134" s="13" t="e">
        <f>D134-#REF!</f>
        <v>#REF!</v>
      </c>
      <c r="F134" s="12">
        <f>F137+F149+F155+F157+F151</f>
        <v>173476.92599999998</v>
      </c>
      <c r="G134" s="12">
        <f>G137+G149+G155+G157+G151</f>
        <v>174276.65100000001</v>
      </c>
      <c r="H134" s="12">
        <f>H137+H149+H155+H157+H151</f>
        <v>0</v>
      </c>
      <c r="I134" s="12">
        <f t="shared" si="40"/>
        <v>25025.208000000013</v>
      </c>
      <c r="J134" s="12">
        <f>J137+J149+J155+J157+J151</f>
        <v>173476.92599999998</v>
      </c>
      <c r="K134" s="12">
        <f>K137+K149+K155+K157+K151+K147+K153</f>
        <v>213666.80000000002</v>
      </c>
      <c r="L134" s="12">
        <f>L137+L149+L155+L157+L151+L147+L153</f>
        <v>210671.79999999996</v>
      </c>
      <c r="M134" s="12">
        <f>M137+M149+M155+M157+M151+M147+M153</f>
        <v>36847.573999999971</v>
      </c>
      <c r="N134" s="12">
        <f>N137+N149+N155+N157+N151+N147+N153</f>
        <v>226157.8</v>
      </c>
      <c r="O134" s="12">
        <f t="shared" si="28"/>
        <v>15486.000000000029</v>
      </c>
      <c r="P134" s="12">
        <f>P137+P149+P155+P157+P151+P147+P153</f>
        <v>241031.89999999997</v>
      </c>
      <c r="Q134" s="12">
        <f t="shared" si="35"/>
        <v>204184.326</v>
      </c>
    </row>
    <row r="135" spans="1:17" ht="32.25" hidden="1" customHeight="1">
      <c r="A135" s="47" t="s">
        <v>245</v>
      </c>
      <c r="B135" s="57" t="s">
        <v>246</v>
      </c>
      <c r="C135" s="12">
        <f>C136</f>
        <v>0</v>
      </c>
      <c r="D135" s="12">
        <f>D136</f>
        <v>0</v>
      </c>
      <c r="E135" s="13" t="e">
        <f>D135-#REF!</f>
        <v>#REF!</v>
      </c>
      <c r="F135" s="12">
        <f t="shared" ref="F135:P135" si="43">F136</f>
        <v>0</v>
      </c>
      <c r="G135" s="12">
        <f t="shared" si="43"/>
        <v>0</v>
      </c>
      <c r="H135" s="12">
        <f t="shared" si="43"/>
        <v>0</v>
      </c>
      <c r="I135" s="12">
        <f t="shared" si="40"/>
        <v>0</v>
      </c>
      <c r="J135" s="12">
        <f t="shared" si="43"/>
        <v>0</v>
      </c>
      <c r="K135" s="12">
        <f>K136</f>
        <v>0</v>
      </c>
      <c r="L135" s="12">
        <f t="shared" si="43"/>
        <v>0</v>
      </c>
      <c r="M135" s="12">
        <f t="shared" ref="M135:M146" si="44">L135-J135</f>
        <v>0</v>
      </c>
      <c r="N135" s="12">
        <f t="shared" si="43"/>
        <v>0</v>
      </c>
      <c r="O135" s="12">
        <f t="shared" si="28"/>
        <v>0</v>
      </c>
      <c r="P135" s="12">
        <f t="shared" si="43"/>
        <v>0</v>
      </c>
      <c r="Q135" s="12">
        <f t="shared" si="35"/>
        <v>0</v>
      </c>
    </row>
    <row r="136" spans="1:17" ht="31.5" hidden="1" customHeight="1">
      <c r="A136" s="52" t="s">
        <v>247</v>
      </c>
      <c r="B136" s="35" t="s">
        <v>248</v>
      </c>
      <c r="C136" s="16">
        <v>0</v>
      </c>
      <c r="D136" s="16">
        <v>0</v>
      </c>
      <c r="E136" s="13" t="e">
        <f>D136-#REF!</f>
        <v>#REF!</v>
      </c>
      <c r="F136" s="16">
        <v>0</v>
      </c>
      <c r="G136" s="16">
        <v>0</v>
      </c>
      <c r="H136" s="16">
        <v>0</v>
      </c>
      <c r="I136" s="12">
        <f t="shared" si="40"/>
        <v>0</v>
      </c>
      <c r="J136" s="16">
        <v>0</v>
      </c>
      <c r="K136" s="16">
        <v>0</v>
      </c>
      <c r="L136" s="16">
        <v>0</v>
      </c>
      <c r="M136" s="12">
        <f t="shared" si="44"/>
        <v>0</v>
      </c>
      <c r="N136" s="16">
        <v>0</v>
      </c>
      <c r="O136" s="12">
        <f t="shared" si="28"/>
        <v>0</v>
      </c>
      <c r="P136" s="16">
        <v>0</v>
      </c>
      <c r="Q136" s="12">
        <f t="shared" si="35"/>
        <v>0</v>
      </c>
    </row>
    <row r="137" spans="1:17" ht="31.5" customHeight="1">
      <c r="A137" s="47" t="s">
        <v>249</v>
      </c>
      <c r="B137" s="33" t="s">
        <v>250</v>
      </c>
      <c r="C137" s="12">
        <f>C138</f>
        <v>164371.29199999999</v>
      </c>
      <c r="D137" s="12">
        <f>D138</f>
        <v>189422.8</v>
      </c>
      <c r="E137" s="13" t="e">
        <f>D137-#REF!</f>
        <v>#REF!</v>
      </c>
      <c r="F137" s="12">
        <f t="shared" ref="F137:P137" si="45">F138</f>
        <v>163617.326</v>
      </c>
      <c r="G137" s="12">
        <f t="shared" si="45"/>
        <v>163617.851</v>
      </c>
      <c r="H137" s="12">
        <f t="shared" si="45"/>
        <v>0</v>
      </c>
      <c r="I137" s="12">
        <f t="shared" si="40"/>
        <v>25051.508000000002</v>
      </c>
      <c r="J137" s="12">
        <f t="shared" si="45"/>
        <v>163617.326</v>
      </c>
      <c r="K137" s="12">
        <f>K138</f>
        <v>203000.7</v>
      </c>
      <c r="L137" s="12">
        <f t="shared" si="45"/>
        <v>199770.39999999997</v>
      </c>
      <c r="M137" s="12">
        <f t="shared" si="44"/>
        <v>36153.073999999964</v>
      </c>
      <c r="N137" s="12">
        <f t="shared" si="45"/>
        <v>215383.3</v>
      </c>
      <c r="O137" s="12">
        <f t="shared" si="28"/>
        <v>15612.900000000023</v>
      </c>
      <c r="P137" s="12">
        <f t="shared" si="45"/>
        <v>228953.8</v>
      </c>
      <c r="Q137" s="12">
        <f t="shared" si="35"/>
        <v>192800.72600000002</v>
      </c>
    </row>
    <row r="138" spans="1:17" ht="31.5" customHeight="1">
      <c r="A138" s="47" t="s">
        <v>251</v>
      </c>
      <c r="B138" s="33" t="s">
        <v>252</v>
      </c>
      <c r="C138" s="12">
        <f>SUM(C139:C146)</f>
        <v>164371.29199999999</v>
      </c>
      <c r="D138" s="12">
        <f>SUM(D139:D146)</f>
        <v>189422.8</v>
      </c>
      <c r="E138" s="13" t="e">
        <f>D138-#REF!</f>
        <v>#REF!</v>
      </c>
      <c r="F138" s="12">
        <f>SUM(F139:F146)</f>
        <v>163617.326</v>
      </c>
      <c r="G138" s="12">
        <f>SUM(G139:G146)</f>
        <v>163617.851</v>
      </c>
      <c r="H138" s="12">
        <f>SUM(H139:H146)</f>
        <v>0</v>
      </c>
      <c r="I138" s="12">
        <f t="shared" si="40"/>
        <v>25051.508000000002</v>
      </c>
      <c r="J138" s="12">
        <f>SUM(J139:J146)</f>
        <v>163617.326</v>
      </c>
      <c r="K138" s="12">
        <f>SUM(K139:K146)</f>
        <v>203000.7</v>
      </c>
      <c r="L138" s="12">
        <f>SUM(L139:L146)</f>
        <v>199770.39999999997</v>
      </c>
      <c r="M138" s="12">
        <f t="shared" si="44"/>
        <v>36153.073999999964</v>
      </c>
      <c r="N138" s="12">
        <f>SUM(N139:N146)</f>
        <v>215383.3</v>
      </c>
      <c r="O138" s="12">
        <f t="shared" si="28"/>
        <v>15612.900000000023</v>
      </c>
      <c r="P138" s="12">
        <f>SUM(P139:P146)</f>
        <v>228953.8</v>
      </c>
      <c r="Q138" s="12">
        <f t="shared" si="35"/>
        <v>192800.72600000002</v>
      </c>
    </row>
    <row r="139" spans="1:17" ht="68.25" hidden="1" customHeight="1">
      <c r="A139" s="52" t="s">
        <v>253</v>
      </c>
      <c r="B139" s="35" t="s">
        <v>254</v>
      </c>
      <c r="C139" s="16">
        <v>0</v>
      </c>
      <c r="D139" s="16">
        <v>0</v>
      </c>
      <c r="E139" s="13" t="e">
        <f>D139-#REF!</f>
        <v>#REF!</v>
      </c>
      <c r="F139" s="61"/>
      <c r="G139" s="62"/>
      <c r="H139" s="16">
        <v>0</v>
      </c>
      <c r="I139" s="12">
        <f t="shared" si="40"/>
        <v>0</v>
      </c>
      <c r="J139" s="61"/>
      <c r="K139" s="16">
        <v>0</v>
      </c>
      <c r="L139" s="61"/>
      <c r="M139" s="12">
        <f t="shared" si="44"/>
        <v>0</v>
      </c>
      <c r="N139" s="61"/>
      <c r="O139" s="12">
        <f t="shared" si="28"/>
        <v>0</v>
      </c>
      <c r="P139" s="62"/>
      <c r="Q139" s="12">
        <f t="shared" si="35"/>
        <v>0</v>
      </c>
    </row>
    <row r="140" spans="1:17" ht="77.25" customHeight="1">
      <c r="A140" s="52" t="s">
        <v>251</v>
      </c>
      <c r="B140" s="35" t="s">
        <v>255</v>
      </c>
      <c r="C140" s="16">
        <f>152253.4-699.9</f>
        <v>151553.5</v>
      </c>
      <c r="D140" s="16">
        <f>185578.1-7726.1</f>
        <v>177852</v>
      </c>
      <c r="E140" s="13" t="e">
        <f>D140-#REF!</f>
        <v>#REF!</v>
      </c>
      <c r="F140" s="16">
        <v>149420</v>
      </c>
      <c r="G140" s="16">
        <v>149420</v>
      </c>
      <c r="H140" s="16">
        <v>0</v>
      </c>
      <c r="I140" s="12">
        <f t="shared" si="40"/>
        <v>26298.5</v>
      </c>
      <c r="J140" s="16">
        <v>149420</v>
      </c>
      <c r="K140" s="16">
        <f>201262.6-K156-K154</f>
        <v>192753.7</v>
      </c>
      <c r="L140" s="16">
        <f>195925.3-7726.1</f>
        <v>188199.19999999998</v>
      </c>
      <c r="M140" s="12">
        <f t="shared" si="44"/>
        <v>38779.199999999983</v>
      </c>
      <c r="N140" s="16">
        <f>213752.7-N156-N154</f>
        <v>205135.7</v>
      </c>
      <c r="O140" s="16">
        <f>201262.6-O156-O154</f>
        <v>200371.674</v>
      </c>
      <c r="P140" s="16">
        <f>227217.8-P156-P154</f>
        <v>218705.7</v>
      </c>
      <c r="Q140" s="12">
        <f t="shared" si="35"/>
        <v>179926.50000000003</v>
      </c>
    </row>
    <row r="141" spans="1:17" ht="125.25" hidden="1" customHeight="1">
      <c r="A141" s="52" t="s">
        <v>251</v>
      </c>
      <c r="B141" s="35" t="s">
        <v>256</v>
      </c>
      <c r="C141" s="16">
        <v>0</v>
      </c>
      <c r="D141" s="16">
        <v>0</v>
      </c>
      <c r="E141" s="13" t="e">
        <f>D141-#REF!</f>
        <v>#REF!</v>
      </c>
      <c r="F141" s="16"/>
      <c r="G141" s="16"/>
      <c r="H141" s="16">
        <v>0</v>
      </c>
      <c r="I141" s="12">
        <f t="shared" si="40"/>
        <v>0</v>
      </c>
      <c r="J141" s="16"/>
      <c r="K141" s="16">
        <v>0</v>
      </c>
      <c r="L141" s="16"/>
      <c r="M141" s="12">
        <f t="shared" si="44"/>
        <v>0</v>
      </c>
      <c r="N141" s="16"/>
      <c r="O141" s="12">
        <f t="shared" si="28"/>
        <v>0</v>
      </c>
      <c r="P141" s="16"/>
      <c r="Q141" s="12">
        <f t="shared" si="35"/>
        <v>0</v>
      </c>
    </row>
    <row r="142" spans="1:17" ht="62.25" customHeight="1">
      <c r="A142" s="52" t="s">
        <v>251</v>
      </c>
      <c r="B142" s="35" t="s">
        <v>257</v>
      </c>
      <c r="C142" s="16">
        <f>11090.9-1940</f>
        <v>9150.9</v>
      </c>
      <c r="D142" s="16">
        <f>9013-1761.5</f>
        <v>7251.5</v>
      </c>
      <c r="E142" s="13" t="e">
        <f>D142-#REF!</f>
        <v>#REF!</v>
      </c>
      <c r="F142" s="16">
        <v>11090.9</v>
      </c>
      <c r="G142" s="16">
        <v>11090.9</v>
      </c>
      <c r="H142" s="16">
        <v>0</v>
      </c>
      <c r="I142" s="12">
        <f t="shared" si="40"/>
        <v>-1899.3999999999996</v>
      </c>
      <c r="J142" s="16">
        <v>11090.9</v>
      </c>
      <c r="K142" s="16">
        <v>5805.6</v>
      </c>
      <c r="L142" s="16">
        <f>9013-1761.5</f>
        <v>7251.5</v>
      </c>
      <c r="M142" s="12">
        <f t="shared" si="44"/>
        <v>-3839.3999999999996</v>
      </c>
      <c r="N142" s="16">
        <v>5805.6</v>
      </c>
      <c r="O142" s="16">
        <v>5805.6</v>
      </c>
      <c r="P142" s="16">
        <v>5805.6</v>
      </c>
      <c r="Q142" s="12">
        <f t="shared" si="35"/>
        <v>9645</v>
      </c>
    </row>
    <row r="143" spans="1:17" ht="71.25" customHeight="1">
      <c r="A143" s="52" t="s">
        <v>251</v>
      </c>
      <c r="B143" s="35" t="s">
        <v>258</v>
      </c>
      <c r="C143" s="16">
        <v>219.44399999999999</v>
      </c>
      <c r="D143" s="16">
        <v>221.6</v>
      </c>
      <c r="E143" s="13" t="e">
        <f>D143-#REF!</f>
        <v>#REF!</v>
      </c>
      <c r="F143" s="16">
        <v>219.97800000000001</v>
      </c>
      <c r="G143" s="16">
        <v>220.50299999999999</v>
      </c>
      <c r="H143" s="16">
        <v>0</v>
      </c>
      <c r="I143" s="12">
        <f t="shared" si="40"/>
        <v>2.1560000000000059</v>
      </c>
      <c r="J143" s="16">
        <v>219.97800000000001</v>
      </c>
      <c r="K143" s="16">
        <v>221.7</v>
      </c>
      <c r="L143" s="16">
        <v>222</v>
      </c>
      <c r="M143" s="12">
        <f t="shared" si="44"/>
        <v>2.0219999999999914</v>
      </c>
      <c r="N143" s="16">
        <v>222.3</v>
      </c>
      <c r="O143" s="12">
        <f t="shared" si="28"/>
        <v>0.30000000000001137</v>
      </c>
      <c r="P143" s="16">
        <v>222.8</v>
      </c>
      <c r="Q143" s="12">
        <f t="shared" si="35"/>
        <v>220.77800000000002</v>
      </c>
    </row>
    <row r="144" spans="1:17" ht="82.5" customHeight="1">
      <c r="A144" s="52" t="s">
        <v>251</v>
      </c>
      <c r="B144" s="60" t="s">
        <v>259</v>
      </c>
      <c r="C144" s="16">
        <v>132.34800000000001</v>
      </c>
      <c r="D144" s="16">
        <v>110.3</v>
      </c>
      <c r="E144" s="13" t="e">
        <f>D144-#REF!</f>
        <v>#REF!</v>
      </c>
      <c r="F144" s="16">
        <v>132.34800000000001</v>
      </c>
      <c r="G144" s="16">
        <v>132.34800000000001</v>
      </c>
      <c r="H144" s="16">
        <v>0</v>
      </c>
      <c r="I144" s="12">
        <f t="shared" si="40"/>
        <v>-22.048000000000016</v>
      </c>
      <c r="J144" s="16">
        <v>132.34800000000001</v>
      </c>
      <c r="K144" s="16">
        <v>167.4</v>
      </c>
      <c r="L144" s="16">
        <v>110.3</v>
      </c>
      <c r="M144" s="12">
        <f t="shared" si="44"/>
        <v>-22.048000000000016</v>
      </c>
      <c r="N144" s="16">
        <v>167.4</v>
      </c>
      <c r="O144" s="12">
        <f t="shared" si="28"/>
        <v>57.100000000000009</v>
      </c>
      <c r="P144" s="16">
        <v>167.4</v>
      </c>
      <c r="Q144" s="12">
        <f t="shared" si="35"/>
        <v>189.44800000000004</v>
      </c>
    </row>
    <row r="145" spans="1:17" ht="84" customHeight="1">
      <c r="A145" s="52" t="s">
        <v>251</v>
      </c>
      <c r="B145" s="60" t="s">
        <v>260</v>
      </c>
      <c r="C145" s="16">
        <f>907+124.5</f>
        <v>1031.5</v>
      </c>
      <c r="D145" s="16">
        <v>2063</v>
      </c>
      <c r="E145" s="13" t="e">
        <f>D145-#REF!</f>
        <v>#REF!</v>
      </c>
      <c r="F145" s="16">
        <v>907</v>
      </c>
      <c r="G145" s="16">
        <v>907</v>
      </c>
      <c r="H145" s="16">
        <v>0</v>
      </c>
      <c r="I145" s="12">
        <f t="shared" si="40"/>
        <v>1031.5</v>
      </c>
      <c r="J145" s="16">
        <v>907</v>
      </c>
      <c r="K145" s="16">
        <v>1653.9</v>
      </c>
      <c r="L145" s="16">
        <v>2063</v>
      </c>
      <c r="M145" s="12">
        <f t="shared" si="44"/>
        <v>1156</v>
      </c>
      <c r="N145" s="16">
        <v>1653.9</v>
      </c>
      <c r="O145" s="16">
        <v>1653.85</v>
      </c>
      <c r="P145" s="16">
        <v>1653.9</v>
      </c>
      <c r="Q145" s="12">
        <f t="shared" si="35"/>
        <v>497.90000000000009</v>
      </c>
    </row>
    <row r="146" spans="1:17" ht="83.25" customHeight="1">
      <c r="A146" s="52" t="s">
        <v>251</v>
      </c>
      <c r="B146" s="60" t="s">
        <v>261</v>
      </c>
      <c r="C146" s="16">
        <f>1847.1+436.5</f>
        <v>2283.6</v>
      </c>
      <c r="D146" s="16">
        <v>1924.4</v>
      </c>
      <c r="E146" s="13" t="e">
        <f>D146-#REF!</f>
        <v>#REF!</v>
      </c>
      <c r="F146" s="16">
        <v>1847.1</v>
      </c>
      <c r="G146" s="16">
        <v>1847.1</v>
      </c>
      <c r="H146" s="16">
        <v>0</v>
      </c>
      <c r="I146" s="12">
        <f t="shared" si="40"/>
        <v>-359.19999999999982</v>
      </c>
      <c r="J146" s="16">
        <v>1847.1</v>
      </c>
      <c r="K146" s="16">
        <v>2398.4</v>
      </c>
      <c r="L146" s="16">
        <v>1924.4</v>
      </c>
      <c r="M146" s="12">
        <f t="shared" si="44"/>
        <v>77.300000000000182</v>
      </c>
      <c r="N146" s="16">
        <v>2398.4</v>
      </c>
      <c r="O146" s="16">
        <v>2398.4</v>
      </c>
      <c r="P146" s="16">
        <v>2398.4</v>
      </c>
      <c r="Q146" s="12">
        <f t="shared" si="35"/>
        <v>2321.1</v>
      </c>
    </row>
    <row r="147" spans="1:17" ht="32.25" hidden="1" customHeight="1">
      <c r="A147" s="47" t="s">
        <v>262</v>
      </c>
      <c r="B147" s="60" t="s">
        <v>263</v>
      </c>
      <c r="C147" s="16"/>
      <c r="D147" s="16">
        <f>D148</f>
        <v>332.5</v>
      </c>
      <c r="E147" s="13"/>
      <c r="F147" s="16"/>
      <c r="G147" s="16"/>
      <c r="H147" s="16"/>
      <c r="I147" s="12"/>
      <c r="J147" s="16"/>
      <c r="K147" s="16">
        <f>K148</f>
        <v>0</v>
      </c>
      <c r="L147" s="16">
        <f>L148</f>
        <v>347.3</v>
      </c>
      <c r="M147" s="16">
        <f>M148</f>
        <v>0</v>
      </c>
      <c r="N147" s="16">
        <f>N148</f>
        <v>0</v>
      </c>
      <c r="O147" s="12">
        <f t="shared" si="28"/>
        <v>-347.3</v>
      </c>
      <c r="P147" s="16">
        <f>P148</f>
        <v>0</v>
      </c>
      <c r="Q147" s="12"/>
    </row>
    <row r="148" spans="1:17" ht="43.5" hidden="1" customHeight="1">
      <c r="A148" s="47" t="s">
        <v>264</v>
      </c>
      <c r="B148" s="60" t="s">
        <v>265</v>
      </c>
      <c r="C148" s="16"/>
      <c r="D148" s="16">
        <v>332.5</v>
      </c>
      <c r="E148" s="13"/>
      <c r="F148" s="16"/>
      <c r="G148" s="16"/>
      <c r="H148" s="16"/>
      <c r="I148" s="12"/>
      <c r="J148" s="16"/>
      <c r="K148" s="16"/>
      <c r="L148" s="16">
        <v>347.3</v>
      </c>
      <c r="M148" s="12"/>
      <c r="N148" s="16"/>
      <c r="O148" s="12">
        <f t="shared" si="28"/>
        <v>-347.3</v>
      </c>
      <c r="P148" s="16"/>
      <c r="Q148" s="12"/>
    </row>
    <row r="149" spans="1:17" ht="49.5" customHeight="1">
      <c r="A149" s="47" t="s">
        <v>266</v>
      </c>
      <c r="B149" s="63" t="s">
        <v>267</v>
      </c>
      <c r="C149" s="12">
        <f>C150</f>
        <v>15.7</v>
      </c>
      <c r="D149" s="12">
        <f>D150</f>
        <v>0.4</v>
      </c>
      <c r="E149" s="13" t="e">
        <f>D149-#REF!</f>
        <v>#REF!</v>
      </c>
      <c r="F149" s="12">
        <f t="shared" ref="F149:P149" si="46">F150</f>
        <v>1.9</v>
      </c>
      <c r="G149" s="12">
        <f t="shared" si="46"/>
        <v>1.7</v>
      </c>
      <c r="H149" s="12">
        <f t="shared" si="46"/>
        <v>0</v>
      </c>
      <c r="I149" s="12">
        <f>D149-C149</f>
        <v>-15.299999999999999</v>
      </c>
      <c r="J149" s="12">
        <f t="shared" si="46"/>
        <v>1.9</v>
      </c>
      <c r="K149" s="12">
        <f>K150</f>
        <v>1.7</v>
      </c>
      <c r="L149" s="12">
        <f t="shared" si="46"/>
        <v>0.5</v>
      </c>
      <c r="M149" s="12">
        <f>L149-J149</f>
        <v>-1.4</v>
      </c>
      <c r="N149" s="12">
        <f t="shared" si="46"/>
        <v>1.8</v>
      </c>
      <c r="O149" s="12">
        <f t="shared" si="28"/>
        <v>1.3</v>
      </c>
      <c r="P149" s="12">
        <f t="shared" si="46"/>
        <v>11.7</v>
      </c>
      <c r="Q149" s="12">
        <f t="shared" si="35"/>
        <v>13.1</v>
      </c>
    </row>
    <row r="150" spans="1:17" ht="48" customHeight="1">
      <c r="A150" s="52" t="s">
        <v>268</v>
      </c>
      <c r="B150" s="60" t="s">
        <v>269</v>
      </c>
      <c r="C150" s="16">
        <v>15.7</v>
      </c>
      <c r="D150" s="16">
        <v>0.4</v>
      </c>
      <c r="E150" s="13" t="e">
        <f>D150-#REF!</f>
        <v>#REF!</v>
      </c>
      <c r="F150" s="16">
        <v>1.9</v>
      </c>
      <c r="G150" s="16">
        <v>1.7</v>
      </c>
      <c r="H150" s="16">
        <v>0</v>
      </c>
      <c r="I150" s="12">
        <f>D150-C150</f>
        <v>-15.299999999999999</v>
      </c>
      <c r="J150" s="16">
        <v>1.9</v>
      </c>
      <c r="K150" s="16">
        <v>1.7</v>
      </c>
      <c r="L150" s="16">
        <v>0.5</v>
      </c>
      <c r="M150" s="12">
        <f>L150-J150</f>
        <v>-1.4</v>
      </c>
      <c r="N150" s="16">
        <v>1.8</v>
      </c>
      <c r="O150" s="12">
        <f t="shared" si="28"/>
        <v>1.3</v>
      </c>
      <c r="P150" s="16">
        <v>11.7</v>
      </c>
      <c r="Q150" s="12">
        <f t="shared" si="35"/>
        <v>13.1</v>
      </c>
    </row>
    <row r="151" spans="1:17" s="26" customFormat="1" ht="60" customHeight="1">
      <c r="A151" s="47" t="s">
        <v>270</v>
      </c>
      <c r="B151" s="63" t="s">
        <v>271</v>
      </c>
      <c r="C151" s="12">
        <f>C152</f>
        <v>1040</v>
      </c>
      <c r="D151" s="12">
        <f>D152</f>
        <v>0</v>
      </c>
      <c r="E151" s="13" t="e">
        <f>D151-#REF!</f>
        <v>#REF!</v>
      </c>
      <c r="F151" s="12">
        <f t="shared" ref="F151:P151" si="47">F152</f>
        <v>0</v>
      </c>
      <c r="G151" s="12">
        <f t="shared" si="47"/>
        <v>800</v>
      </c>
      <c r="H151" s="12">
        <f t="shared" si="47"/>
        <v>0</v>
      </c>
      <c r="I151" s="12">
        <f>D151-C151</f>
        <v>-1040</v>
      </c>
      <c r="J151" s="12">
        <f t="shared" si="47"/>
        <v>0</v>
      </c>
      <c r="K151" s="12">
        <f>K152</f>
        <v>0</v>
      </c>
      <c r="L151" s="12">
        <f t="shared" si="47"/>
        <v>0</v>
      </c>
      <c r="M151" s="12">
        <f>L151-J151</f>
        <v>0</v>
      </c>
      <c r="N151" s="12">
        <f t="shared" si="47"/>
        <v>0</v>
      </c>
      <c r="O151" s="12">
        <f>N151-L151</f>
        <v>0</v>
      </c>
      <c r="P151" s="12">
        <f t="shared" si="47"/>
        <v>1400</v>
      </c>
      <c r="Q151" s="12">
        <f>P151-M151</f>
        <v>1400</v>
      </c>
    </row>
    <row r="152" spans="1:17" ht="57" customHeight="1">
      <c r="A152" s="52" t="s">
        <v>272</v>
      </c>
      <c r="B152" s="60" t="s">
        <v>273</v>
      </c>
      <c r="C152" s="16">
        <f>800+240</f>
        <v>1040</v>
      </c>
      <c r="D152" s="16">
        <v>0</v>
      </c>
      <c r="E152" s="13" t="e">
        <f>D152-#REF!</f>
        <v>#REF!</v>
      </c>
      <c r="F152" s="16">
        <v>0</v>
      </c>
      <c r="G152" s="16">
        <v>800</v>
      </c>
      <c r="H152" s="16">
        <v>0</v>
      </c>
      <c r="I152" s="12">
        <f>D152-C152</f>
        <v>-1040</v>
      </c>
      <c r="J152" s="16">
        <v>0</v>
      </c>
      <c r="K152" s="16">
        <v>0</v>
      </c>
      <c r="L152" s="16">
        <v>0</v>
      </c>
      <c r="M152" s="12">
        <f>L152-J152</f>
        <v>0</v>
      </c>
      <c r="N152" s="16">
        <v>0</v>
      </c>
      <c r="O152" s="12">
        <f>N152-L152</f>
        <v>0</v>
      </c>
      <c r="P152" s="16">
        <v>1400</v>
      </c>
      <c r="Q152" s="12">
        <f>P152-M152</f>
        <v>1400</v>
      </c>
    </row>
    <row r="153" spans="1:17" s="26" customFormat="1" ht="58.5" customHeight="1">
      <c r="A153" s="47" t="s">
        <v>274</v>
      </c>
      <c r="B153" s="63" t="s">
        <v>275</v>
      </c>
      <c r="C153" s="12"/>
      <c r="D153" s="12">
        <f>D154</f>
        <v>752.4</v>
      </c>
      <c r="E153" s="13"/>
      <c r="F153" s="12"/>
      <c r="G153" s="12"/>
      <c r="H153" s="12"/>
      <c r="I153" s="12"/>
      <c r="J153" s="12"/>
      <c r="K153" s="12">
        <f>K154</f>
        <v>782.8</v>
      </c>
      <c r="L153" s="12">
        <f>L154</f>
        <v>752.4</v>
      </c>
      <c r="M153" s="12">
        <f>M154</f>
        <v>752.4</v>
      </c>
      <c r="N153" s="12">
        <f>N154</f>
        <v>782.8</v>
      </c>
      <c r="O153" s="12">
        <f t="shared" si="28"/>
        <v>30.399999999999977</v>
      </c>
      <c r="P153" s="12">
        <f>P154</f>
        <v>638.79999999999995</v>
      </c>
      <c r="Q153" s="12"/>
    </row>
    <row r="154" spans="1:17" ht="47.25" customHeight="1">
      <c r="A154" s="52" t="s">
        <v>276</v>
      </c>
      <c r="B154" s="60" t="s">
        <v>277</v>
      </c>
      <c r="C154" s="16"/>
      <c r="D154" s="16">
        <v>752.4</v>
      </c>
      <c r="E154" s="13"/>
      <c r="F154" s="16"/>
      <c r="G154" s="16"/>
      <c r="H154" s="16"/>
      <c r="I154" s="12"/>
      <c r="J154" s="16"/>
      <c r="K154" s="16">
        <v>782.8</v>
      </c>
      <c r="L154" s="16">
        <v>752.4</v>
      </c>
      <c r="M154" s="16">
        <v>752.4</v>
      </c>
      <c r="N154" s="16">
        <v>782.8</v>
      </c>
      <c r="O154" s="16">
        <v>782.82600000000002</v>
      </c>
      <c r="P154" s="16">
        <v>638.79999999999995</v>
      </c>
      <c r="Q154" s="12"/>
    </row>
    <row r="155" spans="1:17" ht="57" customHeight="1">
      <c r="A155" s="47" t="s">
        <v>278</v>
      </c>
      <c r="B155" s="64" t="s">
        <v>279</v>
      </c>
      <c r="C155" s="12">
        <f>C156</f>
        <v>7815.9</v>
      </c>
      <c r="D155" s="12">
        <f>D156</f>
        <v>7726.1</v>
      </c>
      <c r="E155" s="13" t="e">
        <f>D155-#REF!</f>
        <v>#REF!</v>
      </c>
      <c r="F155" s="12">
        <f t="shared" ref="F155:P155" si="48">F156</f>
        <v>7815.9</v>
      </c>
      <c r="G155" s="12">
        <f t="shared" si="48"/>
        <v>7815.9</v>
      </c>
      <c r="H155" s="12">
        <f t="shared" si="48"/>
        <v>0</v>
      </c>
      <c r="I155" s="12">
        <f>D155-C155</f>
        <v>-89.799999999999272</v>
      </c>
      <c r="J155" s="12">
        <f t="shared" si="48"/>
        <v>7815.9</v>
      </c>
      <c r="K155" s="12">
        <f>K156</f>
        <v>7726.1</v>
      </c>
      <c r="L155" s="12">
        <f t="shared" si="48"/>
        <v>7726.1</v>
      </c>
      <c r="M155" s="12">
        <f>L155-J155</f>
        <v>-89.799999999999272</v>
      </c>
      <c r="N155" s="12">
        <f t="shared" si="48"/>
        <v>7834.2</v>
      </c>
      <c r="O155" s="12">
        <f t="shared" si="28"/>
        <v>108.09999999999945</v>
      </c>
      <c r="P155" s="12">
        <f t="shared" si="48"/>
        <v>7873.3</v>
      </c>
      <c r="Q155" s="12">
        <f>P155-M155</f>
        <v>7963.0999999999995</v>
      </c>
    </row>
    <row r="156" spans="1:17" ht="49.5" customHeight="1">
      <c r="A156" s="36" t="s">
        <v>280</v>
      </c>
      <c r="B156" s="38" t="s">
        <v>281</v>
      </c>
      <c r="C156" s="16">
        <v>7815.9</v>
      </c>
      <c r="D156" s="16">
        <v>7726.1</v>
      </c>
      <c r="E156" s="13" t="e">
        <f>D156-#REF!</f>
        <v>#REF!</v>
      </c>
      <c r="F156" s="16">
        <v>7815.9</v>
      </c>
      <c r="G156" s="16">
        <v>7815.9</v>
      </c>
      <c r="H156" s="16">
        <v>0</v>
      </c>
      <c r="I156" s="12">
        <f>D156-C156</f>
        <v>-89.799999999999272</v>
      </c>
      <c r="J156" s="16">
        <v>7815.9</v>
      </c>
      <c r="K156" s="16">
        <v>7726.1</v>
      </c>
      <c r="L156" s="16">
        <v>7726.1</v>
      </c>
      <c r="M156" s="12">
        <f>L156-J156</f>
        <v>-89.799999999999272</v>
      </c>
      <c r="N156" s="16">
        <v>7834.2</v>
      </c>
      <c r="O156" s="12">
        <f t="shared" ref="O156:O170" si="49">N156-L156</f>
        <v>108.09999999999945</v>
      </c>
      <c r="P156" s="16">
        <v>7873.3</v>
      </c>
      <c r="Q156" s="12">
        <f>P156-M156</f>
        <v>7963.0999999999995</v>
      </c>
    </row>
    <row r="157" spans="1:17" s="26" customFormat="1" ht="31.5" customHeight="1">
      <c r="A157" s="47" t="s">
        <v>282</v>
      </c>
      <c r="B157" s="65" t="s">
        <v>283</v>
      </c>
      <c r="C157" s="12">
        <f>C158</f>
        <v>2041.8</v>
      </c>
      <c r="D157" s="12">
        <f>D158</f>
        <v>2075.6999999999998</v>
      </c>
      <c r="E157" s="13" t="e">
        <f>D157-#REF!</f>
        <v>#REF!</v>
      </c>
      <c r="F157" s="12">
        <f t="shared" ref="F157:P157" si="50">F158</f>
        <v>2041.8</v>
      </c>
      <c r="G157" s="12">
        <f t="shared" si="50"/>
        <v>2041.2</v>
      </c>
      <c r="H157" s="12">
        <f t="shared" si="50"/>
        <v>0</v>
      </c>
      <c r="I157" s="12">
        <f>D157-C157</f>
        <v>33.899999999999864</v>
      </c>
      <c r="J157" s="12">
        <f t="shared" si="50"/>
        <v>2041.8</v>
      </c>
      <c r="K157" s="12">
        <f>K158</f>
        <v>2155.5</v>
      </c>
      <c r="L157" s="12">
        <f t="shared" si="50"/>
        <v>2075.1</v>
      </c>
      <c r="M157" s="12">
        <f>L157-J157</f>
        <v>33.299999999999955</v>
      </c>
      <c r="N157" s="12">
        <f t="shared" si="50"/>
        <v>2155.6999999999998</v>
      </c>
      <c r="O157" s="12">
        <f t="shared" si="49"/>
        <v>80.599999999999909</v>
      </c>
      <c r="P157" s="12">
        <f t="shared" si="50"/>
        <v>2154.3000000000002</v>
      </c>
      <c r="Q157" s="12">
        <f t="shared" si="35"/>
        <v>2121</v>
      </c>
    </row>
    <row r="158" spans="1:17" ht="30.75" customHeight="1">
      <c r="A158" s="52" t="s">
        <v>284</v>
      </c>
      <c r="B158" s="66" t="s">
        <v>285</v>
      </c>
      <c r="C158" s="16">
        <v>2041.8</v>
      </c>
      <c r="D158" s="16">
        <v>2075.6999999999998</v>
      </c>
      <c r="E158" s="13" t="e">
        <f>D158-#REF!</f>
        <v>#REF!</v>
      </c>
      <c r="F158" s="16">
        <v>2041.8</v>
      </c>
      <c r="G158" s="16">
        <v>2041.2</v>
      </c>
      <c r="H158" s="16">
        <v>0</v>
      </c>
      <c r="I158" s="12">
        <f>D158-C158</f>
        <v>33.899999999999864</v>
      </c>
      <c r="J158" s="16">
        <v>2041.8</v>
      </c>
      <c r="K158" s="16">
        <v>2155.5</v>
      </c>
      <c r="L158" s="16">
        <v>2075.1</v>
      </c>
      <c r="M158" s="12">
        <f>L158-J158</f>
        <v>33.299999999999955</v>
      </c>
      <c r="N158" s="16">
        <v>2155.6999999999998</v>
      </c>
      <c r="O158" s="12">
        <f t="shared" si="49"/>
        <v>80.599999999999909</v>
      </c>
      <c r="P158" s="16">
        <v>2154.3000000000002</v>
      </c>
      <c r="Q158" s="12">
        <f t="shared" si="35"/>
        <v>2121</v>
      </c>
    </row>
    <row r="159" spans="1:17" ht="27" hidden="1" customHeight="1">
      <c r="A159" s="47" t="s">
        <v>286</v>
      </c>
      <c r="B159" s="28" t="s">
        <v>287</v>
      </c>
      <c r="C159" s="12" t="e">
        <f>SUM(#REF!+C162)</f>
        <v>#REF!</v>
      </c>
      <c r="D159" s="12">
        <f>D162+D160</f>
        <v>156.30000000000001</v>
      </c>
      <c r="E159" s="13" t="e">
        <f>D159-#REF!</f>
        <v>#REF!</v>
      </c>
      <c r="F159" s="12" t="e">
        <f>SUM(#REF!)+F162</f>
        <v>#REF!</v>
      </c>
      <c r="G159" s="12" t="e">
        <f>SUM(#REF!)+G162</f>
        <v>#REF!</v>
      </c>
      <c r="H159" s="12" t="e">
        <f>SUM(#REF!)+H162</f>
        <v>#REF!</v>
      </c>
      <c r="I159" s="12" t="e">
        <f>D159-C159</f>
        <v>#REF!</v>
      </c>
      <c r="J159" s="12" t="e">
        <f>SUM(#REF!)+J162</f>
        <v>#REF!</v>
      </c>
      <c r="K159" s="12">
        <f>K162+K160</f>
        <v>0</v>
      </c>
      <c r="L159" s="12">
        <f>L162</f>
        <v>0</v>
      </c>
      <c r="M159" s="12">
        <f>M162</f>
        <v>0</v>
      </c>
      <c r="N159" s="12">
        <f>N162</f>
        <v>0</v>
      </c>
      <c r="O159" s="12">
        <f t="shared" si="49"/>
        <v>0</v>
      </c>
      <c r="P159" s="12">
        <f>P162</f>
        <v>0</v>
      </c>
      <c r="Q159" s="12">
        <f t="shared" si="35"/>
        <v>0</v>
      </c>
    </row>
    <row r="160" spans="1:17" s="26" customFormat="1" ht="30.75" hidden="1" customHeight="1">
      <c r="A160" s="47" t="s">
        <v>288</v>
      </c>
      <c r="B160" s="57" t="s">
        <v>289</v>
      </c>
      <c r="C160" s="12"/>
      <c r="D160" s="12">
        <f>D161</f>
        <v>0</v>
      </c>
      <c r="E160" s="13"/>
      <c r="F160" s="12"/>
      <c r="G160" s="12"/>
      <c r="H160" s="12"/>
      <c r="I160" s="12"/>
      <c r="J160" s="12"/>
      <c r="K160" s="12">
        <f>K161</f>
        <v>0</v>
      </c>
      <c r="L160" s="12">
        <f>L161</f>
        <v>0</v>
      </c>
      <c r="M160" s="12"/>
      <c r="N160" s="12">
        <f>N161</f>
        <v>0</v>
      </c>
      <c r="O160" s="12">
        <f t="shared" si="49"/>
        <v>0</v>
      </c>
      <c r="P160" s="12">
        <f>P161</f>
        <v>0</v>
      </c>
      <c r="Q160" s="12"/>
    </row>
    <row r="161" spans="1:17" ht="30.75" hidden="1" customHeight="1">
      <c r="A161" s="52" t="s">
        <v>290</v>
      </c>
      <c r="B161" s="67" t="s">
        <v>291</v>
      </c>
      <c r="C161" s="16"/>
      <c r="D161" s="16">
        <v>0</v>
      </c>
      <c r="E161" s="13"/>
      <c r="F161" s="16"/>
      <c r="G161" s="16"/>
      <c r="H161" s="16"/>
      <c r="I161" s="12"/>
      <c r="J161" s="16"/>
      <c r="K161" s="16"/>
      <c r="L161" s="16">
        <v>0</v>
      </c>
      <c r="M161" s="12"/>
      <c r="N161" s="16"/>
      <c r="O161" s="12">
        <f t="shared" si="49"/>
        <v>0</v>
      </c>
      <c r="P161" s="16"/>
      <c r="Q161" s="12"/>
    </row>
    <row r="162" spans="1:17" ht="25.5" hidden="1" customHeight="1">
      <c r="A162" s="47" t="s">
        <v>292</v>
      </c>
      <c r="B162" s="57" t="s">
        <v>293</v>
      </c>
      <c r="C162" s="12">
        <f>C163</f>
        <v>52.1</v>
      </c>
      <c r="D162" s="12">
        <f t="shared" ref="D162:P162" si="51">D163</f>
        <v>156.30000000000001</v>
      </c>
      <c r="E162" s="12" t="e">
        <f t="shared" si="51"/>
        <v>#REF!</v>
      </c>
      <c r="F162" s="12">
        <f t="shared" si="51"/>
        <v>0</v>
      </c>
      <c r="G162" s="12">
        <f t="shared" si="51"/>
        <v>0</v>
      </c>
      <c r="H162" s="12">
        <f t="shared" si="51"/>
        <v>0</v>
      </c>
      <c r="I162" s="12">
        <f t="shared" ref="I162:I170" si="52">D162-C162</f>
        <v>104.20000000000002</v>
      </c>
      <c r="J162" s="12">
        <f t="shared" si="51"/>
        <v>0</v>
      </c>
      <c r="K162" s="12">
        <f>K163</f>
        <v>0</v>
      </c>
      <c r="L162" s="12">
        <f t="shared" si="51"/>
        <v>0</v>
      </c>
      <c r="M162" s="12">
        <f t="shared" si="51"/>
        <v>0</v>
      </c>
      <c r="N162" s="12">
        <f t="shared" si="51"/>
        <v>0</v>
      </c>
      <c r="O162" s="12">
        <f t="shared" si="49"/>
        <v>0</v>
      </c>
      <c r="P162" s="12">
        <f t="shared" si="51"/>
        <v>0</v>
      </c>
      <c r="Q162" s="12">
        <f t="shared" si="35"/>
        <v>0</v>
      </c>
    </row>
    <row r="163" spans="1:17" ht="27.75" hidden="1" customHeight="1">
      <c r="A163" s="52" t="s">
        <v>294</v>
      </c>
      <c r="B163" s="35" t="s">
        <v>295</v>
      </c>
      <c r="C163" s="16">
        <f>52.1</f>
        <v>52.1</v>
      </c>
      <c r="D163" s="16">
        <v>156.30000000000001</v>
      </c>
      <c r="E163" s="13" t="e">
        <f>D163-#REF!</f>
        <v>#REF!</v>
      </c>
      <c r="F163" s="16">
        <v>0</v>
      </c>
      <c r="G163" s="16">
        <v>0</v>
      </c>
      <c r="H163" s="16">
        <v>0</v>
      </c>
      <c r="I163" s="12">
        <f t="shared" si="52"/>
        <v>104.20000000000002</v>
      </c>
      <c r="J163" s="16">
        <v>0</v>
      </c>
      <c r="K163" s="12">
        <v>0</v>
      </c>
      <c r="L163" s="16">
        <v>0</v>
      </c>
      <c r="M163" s="12">
        <f t="shared" ref="M163:M170" si="53">L163-J163</f>
        <v>0</v>
      </c>
      <c r="N163" s="16">
        <v>0</v>
      </c>
      <c r="O163" s="12">
        <f t="shared" si="49"/>
        <v>0</v>
      </c>
      <c r="P163" s="16">
        <v>0</v>
      </c>
      <c r="Q163" s="12">
        <f t="shared" si="35"/>
        <v>0</v>
      </c>
    </row>
    <row r="164" spans="1:17" ht="33.75" hidden="1" customHeight="1">
      <c r="A164" s="47" t="s">
        <v>296</v>
      </c>
      <c r="B164" s="57" t="s">
        <v>297</v>
      </c>
      <c r="C164" s="16">
        <f t="shared" ref="C164:P165" si="54">C165</f>
        <v>0</v>
      </c>
      <c r="D164" s="16">
        <f t="shared" si="54"/>
        <v>0</v>
      </c>
      <c r="E164" s="13" t="e">
        <f>D164-#REF!</f>
        <v>#REF!</v>
      </c>
      <c r="F164" s="16">
        <f t="shared" si="54"/>
        <v>0</v>
      </c>
      <c r="G164" s="16">
        <f t="shared" si="54"/>
        <v>0</v>
      </c>
      <c r="H164" s="16">
        <f t="shared" si="54"/>
        <v>0</v>
      </c>
      <c r="I164" s="12">
        <f t="shared" si="52"/>
        <v>0</v>
      </c>
      <c r="J164" s="16">
        <f t="shared" si="54"/>
        <v>0</v>
      </c>
      <c r="K164" s="16">
        <f t="shared" si="54"/>
        <v>0</v>
      </c>
      <c r="L164" s="16">
        <f t="shared" si="54"/>
        <v>0</v>
      </c>
      <c r="M164" s="12">
        <f t="shared" si="53"/>
        <v>0</v>
      </c>
      <c r="N164" s="16">
        <f t="shared" si="54"/>
        <v>0</v>
      </c>
      <c r="O164" s="12">
        <f t="shared" si="49"/>
        <v>0</v>
      </c>
      <c r="P164" s="16">
        <f t="shared" si="54"/>
        <v>0</v>
      </c>
      <c r="Q164" s="12">
        <f t="shared" si="35"/>
        <v>0</v>
      </c>
    </row>
    <row r="165" spans="1:17" ht="33.75" hidden="1" customHeight="1">
      <c r="A165" s="47" t="s">
        <v>298</v>
      </c>
      <c r="B165" s="57" t="s">
        <v>299</v>
      </c>
      <c r="C165" s="12">
        <f t="shared" si="54"/>
        <v>0</v>
      </c>
      <c r="D165" s="12">
        <f t="shared" si="54"/>
        <v>0</v>
      </c>
      <c r="E165" s="13" t="e">
        <f>D165-#REF!</f>
        <v>#REF!</v>
      </c>
      <c r="F165" s="16">
        <f t="shared" si="54"/>
        <v>0</v>
      </c>
      <c r="G165" s="16">
        <f t="shared" si="54"/>
        <v>0</v>
      </c>
      <c r="H165" s="16">
        <f t="shared" si="54"/>
        <v>0</v>
      </c>
      <c r="I165" s="12">
        <f t="shared" si="52"/>
        <v>0</v>
      </c>
      <c r="J165" s="16">
        <f t="shared" si="54"/>
        <v>0</v>
      </c>
      <c r="K165" s="12">
        <f t="shared" si="54"/>
        <v>0</v>
      </c>
      <c r="L165" s="16">
        <f t="shared" si="54"/>
        <v>0</v>
      </c>
      <c r="M165" s="12">
        <f t="shared" si="53"/>
        <v>0</v>
      </c>
      <c r="N165" s="16">
        <f t="shared" si="54"/>
        <v>0</v>
      </c>
      <c r="O165" s="12">
        <f t="shared" si="49"/>
        <v>0</v>
      </c>
      <c r="P165" s="16">
        <f t="shared" si="54"/>
        <v>0</v>
      </c>
      <c r="Q165" s="12">
        <f t="shared" si="35"/>
        <v>0</v>
      </c>
    </row>
    <row r="166" spans="1:17" ht="33.75" hidden="1" customHeight="1">
      <c r="A166" s="52" t="s">
        <v>300</v>
      </c>
      <c r="B166" s="35" t="s">
        <v>301</v>
      </c>
      <c r="C166" s="12">
        <v>0</v>
      </c>
      <c r="D166" s="12">
        <v>0</v>
      </c>
      <c r="E166" s="13" t="e">
        <f>D166-#REF!</f>
        <v>#REF!</v>
      </c>
      <c r="F166" s="16">
        <v>0</v>
      </c>
      <c r="G166" s="16">
        <v>0</v>
      </c>
      <c r="H166" s="16">
        <v>0</v>
      </c>
      <c r="I166" s="12">
        <f t="shared" si="52"/>
        <v>0</v>
      </c>
      <c r="J166" s="16">
        <v>0</v>
      </c>
      <c r="K166" s="12">
        <v>0</v>
      </c>
      <c r="L166" s="16">
        <v>0</v>
      </c>
      <c r="M166" s="12">
        <f t="shared" si="53"/>
        <v>0</v>
      </c>
      <c r="N166" s="16">
        <v>0</v>
      </c>
      <c r="O166" s="12">
        <f t="shared" si="49"/>
        <v>0</v>
      </c>
      <c r="P166" s="16">
        <v>0</v>
      </c>
      <c r="Q166" s="12">
        <f t="shared" si="35"/>
        <v>0</v>
      </c>
    </row>
    <row r="167" spans="1:17" s="68" customFormat="1" ht="21.75" hidden="1" customHeight="1">
      <c r="A167" s="47" t="s">
        <v>302</v>
      </c>
      <c r="B167" s="57" t="s">
        <v>303</v>
      </c>
      <c r="C167" s="12">
        <f t="shared" ref="C167:P168" si="55">C168</f>
        <v>281.7</v>
      </c>
      <c r="D167" s="12">
        <f t="shared" si="55"/>
        <v>0</v>
      </c>
      <c r="E167" s="13" t="e">
        <f>D167-#REF!</f>
        <v>#REF!</v>
      </c>
      <c r="F167" s="12">
        <f t="shared" si="55"/>
        <v>0</v>
      </c>
      <c r="G167" s="12">
        <f t="shared" si="55"/>
        <v>0</v>
      </c>
      <c r="H167" s="12">
        <f t="shared" si="55"/>
        <v>0</v>
      </c>
      <c r="I167" s="12">
        <f t="shared" si="52"/>
        <v>-281.7</v>
      </c>
      <c r="J167" s="12">
        <f t="shared" si="55"/>
        <v>0</v>
      </c>
      <c r="K167" s="12">
        <f t="shared" si="55"/>
        <v>0</v>
      </c>
      <c r="L167" s="12">
        <f t="shared" si="55"/>
        <v>0</v>
      </c>
      <c r="M167" s="12">
        <f t="shared" si="53"/>
        <v>0</v>
      </c>
      <c r="N167" s="12">
        <f t="shared" si="55"/>
        <v>0</v>
      </c>
      <c r="O167" s="12">
        <f t="shared" si="49"/>
        <v>0</v>
      </c>
      <c r="P167" s="12">
        <f t="shared" si="55"/>
        <v>0</v>
      </c>
      <c r="Q167" s="12">
        <f t="shared" si="35"/>
        <v>0</v>
      </c>
    </row>
    <row r="168" spans="1:17" ht="29.25" hidden="1" customHeight="1">
      <c r="A168" s="47" t="s">
        <v>304</v>
      </c>
      <c r="B168" s="57" t="s">
        <v>305</v>
      </c>
      <c r="C168" s="12">
        <f t="shared" si="55"/>
        <v>281.7</v>
      </c>
      <c r="D168" s="12">
        <f t="shared" si="55"/>
        <v>0</v>
      </c>
      <c r="E168" s="13" t="e">
        <f>D168-#REF!</f>
        <v>#REF!</v>
      </c>
      <c r="F168" s="12">
        <f t="shared" si="55"/>
        <v>0</v>
      </c>
      <c r="G168" s="12">
        <f t="shared" si="55"/>
        <v>0</v>
      </c>
      <c r="H168" s="12">
        <f t="shared" si="55"/>
        <v>0</v>
      </c>
      <c r="I168" s="12">
        <f t="shared" si="52"/>
        <v>-281.7</v>
      </c>
      <c r="J168" s="12">
        <f t="shared" si="55"/>
        <v>0</v>
      </c>
      <c r="K168" s="12">
        <f t="shared" si="55"/>
        <v>0</v>
      </c>
      <c r="L168" s="12">
        <f t="shared" si="55"/>
        <v>0</v>
      </c>
      <c r="M168" s="12">
        <f t="shared" si="53"/>
        <v>0</v>
      </c>
      <c r="N168" s="12">
        <f t="shared" si="55"/>
        <v>0</v>
      </c>
      <c r="O168" s="12">
        <f t="shared" si="49"/>
        <v>0</v>
      </c>
      <c r="P168" s="12">
        <f t="shared" si="55"/>
        <v>0</v>
      </c>
      <c r="Q168" s="12">
        <f t="shared" si="35"/>
        <v>0</v>
      </c>
    </row>
    <row r="169" spans="1:17" ht="36" hidden="1" customHeight="1">
      <c r="A169" s="52" t="s">
        <v>306</v>
      </c>
      <c r="B169" s="35" t="s">
        <v>307</v>
      </c>
      <c r="C169" s="16">
        <v>281.7</v>
      </c>
      <c r="D169" s="16">
        <v>0</v>
      </c>
      <c r="E169" s="13" t="e">
        <f>D169-#REF!</f>
        <v>#REF!</v>
      </c>
      <c r="F169" s="16">
        <v>0</v>
      </c>
      <c r="G169" s="16">
        <v>0</v>
      </c>
      <c r="H169" s="16">
        <v>0</v>
      </c>
      <c r="I169" s="12">
        <f t="shared" si="52"/>
        <v>-281.7</v>
      </c>
      <c r="J169" s="16">
        <v>0</v>
      </c>
      <c r="K169" s="16"/>
      <c r="L169" s="16">
        <v>0</v>
      </c>
      <c r="M169" s="12">
        <f t="shared" si="53"/>
        <v>0</v>
      </c>
      <c r="N169" s="16"/>
      <c r="O169" s="12">
        <f t="shared" si="49"/>
        <v>0</v>
      </c>
      <c r="P169" s="16"/>
      <c r="Q169" s="12">
        <f t="shared" si="35"/>
        <v>0</v>
      </c>
    </row>
    <row r="170" spans="1:17" ht="24" customHeight="1">
      <c r="A170" s="52"/>
      <c r="B170" s="33" t="s">
        <v>308</v>
      </c>
      <c r="C170" s="12" t="e">
        <f>C5+C65</f>
        <v>#REF!</v>
      </c>
      <c r="D170" s="12">
        <f>D5+D65</f>
        <v>784567.99999999988</v>
      </c>
      <c r="E170" s="13" t="e">
        <f>D170-#REF!</f>
        <v>#REF!</v>
      </c>
      <c r="F170" s="12" t="e">
        <f>F5+F65</f>
        <v>#REF!</v>
      </c>
      <c r="G170" s="12" t="e">
        <f>G5+G65</f>
        <v>#REF!</v>
      </c>
      <c r="H170" s="12" t="e">
        <f>H5+H65</f>
        <v>#REF!</v>
      </c>
      <c r="I170" s="12" t="e">
        <f t="shared" si="52"/>
        <v>#REF!</v>
      </c>
      <c r="J170" s="12" t="e">
        <f>J5+J65</f>
        <v>#REF!</v>
      </c>
      <c r="K170" s="12">
        <f>K5+K65</f>
        <v>966130.66999999993</v>
      </c>
      <c r="L170" s="12">
        <f>L5+L65</f>
        <v>835908</v>
      </c>
      <c r="M170" s="12" t="e">
        <f t="shared" si="53"/>
        <v>#REF!</v>
      </c>
      <c r="N170" s="12">
        <f>N5+N65</f>
        <v>605619.98900000006</v>
      </c>
      <c r="O170" s="12">
        <f t="shared" si="49"/>
        <v>-230288.01099999994</v>
      </c>
      <c r="P170" s="12">
        <f>P5+P65</f>
        <v>613995</v>
      </c>
      <c r="Q170" s="12" t="e">
        <f t="shared" si="35"/>
        <v>#REF!</v>
      </c>
    </row>
    <row r="171" spans="1:17"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</row>
    <row r="174" spans="1:17"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</row>
    <row r="175" spans="1:17">
      <c r="B175" s="69"/>
    </row>
    <row r="176" spans="1:17">
      <c r="N176" s="70"/>
      <c r="O176" s="70"/>
      <c r="P176" s="70"/>
    </row>
    <row r="177" spans="5:17">
      <c r="G177" s="69"/>
      <c r="H177" s="69"/>
      <c r="I177" s="69"/>
      <c r="K177" s="70"/>
      <c r="M177" s="69"/>
      <c r="N177" s="70"/>
      <c r="O177" s="70"/>
      <c r="P177" s="70"/>
      <c r="Q177" s="69"/>
    </row>
    <row r="187" spans="5:17">
      <c r="E187" s="69"/>
      <c r="F187" s="69"/>
      <c r="G187" s="69"/>
      <c r="H187" s="69"/>
      <c r="I187" s="69"/>
      <c r="J187" s="69"/>
      <c r="L187" s="69"/>
      <c r="M187" s="69"/>
      <c r="N187" s="69"/>
      <c r="O187" s="69"/>
      <c r="P187" s="69"/>
      <c r="Q187" s="69"/>
    </row>
  </sheetData>
  <sheetProtection password="C613" sheet="1" objects="1" scenarios="1" formatCells="0" formatColumns="0" formatRows="0" insertColumns="0" insertRows="0" insertHyperlinks="0" deleteColumns="0" deleteRows="0" sort="0" autoFilter="0" pivotTables="0"/>
  <mergeCells count="2">
    <mergeCell ref="A1:P1"/>
    <mergeCell ref="A2:N2"/>
  </mergeCells>
  <printOptions horizontalCentered="1"/>
  <pageMargins left="0.55118110236220474" right="0.15748031496062992" top="0.39370078740157483" bottom="0.19685039370078741" header="0.51181102362204722" footer="0.51181102362204722"/>
  <pageSetup paperSize="9" scale="70" fitToHeight="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Прил 2 Проект </vt:lpstr>
      <vt:lpstr>'Прил 2 Проект '!А</vt:lpstr>
      <vt:lpstr>'Прил 2 Проект '!Заголовки_для_печати</vt:lpstr>
      <vt:lpstr>'Прил 2 Проект 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Генаева</dc:creator>
  <cp:lastModifiedBy>Галина Генаева</cp:lastModifiedBy>
  <dcterms:created xsi:type="dcterms:W3CDTF">2023-11-20T05:18:49Z</dcterms:created>
  <dcterms:modified xsi:type="dcterms:W3CDTF">2023-11-20T05:25:38Z</dcterms:modified>
</cp:coreProperties>
</file>