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одовой отчет 2021 на сайт ПРОЕКТ\"/>
    </mc:Choice>
  </mc:AlternateContent>
  <bookViews>
    <workbookView xWindow="0" yWindow="0" windowWidth="28800" windowHeight="12300"/>
  </bookViews>
  <sheets>
    <sheet name="расходы вед" sheetId="1" r:id="rId1"/>
  </sheets>
  <externalReferences>
    <externalReference r:id="rId2"/>
  </externalReferences>
  <definedNames>
    <definedName name="А">#REF!</definedName>
    <definedName name="_xlnm.Print_Area" localSheetId="0">'расходы вед'!$B$1:$J$744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2" i="1" l="1"/>
  <c r="J741" i="1"/>
  <c r="I741" i="1"/>
  <c r="H741" i="1"/>
  <c r="H740" i="1" s="1"/>
  <c r="H739" i="1" s="1"/>
  <c r="I740" i="1"/>
  <c r="I739" i="1"/>
  <c r="H738" i="1"/>
  <c r="H737" i="1" s="1"/>
  <c r="J736" i="1"/>
  <c r="H736" i="1"/>
  <c r="H734" i="1" s="1"/>
  <c r="H733" i="1" s="1"/>
  <c r="H735" i="1"/>
  <c r="J735" i="1" s="1"/>
  <c r="J734" i="1"/>
  <c r="I734" i="1"/>
  <c r="I733" i="1"/>
  <c r="H732" i="1"/>
  <c r="H731" i="1" s="1"/>
  <c r="H730" i="1" s="1"/>
  <c r="H729" i="1"/>
  <c r="I728" i="1"/>
  <c r="I727" i="1"/>
  <c r="I726" i="1"/>
  <c r="H722" i="1"/>
  <c r="I721" i="1"/>
  <c r="J720" i="1"/>
  <c r="J719" i="1"/>
  <c r="I719" i="1"/>
  <c r="H719" i="1"/>
  <c r="J718" i="1"/>
  <c r="H718" i="1"/>
  <c r="H717" i="1"/>
  <c r="J717" i="1" s="1"/>
  <c r="I716" i="1"/>
  <c r="I715" i="1"/>
  <c r="J713" i="1"/>
  <c r="H713" i="1"/>
  <c r="H712" i="1"/>
  <c r="I711" i="1"/>
  <c r="I710" i="1"/>
  <c r="H709" i="1"/>
  <c r="I708" i="1"/>
  <c r="I707" i="1"/>
  <c r="H706" i="1"/>
  <c r="I705" i="1"/>
  <c r="I704" i="1"/>
  <c r="J703" i="1"/>
  <c r="I702" i="1"/>
  <c r="J700" i="1"/>
  <c r="I699" i="1"/>
  <c r="H699" i="1"/>
  <c r="H698" i="1"/>
  <c r="H697" i="1" s="1"/>
  <c r="H696" i="1" s="1"/>
  <c r="H695" i="1"/>
  <c r="I694" i="1"/>
  <c r="I693" i="1"/>
  <c r="I692" i="1"/>
  <c r="J690" i="1"/>
  <c r="H690" i="1"/>
  <c r="I689" i="1"/>
  <c r="H689" i="1"/>
  <c r="J688" i="1"/>
  <c r="H688" i="1"/>
  <c r="J687" i="1"/>
  <c r="I687" i="1"/>
  <c r="H687" i="1"/>
  <c r="H686" i="1"/>
  <c r="I685" i="1"/>
  <c r="J680" i="1"/>
  <c r="J679" i="1"/>
  <c r="I679" i="1"/>
  <c r="H679" i="1"/>
  <c r="J678" i="1"/>
  <c r="I678" i="1"/>
  <c r="H678" i="1"/>
  <c r="J677" i="1"/>
  <c r="J676" i="1"/>
  <c r="I676" i="1"/>
  <c r="H676" i="1"/>
  <c r="I675" i="1"/>
  <c r="H675" i="1"/>
  <c r="H674" i="1"/>
  <c r="J674" i="1" s="1"/>
  <c r="J673" i="1"/>
  <c r="I673" i="1"/>
  <c r="H673" i="1"/>
  <c r="J672" i="1"/>
  <c r="J671" i="1"/>
  <c r="I671" i="1"/>
  <c r="H671" i="1"/>
  <c r="H670" i="1"/>
  <c r="I669" i="1"/>
  <c r="I668" i="1"/>
  <c r="J664" i="1"/>
  <c r="H664" i="1"/>
  <c r="I663" i="1"/>
  <c r="J663" i="1" s="1"/>
  <c r="H663" i="1"/>
  <c r="H662" i="1" s="1"/>
  <c r="J662" i="1" s="1"/>
  <c r="I662" i="1"/>
  <c r="J661" i="1"/>
  <c r="J660" i="1"/>
  <c r="I660" i="1"/>
  <c r="H660" i="1"/>
  <c r="J659" i="1"/>
  <c r="I659" i="1"/>
  <c r="H659" i="1"/>
  <c r="H658" i="1"/>
  <c r="I657" i="1"/>
  <c r="I656" i="1"/>
  <c r="J655" i="1"/>
  <c r="J654" i="1"/>
  <c r="I654" i="1"/>
  <c r="H654" i="1"/>
  <c r="I653" i="1"/>
  <c r="H653" i="1"/>
  <c r="J652" i="1"/>
  <c r="I651" i="1"/>
  <c r="H651" i="1"/>
  <c r="H650" i="1"/>
  <c r="J649" i="1"/>
  <c r="H649" i="1"/>
  <c r="I648" i="1"/>
  <c r="H648" i="1"/>
  <c r="H647" i="1" s="1"/>
  <c r="J646" i="1"/>
  <c r="H646" i="1"/>
  <c r="I645" i="1"/>
  <c r="H645" i="1"/>
  <c r="H644" i="1"/>
  <c r="J643" i="1"/>
  <c r="H643" i="1"/>
  <c r="I642" i="1"/>
  <c r="H642" i="1"/>
  <c r="J641" i="1"/>
  <c r="H641" i="1"/>
  <c r="I640" i="1"/>
  <c r="J640" i="1" s="1"/>
  <c r="H640" i="1"/>
  <c r="H639" i="1"/>
  <c r="I638" i="1"/>
  <c r="J637" i="1"/>
  <c r="J636" i="1"/>
  <c r="I636" i="1"/>
  <c r="H636" i="1"/>
  <c r="H635" i="1"/>
  <c r="H633" i="1" s="1"/>
  <c r="J634" i="1"/>
  <c r="H634" i="1"/>
  <c r="I633" i="1"/>
  <c r="H632" i="1"/>
  <c r="I631" i="1"/>
  <c r="J630" i="1"/>
  <c r="J629" i="1"/>
  <c r="I629" i="1"/>
  <c r="H629" i="1"/>
  <c r="J624" i="1"/>
  <c r="J623" i="1"/>
  <c r="I623" i="1"/>
  <c r="H623" i="1"/>
  <c r="J622" i="1"/>
  <c r="I622" i="1"/>
  <c r="H622" i="1"/>
  <c r="H621" i="1"/>
  <c r="I620" i="1"/>
  <c r="J619" i="1"/>
  <c r="H619" i="1"/>
  <c r="I618" i="1"/>
  <c r="H618" i="1"/>
  <c r="J618" i="1" s="1"/>
  <c r="J617" i="1"/>
  <c r="H617" i="1"/>
  <c r="I616" i="1"/>
  <c r="H616" i="1"/>
  <c r="J610" i="1"/>
  <c r="I609" i="1"/>
  <c r="H609" i="1"/>
  <c r="I608" i="1"/>
  <c r="I607" i="1"/>
  <c r="I606" i="1"/>
  <c r="J604" i="1"/>
  <c r="H604" i="1"/>
  <c r="I603" i="1"/>
  <c r="H603" i="1"/>
  <c r="H602" i="1" s="1"/>
  <c r="H601" i="1" s="1"/>
  <c r="H600" i="1" s="1"/>
  <c r="H599" i="1" s="1"/>
  <c r="J597" i="1"/>
  <c r="H597" i="1"/>
  <c r="I596" i="1"/>
  <c r="H596" i="1"/>
  <c r="H595" i="1"/>
  <c r="H594" i="1" s="1"/>
  <c r="H593" i="1" s="1"/>
  <c r="H592" i="1" s="1"/>
  <c r="J591" i="1"/>
  <c r="H591" i="1"/>
  <c r="J590" i="1"/>
  <c r="I590" i="1"/>
  <c r="H590" i="1"/>
  <c r="I589" i="1"/>
  <c r="H589" i="1"/>
  <c r="H588" i="1" s="1"/>
  <c r="H587" i="1" s="1"/>
  <c r="H586" i="1" s="1"/>
  <c r="H585" i="1"/>
  <c r="I584" i="1"/>
  <c r="I583" i="1"/>
  <c r="J582" i="1"/>
  <c r="I581" i="1"/>
  <c r="J581" i="1" s="1"/>
  <c r="H581" i="1"/>
  <c r="H580" i="1"/>
  <c r="J580" i="1" s="1"/>
  <c r="H579" i="1"/>
  <c r="J579" i="1" s="1"/>
  <c r="H578" i="1"/>
  <c r="J578" i="1" s="1"/>
  <c r="I577" i="1"/>
  <c r="J574" i="1"/>
  <c r="I573" i="1"/>
  <c r="J573" i="1" s="1"/>
  <c r="H573" i="1"/>
  <c r="H572" i="1"/>
  <c r="H571" i="1" s="1"/>
  <c r="H570" i="1" s="1"/>
  <c r="J568" i="1"/>
  <c r="I567" i="1"/>
  <c r="J567" i="1" s="1"/>
  <c r="H567" i="1"/>
  <c r="H566" i="1"/>
  <c r="H565" i="1" s="1"/>
  <c r="H564" i="1" s="1"/>
  <c r="H563" i="1" s="1"/>
  <c r="H561" i="1"/>
  <c r="I560" i="1"/>
  <c r="J559" i="1"/>
  <c r="I558" i="1"/>
  <c r="J558" i="1" s="1"/>
  <c r="H558" i="1"/>
  <c r="H556" i="1"/>
  <c r="J555" i="1"/>
  <c r="J554" i="1"/>
  <c r="H554" i="1"/>
  <c r="I553" i="1"/>
  <c r="I552" i="1"/>
  <c r="H550" i="1"/>
  <c r="J550" i="1" s="1"/>
  <c r="I549" i="1"/>
  <c r="J544" i="1"/>
  <c r="H544" i="1"/>
  <c r="J543" i="1"/>
  <c r="I543" i="1"/>
  <c r="H543" i="1"/>
  <c r="H542" i="1" s="1"/>
  <c r="I542" i="1"/>
  <c r="H541" i="1"/>
  <c r="H540" i="1" s="1"/>
  <c r="J539" i="1"/>
  <c r="I538" i="1"/>
  <c r="J538" i="1" s="1"/>
  <c r="H538" i="1"/>
  <c r="J537" i="1"/>
  <c r="I536" i="1"/>
  <c r="J536" i="1" s="1"/>
  <c r="H536" i="1"/>
  <c r="H535" i="1"/>
  <c r="H534" i="1" s="1"/>
  <c r="H533" i="1" s="1"/>
  <c r="H532" i="1" s="1"/>
  <c r="J531" i="1"/>
  <c r="I530" i="1"/>
  <c r="H530" i="1"/>
  <c r="H529" i="1"/>
  <c r="H528" i="1" s="1"/>
  <c r="H527" i="1" s="1"/>
  <c r="H526" i="1" s="1"/>
  <c r="J525" i="1"/>
  <c r="I524" i="1"/>
  <c r="H524" i="1"/>
  <c r="H523" i="1"/>
  <c r="H522" i="1"/>
  <c r="I521" i="1"/>
  <c r="H519" i="1"/>
  <c r="I518" i="1"/>
  <c r="J515" i="1"/>
  <c r="I514" i="1"/>
  <c r="H514" i="1"/>
  <c r="H513" i="1"/>
  <c r="J511" i="1"/>
  <c r="H511" i="1"/>
  <c r="I510" i="1"/>
  <c r="H510" i="1"/>
  <c r="H509" i="1" s="1"/>
  <c r="H505" i="1" s="1"/>
  <c r="H504" i="1" s="1"/>
  <c r="H503" i="1" s="1"/>
  <c r="I509" i="1"/>
  <c r="J508" i="1"/>
  <c r="I507" i="1"/>
  <c r="H507" i="1"/>
  <c r="H506" i="1"/>
  <c r="H501" i="1"/>
  <c r="I500" i="1"/>
  <c r="J499" i="1"/>
  <c r="I498" i="1"/>
  <c r="J498" i="1" s="1"/>
  <c r="H498" i="1"/>
  <c r="J497" i="1"/>
  <c r="H497" i="1"/>
  <c r="J496" i="1"/>
  <c r="H496" i="1"/>
  <c r="J495" i="1"/>
  <c r="H495" i="1"/>
  <c r="J494" i="1"/>
  <c r="I494" i="1"/>
  <c r="H494" i="1"/>
  <c r="I493" i="1"/>
  <c r="J492" i="1"/>
  <c r="I491" i="1"/>
  <c r="H491" i="1"/>
  <c r="H490" i="1"/>
  <c r="J488" i="1"/>
  <c r="H488" i="1"/>
  <c r="J487" i="1"/>
  <c r="I487" i="1"/>
  <c r="H487" i="1"/>
  <c r="H486" i="1" s="1"/>
  <c r="I486" i="1"/>
  <c r="J486" i="1" s="1"/>
  <c r="J484" i="1"/>
  <c r="J483" i="1"/>
  <c r="I483" i="1"/>
  <c r="H483" i="1"/>
  <c r="J482" i="1"/>
  <c r="J481" i="1"/>
  <c r="I481" i="1"/>
  <c r="H481" i="1"/>
  <c r="H480" i="1"/>
  <c r="J480" i="1" s="1"/>
  <c r="H479" i="1"/>
  <c r="J479" i="1" s="1"/>
  <c r="H478" i="1"/>
  <c r="I477" i="1"/>
  <c r="J474" i="1"/>
  <c r="I473" i="1"/>
  <c r="H473" i="1"/>
  <c r="H472" i="1"/>
  <c r="H471" i="1" s="1"/>
  <c r="H470" i="1"/>
  <c r="H469" i="1"/>
  <c r="I468" i="1"/>
  <c r="J467" i="1"/>
  <c r="H467" i="1"/>
  <c r="I466" i="1"/>
  <c r="H466" i="1"/>
  <c r="I465" i="1"/>
  <c r="J464" i="1"/>
  <c r="H464" i="1"/>
  <c r="J463" i="1"/>
  <c r="I463" i="1"/>
  <c r="H463" i="1"/>
  <c r="H462" i="1" s="1"/>
  <c r="I462" i="1"/>
  <c r="H458" i="1"/>
  <c r="J457" i="1"/>
  <c r="H457" i="1"/>
  <c r="I456" i="1"/>
  <c r="J454" i="1"/>
  <c r="I453" i="1"/>
  <c r="H453" i="1"/>
  <c r="J453" i="1" s="1"/>
  <c r="J452" i="1"/>
  <c r="J451" i="1"/>
  <c r="H451" i="1"/>
  <c r="J450" i="1"/>
  <c r="H450" i="1"/>
  <c r="I449" i="1"/>
  <c r="H449" i="1"/>
  <c r="I448" i="1"/>
  <c r="J444" i="1"/>
  <c r="I443" i="1"/>
  <c r="H443" i="1"/>
  <c r="I442" i="1"/>
  <c r="I441" i="1"/>
  <c r="I440" i="1"/>
  <c r="J439" i="1"/>
  <c r="H439" i="1"/>
  <c r="J438" i="1"/>
  <c r="H438" i="1"/>
  <c r="H436" i="1" s="1"/>
  <c r="H435" i="1" s="1"/>
  <c r="J437" i="1"/>
  <c r="H437" i="1"/>
  <c r="I436" i="1"/>
  <c r="I435" i="1"/>
  <c r="J433" i="1"/>
  <c r="I432" i="1"/>
  <c r="H432" i="1"/>
  <c r="I431" i="1"/>
  <c r="I430" i="1"/>
  <c r="I429" i="1"/>
  <c r="J428" i="1"/>
  <c r="I427" i="1"/>
  <c r="J427" i="1" s="1"/>
  <c r="H427" i="1"/>
  <c r="J426" i="1"/>
  <c r="H426" i="1"/>
  <c r="J425" i="1"/>
  <c r="I425" i="1"/>
  <c r="H425" i="1"/>
  <c r="I424" i="1"/>
  <c r="H424" i="1"/>
  <c r="H423" i="1"/>
  <c r="J419" i="1"/>
  <c r="I418" i="1"/>
  <c r="H418" i="1"/>
  <c r="H417" i="1"/>
  <c r="H416" i="1" s="1"/>
  <c r="J415" i="1"/>
  <c r="J414" i="1"/>
  <c r="I414" i="1"/>
  <c r="H414" i="1"/>
  <c r="J413" i="1"/>
  <c r="J412" i="1"/>
  <c r="I412" i="1"/>
  <c r="H412" i="1"/>
  <c r="J411" i="1"/>
  <c r="I411" i="1"/>
  <c r="H411" i="1"/>
  <c r="I410" i="1"/>
  <c r="H410" i="1"/>
  <c r="H409" i="1"/>
  <c r="J407" i="1"/>
  <c r="H407" i="1"/>
  <c r="I406" i="1"/>
  <c r="H406" i="1"/>
  <c r="J406" i="1" s="1"/>
  <c r="J405" i="1"/>
  <c r="H405" i="1"/>
  <c r="H404" i="1"/>
  <c r="J403" i="1"/>
  <c r="H403" i="1"/>
  <c r="I402" i="1"/>
  <c r="J401" i="1"/>
  <c r="H401" i="1"/>
  <c r="J400" i="1"/>
  <c r="I400" i="1"/>
  <c r="H400" i="1"/>
  <c r="H399" i="1"/>
  <c r="I398" i="1"/>
  <c r="J393" i="1"/>
  <c r="J392" i="1"/>
  <c r="I392" i="1"/>
  <c r="H392" i="1"/>
  <c r="J391" i="1"/>
  <c r="I391" i="1"/>
  <c r="H391" i="1"/>
  <c r="J390" i="1"/>
  <c r="J389" i="1"/>
  <c r="I389" i="1"/>
  <c r="H389" i="1"/>
  <c r="I388" i="1"/>
  <c r="H388" i="1"/>
  <c r="H387" i="1"/>
  <c r="H386" i="1" s="1"/>
  <c r="J385" i="1"/>
  <c r="H385" i="1"/>
  <c r="I384" i="1"/>
  <c r="H384" i="1"/>
  <c r="I383" i="1"/>
  <c r="I382" i="1"/>
  <c r="H381" i="1"/>
  <c r="I380" i="1"/>
  <c r="I379" i="1"/>
  <c r="I378" i="1"/>
  <c r="J377" i="1"/>
  <c r="H377" i="1"/>
  <c r="J376" i="1"/>
  <c r="H376" i="1"/>
  <c r="J375" i="1"/>
  <c r="H375" i="1"/>
  <c r="J374" i="1"/>
  <c r="H374" i="1"/>
  <c r="I373" i="1"/>
  <c r="H373" i="1"/>
  <c r="I372" i="1"/>
  <c r="I371" i="1"/>
  <c r="I370" i="1"/>
  <c r="J369" i="1"/>
  <c r="I368" i="1"/>
  <c r="H368" i="1"/>
  <c r="H367" i="1"/>
  <c r="J365" i="1"/>
  <c r="H365" i="1"/>
  <c r="H363" i="1" s="1"/>
  <c r="H362" i="1" s="1"/>
  <c r="H361" i="1" s="1"/>
  <c r="J364" i="1"/>
  <c r="H364" i="1"/>
  <c r="J363" i="1"/>
  <c r="I363" i="1"/>
  <c r="I362" i="1"/>
  <c r="J359" i="1"/>
  <c r="H359" i="1"/>
  <c r="I358" i="1"/>
  <c r="H358" i="1"/>
  <c r="I357" i="1"/>
  <c r="I356" i="1"/>
  <c r="I355" i="1"/>
  <c r="J354" i="1"/>
  <c r="I353" i="1"/>
  <c r="J353" i="1" s="1"/>
  <c r="H353" i="1"/>
  <c r="J352" i="1"/>
  <c r="H352" i="1"/>
  <c r="J351" i="1"/>
  <c r="I351" i="1"/>
  <c r="H351" i="1"/>
  <c r="H350" i="1"/>
  <c r="I349" i="1"/>
  <c r="I348" i="1"/>
  <c r="I347" i="1" s="1"/>
  <c r="J345" i="1"/>
  <c r="H345" i="1"/>
  <c r="I344" i="1"/>
  <c r="H344" i="1"/>
  <c r="H343" i="1"/>
  <c r="J342" i="1"/>
  <c r="H342" i="1"/>
  <c r="I341" i="1"/>
  <c r="H341" i="1"/>
  <c r="H335" i="1" s="1"/>
  <c r="J340" i="1"/>
  <c r="H340" i="1"/>
  <c r="I339" i="1"/>
  <c r="J339" i="1" s="1"/>
  <c r="H339" i="1"/>
  <c r="H338" i="1"/>
  <c r="J338" i="1" s="1"/>
  <c r="J337" i="1"/>
  <c r="H337" i="1"/>
  <c r="I336" i="1"/>
  <c r="H336" i="1"/>
  <c r="J334" i="1"/>
  <c r="H334" i="1"/>
  <c r="I333" i="1"/>
  <c r="J333" i="1" s="1"/>
  <c r="H333" i="1"/>
  <c r="J332" i="1"/>
  <c r="I331" i="1"/>
  <c r="J331" i="1" s="1"/>
  <c r="H331" i="1"/>
  <c r="J330" i="1"/>
  <c r="H330" i="1"/>
  <c r="J329" i="1"/>
  <c r="I329" i="1"/>
  <c r="H329" i="1"/>
  <c r="H328" i="1"/>
  <c r="J328" i="1" s="1"/>
  <c r="J327" i="1"/>
  <c r="H327" i="1"/>
  <c r="H326" i="1"/>
  <c r="I325" i="1"/>
  <c r="H323" i="1"/>
  <c r="I322" i="1"/>
  <c r="H321" i="1"/>
  <c r="H320" i="1" s="1"/>
  <c r="I320" i="1"/>
  <c r="I319" i="1"/>
  <c r="J318" i="1"/>
  <c r="J317" i="1"/>
  <c r="I317" i="1"/>
  <c r="H317" i="1"/>
  <c r="J316" i="1"/>
  <c r="H316" i="1"/>
  <c r="I315" i="1"/>
  <c r="H315" i="1"/>
  <c r="J315" i="1" s="1"/>
  <c r="J314" i="1"/>
  <c r="H314" i="1"/>
  <c r="I313" i="1"/>
  <c r="H313" i="1"/>
  <c r="H312" i="1" s="1"/>
  <c r="J308" i="1"/>
  <c r="I307" i="1"/>
  <c r="H307" i="1"/>
  <c r="H306" i="1" s="1"/>
  <c r="H305" i="1" s="1"/>
  <c r="J304" i="1"/>
  <c r="H304" i="1"/>
  <c r="H303" i="1" s="1"/>
  <c r="I303" i="1"/>
  <c r="I302" i="1"/>
  <c r="J301" i="1"/>
  <c r="H301" i="1"/>
  <c r="H299" i="1" s="1"/>
  <c r="J300" i="1"/>
  <c r="H300" i="1"/>
  <c r="J299" i="1"/>
  <c r="I299" i="1"/>
  <c r="I298" i="1"/>
  <c r="H298" i="1"/>
  <c r="J295" i="1"/>
  <c r="J294" i="1"/>
  <c r="I294" i="1"/>
  <c r="H294" i="1"/>
  <c r="J293" i="1"/>
  <c r="H293" i="1"/>
  <c r="H292" i="1" s="1"/>
  <c r="I292" i="1"/>
  <c r="I291" i="1"/>
  <c r="I290" i="1"/>
  <c r="I289" i="1"/>
  <c r="J288" i="1"/>
  <c r="I287" i="1"/>
  <c r="H287" i="1"/>
  <c r="H286" i="1" s="1"/>
  <c r="H285" i="1" s="1"/>
  <c r="H284" i="1" s="1"/>
  <c r="H283" i="1" s="1"/>
  <c r="J281" i="1"/>
  <c r="I280" i="1"/>
  <c r="H280" i="1"/>
  <c r="I279" i="1"/>
  <c r="J278" i="1"/>
  <c r="J277" i="1"/>
  <c r="H277" i="1"/>
  <c r="I276" i="1"/>
  <c r="H276" i="1"/>
  <c r="H275" i="1" s="1"/>
  <c r="J274" i="1"/>
  <c r="J273" i="1"/>
  <c r="I272" i="1"/>
  <c r="J272" i="1" s="1"/>
  <c r="H272" i="1"/>
  <c r="J271" i="1"/>
  <c r="H271" i="1"/>
  <c r="J270" i="1"/>
  <c r="I270" i="1"/>
  <c r="H270" i="1"/>
  <c r="I269" i="1"/>
  <c r="J269" i="1" s="1"/>
  <c r="H269" i="1"/>
  <c r="J268" i="1"/>
  <c r="H268" i="1"/>
  <c r="J267" i="1"/>
  <c r="I267" i="1"/>
  <c r="I266" i="1" s="1"/>
  <c r="H267" i="1"/>
  <c r="H266" i="1"/>
  <c r="J264" i="1"/>
  <c r="J263" i="1"/>
  <c r="I263" i="1"/>
  <c r="H263" i="1"/>
  <c r="H262" i="1" s="1"/>
  <c r="I262" i="1"/>
  <c r="J262" i="1" s="1"/>
  <c r="J259" i="1"/>
  <c r="H259" i="1"/>
  <c r="J258" i="1"/>
  <c r="I258" i="1"/>
  <c r="I257" i="1" s="1"/>
  <c r="H258" i="1"/>
  <c r="H257" i="1"/>
  <c r="H256" i="1" s="1"/>
  <c r="H251" i="1" s="1"/>
  <c r="H250" i="1" s="1"/>
  <c r="H255" i="1"/>
  <c r="H254" i="1" s="1"/>
  <c r="H253" i="1" s="1"/>
  <c r="H252" i="1" s="1"/>
  <c r="I254" i="1"/>
  <c r="J249" i="1"/>
  <c r="I248" i="1"/>
  <c r="H248" i="1"/>
  <c r="H247" i="1"/>
  <c r="H246" i="1" s="1"/>
  <c r="J245" i="1"/>
  <c r="J244" i="1"/>
  <c r="I244" i="1"/>
  <c r="H244" i="1"/>
  <c r="I243" i="1"/>
  <c r="H243" i="1"/>
  <c r="H242" i="1"/>
  <c r="J241" i="1"/>
  <c r="H241" i="1"/>
  <c r="I240" i="1"/>
  <c r="H240" i="1"/>
  <c r="H239" i="1"/>
  <c r="J238" i="1"/>
  <c r="I237" i="1"/>
  <c r="H237" i="1"/>
  <c r="I236" i="1"/>
  <c r="J235" i="1"/>
  <c r="H235" i="1"/>
  <c r="J234" i="1"/>
  <c r="H233" i="1"/>
  <c r="I232" i="1"/>
  <c r="I231" i="1"/>
  <c r="J228" i="1"/>
  <c r="H228" i="1"/>
  <c r="I227" i="1"/>
  <c r="H227" i="1"/>
  <c r="H226" i="1"/>
  <c r="J224" i="1"/>
  <c r="J223" i="1"/>
  <c r="I223" i="1"/>
  <c r="H223" i="1"/>
  <c r="J222" i="1"/>
  <c r="I222" i="1"/>
  <c r="H222" i="1"/>
  <c r="H221" i="1"/>
  <c r="I220" i="1"/>
  <c r="I219" i="1"/>
  <c r="I218" i="1"/>
  <c r="J217" i="1"/>
  <c r="H217" i="1"/>
  <c r="J216" i="1"/>
  <c r="I216" i="1"/>
  <c r="H216" i="1"/>
  <c r="I215" i="1"/>
  <c r="H215" i="1"/>
  <c r="H214" i="1"/>
  <c r="H213" i="1" s="1"/>
  <c r="J212" i="1"/>
  <c r="J211" i="1"/>
  <c r="I211" i="1"/>
  <c r="H211" i="1"/>
  <c r="J210" i="1"/>
  <c r="I210" i="1"/>
  <c r="H210" i="1"/>
  <c r="J207" i="1"/>
  <c r="H207" i="1"/>
  <c r="I206" i="1"/>
  <c r="H206" i="1"/>
  <c r="H205" i="1"/>
  <c r="H204" i="1" s="1"/>
  <c r="H203" i="1" s="1"/>
  <c r="H202" i="1"/>
  <c r="I201" i="1"/>
  <c r="J200" i="1"/>
  <c r="H200" i="1"/>
  <c r="I199" i="1"/>
  <c r="H199" i="1"/>
  <c r="I198" i="1"/>
  <c r="J197" i="1"/>
  <c r="H197" i="1"/>
  <c r="I196" i="1"/>
  <c r="H196" i="1"/>
  <c r="J195" i="1"/>
  <c r="H195" i="1"/>
  <c r="I194" i="1"/>
  <c r="J194" i="1" s="1"/>
  <c r="H194" i="1"/>
  <c r="J193" i="1"/>
  <c r="H193" i="1"/>
  <c r="J192" i="1"/>
  <c r="I192" i="1"/>
  <c r="H192" i="1"/>
  <c r="I191" i="1"/>
  <c r="J188" i="1"/>
  <c r="H188" i="1"/>
  <c r="I187" i="1"/>
  <c r="H187" i="1"/>
  <c r="I186" i="1"/>
  <c r="I185" i="1"/>
  <c r="J183" i="1"/>
  <c r="H183" i="1"/>
  <c r="J182" i="1"/>
  <c r="I182" i="1"/>
  <c r="H182" i="1"/>
  <c r="I181" i="1"/>
  <c r="H181" i="1"/>
  <c r="H180" i="1"/>
  <c r="H179" i="1" s="1"/>
  <c r="H178" i="1" s="1"/>
  <c r="H177" i="1"/>
  <c r="I176" i="1"/>
  <c r="I175" i="1"/>
  <c r="I174" i="1"/>
  <c r="J171" i="1"/>
  <c r="J170" i="1"/>
  <c r="I170" i="1"/>
  <c r="H170" i="1"/>
  <c r="J169" i="1"/>
  <c r="I169" i="1"/>
  <c r="H169" i="1"/>
  <c r="H168" i="1"/>
  <c r="I167" i="1"/>
  <c r="J166" i="1"/>
  <c r="H166" i="1"/>
  <c r="I165" i="1"/>
  <c r="H165" i="1"/>
  <c r="I164" i="1"/>
  <c r="J163" i="1"/>
  <c r="H163" i="1"/>
  <c r="I162" i="1"/>
  <c r="H162" i="1"/>
  <c r="I161" i="1"/>
  <c r="J160" i="1"/>
  <c r="H160" i="1"/>
  <c r="H158" i="1" s="1"/>
  <c r="H157" i="1" s="1"/>
  <c r="J159" i="1"/>
  <c r="H159" i="1"/>
  <c r="J158" i="1"/>
  <c r="I158" i="1"/>
  <c r="I157" i="1"/>
  <c r="H153" i="1"/>
  <c r="I152" i="1"/>
  <c r="I151" i="1"/>
  <c r="H150" i="1"/>
  <c r="I149" i="1"/>
  <c r="I148" i="1"/>
  <c r="J147" i="1"/>
  <c r="J146" i="1"/>
  <c r="I146" i="1"/>
  <c r="H146" i="1"/>
  <c r="I145" i="1"/>
  <c r="J145" i="1" s="1"/>
  <c r="H145" i="1"/>
  <c r="J144" i="1"/>
  <c r="H143" i="1"/>
  <c r="I142" i="1"/>
  <c r="I141" i="1"/>
  <c r="I140" i="1"/>
  <c r="H136" i="1"/>
  <c r="I135" i="1"/>
  <c r="I134" i="1"/>
  <c r="I133" i="1"/>
  <c r="J132" i="1"/>
  <c r="I131" i="1"/>
  <c r="H131" i="1"/>
  <c r="H130" i="1"/>
  <c r="H129" i="1" s="1"/>
  <c r="H128" i="1" s="1"/>
  <c r="H127" i="1"/>
  <c r="I126" i="1"/>
  <c r="I125" i="1"/>
  <c r="I124" i="1"/>
  <c r="J123" i="1"/>
  <c r="I122" i="1"/>
  <c r="J122" i="1" s="1"/>
  <c r="H122" i="1"/>
  <c r="J121" i="1"/>
  <c r="I120" i="1"/>
  <c r="H120" i="1"/>
  <c r="H119" i="1"/>
  <c r="H118" i="1" s="1"/>
  <c r="J117" i="1"/>
  <c r="H117" i="1"/>
  <c r="H115" i="1" s="1"/>
  <c r="J115" i="1" s="1"/>
  <c r="J116" i="1"/>
  <c r="H116" i="1"/>
  <c r="I115" i="1"/>
  <c r="J114" i="1"/>
  <c r="J113" i="1"/>
  <c r="H113" i="1"/>
  <c r="H111" i="1" s="1"/>
  <c r="J112" i="1"/>
  <c r="H112" i="1"/>
  <c r="J111" i="1"/>
  <c r="I111" i="1"/>
  <c r="I110" i="1"/>
  <c r="J108" i="1"/>
  <c r="I107" i="1"/>
  <c r="H107" i="1"/>
  <c r="I106" i="1"/>
  <c r="I105" i="1"/>
  <c r="H104" i="1"/>
  <c r="I103" i="1"/>
  <c r="I102" i="1"/>
  <c r="J101" i="1"/>
  <c r="J100" i="1"/>
  <c r="I100" i="1"/>
  <c r="H100" i="1"/>
  <c r="H99" i="1"/>
  <c r="I98" i="1"/>
  <c r="I97" i="1"/>
  <c r="I96" i="1"/>
  <c r="J94" i="1"/>
  <c r="I93" i="1"/>
  <c r="H93" i="1"/>
  <c r="I92" i="1"/>
  <c r="J91" i="1"/>
  <c r="J90" i="1"/>
  <c r="I90" i="1"/>
  <c r="H90" i="1"/>
  <c r="J89" i="1"/>
  <c r="I89" i="1"/>
  <c r="H89" i="1"/>
  <c r="I88" i="1"/>
  <c r="J87" i="1"/>
  <c r="H87" i="1"/>
  <c r="J86" i="1"/>
  <c r="I86" i="1"/>
  <c r="H86" i="1"/>
  <c r="I85" i="1"/>
  <c r="J85" i="1" s="1"/>
  <c r="H85" i="1"/>
  <c r="J84" i="1"/>
  <c r="H84" i="1"/>
  <c r="J83" i="1"/>
  <c r="I83" i="1"/>
  <c r="H83" i="1"/>
  <c r="I82" i="1"/>
  <c r="H82" i="1"/>
  <c r="H81" i="1"/>
  <c r="H80" i="1" s="1"/>
  <c r="J79" i="1"/>
  <c r="H79" i="1"/>
  <c r="I78" i="1"/>
  <c r="H78" i="1"/>
  <c r="J78" i="1" s="1"/>
  <c r="J77" i="1"/>
  <c r="I76" i="1"/>
  <c r="H76" i="1"/>
  <c r="J76" i="1" s="1"/>
  <c r="J75" i="1"/>
  <c r="I74" i="1"/>
  <c r="H74" i="1"/>
  <c r="J73" i="1"/>
  <c r="I72" i="1"/>
  <c r="H72" i="1"/>
  <c r="J72" i="1" s="1"/>
  <c r="I71" i="1"/>
  <c r="J70" i="1"/>
  <c r="J69" i="1"/>
  <c r="H69" i="1"/>
  <c r="I68" i="1"/>
  <c r="H68" i="1"/>
  <c r="H67" i="1"/>
  <c r="J65" i="1"/>
  <c r="H65" i="1"/>
  <c r="I64" i="1"/>
  <c r="H64" i="1"/>
  <c r="I63" i="1"/>
  <c r="I62" i="1"/>
  <c r="J61" i="1"/>
  <c r="J60" i="1"/>
  <c r="I60" i="1"/>
  <c r="H60" i="1"/>
  <c r="I59" i="1"/>
  <c r="H59" i="1"/>
  <c r="H58" i="1"/>
  <c r="J57" i="1"/>
  <c r="H57" i="1"/>
  <c r="I56" i="1"/>
  <c r="H56" i="1"/>
  <c r="H55" i="1"/>
  <c r="J54" i="1"/>
  <c r="H54" i="1"/>
  <c r="I53" i="1"/>
  <c r="H53" i="1"/>
  <c r="H52" i="1"/>
  <c r="H51" i="1" s="1"/>
  <c r="J50" i="1"/>
  <c r="H50" i="1"/>
  <c r="H48" i="1" s="1"/>
  <c r="H47" i="1" s="1"/>
  <c r="H46" i="1" s="1"/>
  <c r="J49" i="1"/>
  <c r="H49" i="1"/>
  <c r="I48" i="1"/>
  <c r="I47" i="1"/>
  <c r="J45" i="1"/>
  <c r="J44" i="1"/>
  <c r="H44" i="1"/>
  <c r="J43" i="1"/>
  <c r="I43" i="1"/>
  <c r="H43" i="1"/>
  <c r="I42" i="1"/>
  <c r="H42" i="1"/>
  <c r="H41" i="1"/>
  <c r="H40" i="1" s="1"/>
  <c r="J39" i="1"/>
  <c r="J38" i="1"/>
  <c r="I38" i="1"/>
  <c r="H38" i="1"/>
  <c r="J37" i="1"/>
  <c r="H37" i="1"/>
  <c r="I36" i="1"/>
  <c r="H36" i="1"/>
  <c r="J36" i="1" s="1"/>
  <c r="J35" i="1"/>
  <c r="I34" i="1"/>
  <c r="H34" i="1"/>
  <c r="I33" i="1"/>
  <c r="J32" i="1"/>
  <c r="H32" i="1"/>
  <c r="J31" i="1"/>
  <c r="H31" i="1"/>
  <c r="J30" i="1"/>
  <c r="H30" i="1"/>
  <c r="I29" i="1"/>
  <c r="H29" i="1"/>
  <c r="I28" i="1"/>
  <c r="I27" i="1"/>
  <c r="I26" i="1"/>
  <c r="J25" i="1"/>
  <c r="H25" i="1"/>
  <c r="J24" i="1"/>
  <c r="H24" i="1"/>
  <c r="I23" i="1"/>
  <c r="H23" i="1"/>
  <c r="I22" i="1"/>
  <c r="I21" i="1"/>
  <c r="I20" i="1"/>
  <c r="J19" i="1"/>
  <c r="I18" i="1"/>
  <c r="H18" i="1"/>
  <c r="J17" i="1"/>
  <c r="I16" i="1"/>
  <c r="H16" i="1"/>
  <c r="H15" i="1"/>
  <c r="J14" i="1"/>
  <c r="I13" i="1"/>
  <c r="H13" i="1"/>
  <c r="I12" i="1"/>
  <c r="J68" i="1" l="1"/>
  <c r="I67" i="1"/>
  <c r="J67" i="1" s="1"/>
  <c r="J143" i="1"/>
  <c r="H142" i="1"/>
  <c r="J191" i="1"/>
  <c r="I190" i="1"/>
  <c r="J206" i="1"/>
  <c r="I205" i="1"/>
  <c r="J221" i="1"/>
  <c r="H220" i="1"/>
  <c r="J292" i="1"/>
  <c r="H291" i="1"/>
  <c r="J16" i="1"/>
  <c r="I15" i="1"/>
  <c r="J34" i="1"/>
  <c r="H33" i="1"/>
  <c r="J33" i="1" s="1"/>
  <c r="J59" i="1"/>
  <c r="I58" i="1"/>
  <c r="J58" i="1" s="1"/>
  <c r="J64" i="1"/>
  <c r="H63" i="1"/>
  <c r="J93" i="1"/>
  <c r="H92" i="1"/>
  <c r="J99" i="1"/>
  <c r="H98" i="1"/>
  <c r="J104" i="1"/>
  <c r="H103" i="1"/>
  <c r="J107" i="1"/>
  <c r="H106" i="1"/>
  <c r="I109" i="1"/>
  <c r="J120" i="1"/>
  <c r="I119" i="1"/>
  <c r="J42" i="1"/>
  <c r="I41" i="1"/>
  <c r="J47" i="1"/>
  <c r="I46" i="1"/>
  <c r="J46" i="1" s="1"/>
  <c r="H110" i="1"/>
  <c r="H109" i="1" s="1"/>
  <c r="J127" i="1"/>
  <c r="H126" i="1"/>
  <c r="J131" i="1"/>
  <c r="I130" i="1"/>
  <c r="J150" i="1"/>
  <c r="H149" i="1"/>
  <c r="J153" i="1"/>
  <c r="H152" i="1"/>
  <c r="J165" i="1"/>
  <c r="H164" i="1"/>
  <c r="J164" i="1" s="1"/>
  <c r="J187" i="1"/>
  <c r="H186" i="1"/>
  <c r="J199" i="1"/>
  <c r="J237" i="1"/>
  <c r="H236" i="1"/>
  <c r="J236" i="1" s="1"/>
  <c r="H265" i="1"/>
  <c r="H261" i="1" s="1"/>
  <c r="H260" i="1" s="1"/>
  <c r="J320" i="1"/>
  <c r="J82" i="1"/>
  <c r="I81" i="1"/>
  <c r="J168" i="1"/>
  <c r="H167" i="1"/>
  <c r="J167" i="1" s="1"/>
  <c r="J303" i="1"/>
  <c r="H302" i="1"/>
  <c r="J302" i="1" s="1"/>
  <c r="J13" i="1"/>
  <c r="H12" i="1"/>
  <c r="J12" i="1" s="1"/>
  <c r="J18" i="1"/>
  <c r="J23" i="1"/>
  <c r="H22" i="1"/>
  <c r="J29" i="1"/>
  <c r="H28" i="1"/>
  <c r="J48" i="1"/>
  <c r="J56" i="1"/>
  <c r="I55" i="1"/>
  <c r="J55" i="1" s="1"/>
  <c r="J136" i="1"/>
  <c r="H135" i="1"/>
  <c r="I173" i="1"/>
  <c r="J177" i="1"/>
  <c r="H176" i="1"/>
  <c r="J181" i="1"/>
  <c r="I180" i="1"/>
  <c r="J243" i="1"/>
  <c r="I242" i="1"/>
  <c r="J242" i="1" s="1"/>
  <c r="J266" i="1"/>
  <c r="I346" i="1"/>
  <c r="J53" i="1"/>
  <c r="I52" i="1"/>
  <c r="J74" i="1"/>
  <c r="H71" i="1"/>
  <c r="I139" i="1"/>
  <c r="J202" i="1"/>
  <c r="H201" i="1"/>
  <c r="J201" i="1" s="1"/>
  <c r="J240" i="1"/>
  <c r="I239" i="1"/>
  <c r="J157" i="1"/>
  <c r="I156" i="1"/>
  <c r="J162" i="1"/>
  <c r="H161" i="1"/>
  <c r="J161" i="1" s="1"/>
  <c r="H191" i="1"/>
  <c r="J196" i="1"/>
  <c r="J215" i="1"/>
  <c r="I214" i="1"/>
  <c r="J227" i="1"/>
  <c r="I226" i="1"/>
  <c r="J233" i="1"/>
  <c r="H232" i="1"/>
  <c r="J257" i="1"/>
  <c r="I256" i="1"/>
  <c r="H297" i="1"/>
  <c r="H296" i="1" s="1"/>
  <c r="J276" i="1"/>
  <c r="I275" i="1"/>
  <c r="J275" i="1" s="1"/>
  <c r="J298" i="1"/>
  <c r="I297" i="1"/>
  <c r="J307" i="1"/>
  <c r="I306" i="1"/>
  <c r="J432" i="1"/>
  <c r="H431" i="1"/>
  <c r="J449" i="1"/>
  <c r="H448" i="1"/>
  <c r="J542" i="1"/>
  <c r="I541" i="1"/>
  <c r="J255" i="1"/>
  <c r="J287" i="1"/>
  <c r="I286" i="1"/>
  <c r="J313" i="1"/>
  <c r="I312" i="1"/>
  <c r="J321" i="1"/>
  <c r="I324" i="1"/>
  <c r="J326" i="1"/>
  <c r="H325" i="1"/>
  <c r="J341" i="1"/>
  <c r="J358" i="1"/>
  <c r="H357" i="1"/>
  <c r="J373" i="1"/>
  <c r="H372" i="1"/>
  <c r="J388" i="1"/>
  <c r="I387" i="1"/>
  <c r="J399" i="1"/>
  <c r="H398" i="1"/>
  <c r="H408" i="1"/>
  <c r="J418" i="1"/>
  <c r="I417" i="1"/>
  <c r="J443" i="1"/>
  <c r="H442" i="1"/>
  <c r="J514" i="1"/>
  <c r="I513" i="1"/>
  <c r="J513" i="1" s="1"/>
  <c r="J583" i="1"/>
  <c r="J706" i="1"/>
  <c r="H705" i="1"/>
  <c r="J323" i="1"/>
  <c r="H322" i="1"/>
  <c r="J322" i="1" s="1"/>
  <c r="J350" i="1"/>
  <c r="H349" i="1"/>
  <c r="J435" i="1"/>
  <c r="I434" i="1"/>
  <c r="J466" i="1"/>
  <c r="J280" i="1"/>
  <c r="H279" i="1"/>
  <c r="J279" i="1" s="1"/>
  <c r="J344" i="1"/>
  <c r="I343" i="1"/>
  <c r="J343" i="1" s="1"/>
  <c r="J362" i="1"/>
  <c r="I361" i="1"/>
  <c r="J361" i="1" s="1"/>
  <c r="H402" i="1"/>
  <c r="J404" i="1"/>
  <c r="J436" i="1"/>
  <c r="H456" i="1"/>
  <c r="H455" i="1" s="1"/>
  <c r="J458" i="1"/>
  <c r="J248" i="1"/>
  <c r="I247" i="1"/>
  <c r="J254" i="1"/>
  <c r="I253" i="1"/>
  <c r="J336" i="1"/>
  <c r="I335" i="1"/>
  <c r="J335" i="1" s="1"/>
  <c r="J368" i="1"/>
  <c r="I367" i="1"/>
  <c r="J381" i="1"/>
  <c r="H380" i="1"/>
  <c r="J384" i="1"/>
  <c r="H383" i="1"/>
  <c r="I397" i="1"/>
  <c r="J402" i="1"/>
  <c r="J410" i="1"/>
  <c r="I409" i="1"/>
  <c r="J424" i="1"/>
  <c r="I423" i="1"/>
  <c r="I455" i="1"/>
  <c r="J507" i="1"/>
  <c r="I506" i="1"/>
  <c r="J561" i="1"/>
  <c r="H560" i="1"/>
  <c r="H557" i="1" s="1"/>
  <c r="J462" i="1"/>
  <c r="J473" i="1"/>
  <c r="I472" i="1"/>
  <c r="J510" i="1"/>
  <c r="J518" i="1"/>
  <c r="I517" i="1"/>
  <c r="I520" i="1"/>
  <c r="I548" i="1"/>
  <c r="I576" i="1"/>
  <c r="J584" i="1"/>
  <c r="J616" i="1"/>
  <c r="I615" i="1"/>
  <c r="J658" i="1"/>
  <c r="H657" i="1"/>
  <c r="J686" i="1"/>
  <c r="H685" i="1"/>
  <c r="I714" i="1"/>
  <c r="J469" i="1"/>
  <c r="H468" i="1"/>
  <c r="H465" i="1" s="1"/>
  <c r="I476" i="1"/>
  <c r="J491" i="1"/>
  <c r="I490" i="1"/>
  <c r="J501" i="1"/>
  <c r="H500" i="1"/>
  <c r="H493" i="1" s="1"/>
  <c r="J509" i="1"/>
  <c r="J519" i="1"/>
  <c r="H518" i="1"/>
  <c r="H517" i="1" s="1"/>
  <c r="J522" i="1"/>
  <c r="H521" i="1"/>
  <c r="H520" i="1" s="1"/>
  <c r="J524" i="1"/>
  <c r="I523" i="1"/>
  <c r="J523" i="1" s="1"/>
  <c r="H553" i="1"/>
  <c r="J556" i="1"/>
  <c r="J585" i="1"/>
  <c r="H584" i="1"/>
  <c r="H583" i="1" s="1"/>
  <c r="J596" i="1"/>
  <c r="I595" i="1"/>
  <c r="I628" i="1"/>
  <c r="J712" i="1"/>
  <c r="H711" i="1"/>
  <c r="J739" i="1"/>
  <c r="I738" i="1"/>
  <c r="J478" i="1"/>
  <c r="H477" i="1"/>
  <c r="H476" i="1" s="1"/>
  <c r="H475" i="1" s="1"/>
  <c r="J530" i="1"/>
  <c r="I529" i="1"/>
  <c r="I605" i="1"/>
  <c r="J651" i="1"/>
  <c r="I650" i="1"/>
  <c r="J650" i="1" s="1"/>
  <c r="J675" i="1"/>
  <c r="I667" i="1"/>
  <c r="J709" i="1"/>
  <c r="H708" i="1"/>
  <c r="I535" i="1"/>
  <c r="H549" i="1"/>
  <c r="H548" i="1" s="1"/>
  <c r="I557" i="1"/>
  <c r="I551" i="1" s="1"/>
  <c r="I566" i="1"/>
  <c r="I572" i="1"/>
  <c r="H577" i="1"/>
  <c r="H576" i="1" s="1"/>
  <c r="H575" i="1" s="1"/>
  <c r="H569" i="1" s="1"/>
  <c r="H562" i="1" s="1"/>
  <c r="J589" i="1"/>
  <c r="I588" i="1"/>
  <c r="J603" i="1"/>
  <c r="I602" i="1"/>
  <c r="J633" i="1"/>
  <c r="J635" i="1"/>
  <c r="J648" i="1"/>
  <c r="I647" i="1"/>
  <c r="J647" i="1" s="1"/>
  <c r="J653" i="1"/>
  <c r="I684" i="1"/>
  <c r="J689" i="1"/>
  <c r="J695" i="1"/>
  <c r="H694" i="1"/>
  <c r="J699" i="1"/>
  <c r="I698" i="1"/>
  <c r="J722" i="1"/>
  <c r="H721" i="1"/>
  <c r="J721" i="1" s="1"/>
  <c r="J609" i="1"/>
  <c r="H608" i="1"/>
  <c r="J621" i="1"/>
  <c r="H620" i="1"/>
  <c r="J632" i="1"/>
  <c r="H631" i="1"/>
  <c r="J642" i="1"/>
  <c r="J733" i="1"/>
  <c r="I732" i="1"/>
  <c r="J639" i="1"/>
  <c r="H638" i="1"/>
  <c r="J638" i="1" s="1"/>
  <c r="J645" i="1"/>
  <c r="I644" i="1"/>
  <c r="J644" i="1" s="1"/>
  <c r="J670" i="1"/>
  <c r="H669" i="1"/>
  <c r="I725" i="1"/>
  <c r="J729" i="1"/>
  <c r="H728" i="1"/>
  <c r="J740" i="1"/>
  <c r="H716" i="1"/>
  <c r="I547" i="1" l="1"/>
  <c r="H461" i="1"/>
  <c r="J465" i="1"/>
  <c r="H489" i="1"/>
  <c r="H485" i="1" s="1"/>
  <c r="J493" i="1"/>
  <c r="H715" i="1"/>
  <c r="J716" i="1"/>
  <c r="J732" i="1"/>
  <c r="I731" i="1"/>
  <c r="J602" i="1"/>
  <c r="I601" i="1"/>
  <c r="I666" i="1"/>
  <c r="H552" i="1"/>
  <c r="J553" i="1"/>
  <c r="I701" i="1"/>
  <c r="H656" i="1"/>
  <c r="J656" i="1" s="1"/>
  <c r="J657" i="1"/>
  <c r="J472" i="1"/>
  <c r="I471" i="1"/>
  <c r="I447" i="1"/>
  <c r="J455" i="1"/>
  <c r="J383" i="1"/>
  <c r="H382" i="1"/>
  <c r="J372" i="1"/>
  <c r="H370" i="1"/>
  <c r="J370" i="1" s="1"/>
  <c r="H371" i="1"/>
  <c r="J371" i="1" s="1"/>
  <c r="J297" i="1"/>
  <c r="I296" i="1"/>
  <c r="I138" i="1"/>
  <c r="J176" i="1"/>
  <c r="H175" i="1"/>
  <c r="J81" i="1"/>
  <c r="I80" i="1"/>
  <c r="J80" i="1" s="1"/>
  <c r="H615" i="1"/>
  <c r="H614" i="1" s="1"/>
  <c r="H613" i="1" s="1"/>
  <c r="H612" i="1" s="1"/>
  <c r="J620" i="1"/>
  <c r="J694" i="1"/>
  <c r="H693" i="1"/>
  <c r="I571" i="1"/>
  <c r="J572" i="1"/>
  <c r="I534" i="1"/>
  <c r="J535" i="1"/>
  <c r="H516" i="1"/>
  <c r="H512" i="1" s="1"/>
  <c r="H502" i="1" s="1"/>
  <c r="J477" i="1"/>
  <c r="J576" i="1"/>
  <c r="I575" i="1"/>
  <c r="J520" i="1"/>
  <c r="J456" i="1"/>
  <c r="J367" i="1"/>
  <c r="I366" i="1"/>
  <c r="I252" i="1"/>
  <c r="J252" i="1" s="1"/>
  <c r="J253" i="1"/>
  <c r="H348" i="1"/>
  <c r="J349" i="1"/>
  <c r="J442" i="1"/>
  <c r="H441" i="1"/>
  <c r="J417" i="1"/>
  <c r="I416" i="1"/>
  <c r="J416" i="1" s="1"/>
  <c r="H324" i="1"/>
  <c r="J325" i="1"/>
  <c r="J312" i="1"/>
  <c r="I311" i="1"/>
  <c r="J448" i="1"/>
  <c r="H447" i="1"/>
  <c r="H446" i="1" s="1"/>
  <c r="H445" i="1" s="1"/>
  <c r="J256" i="1"/>
  <c r="I251" i="1"/>
  <c r="J226" i="1"/>
  <c r="I155" i="1"/>
  <c r="J186" i="1"/>
  <c r="H185" i="1"/>
  <c r="J185" i="1" s="1"/>
  <c r="J152" i="1"/>
  <c r="H151" i="1"/>
  <c r="J151" i="1" s="1"/>
  <c r="J130" i="1"/>
  <c r="I129" i="1"/>
  <c r="J41" i="1"/>
  <c r="I40" i="1"/>
  <c r="J40" i="1" s="1"/>
  <c r="J109" i="1"/>
  <c r="J103" i="1"/>
  <c r="H102" i="1"/>
  <c r="J102" i="1" s="1"/>
  <c r="J63" i="1"/>
  <c r="H62" i="1"/>
  <c r="J62" i="1" s="1"/>
  <c r="H290" i="1"/>
  <c r="J291" i="1"/>
  <c r="J205" i="1"/>
  <c r="I204" i="1"/>
  <c r="J142" i="1"/>
  <c r="H141" i="1"/>
  <c r="I724" i="1"/>
  <c r="J711" i="1"/>
  <c r="H710" i="1"/>
  <c r="J710" i="1" s="1"/>
  <c r="J549" i="1"/>
  <c r="J409" i="1"/>
  <c r="I408" i="1"/>
  <c r="J408" i="1" s="1"/>
  <c r="J398" i="1"/>
  <c r="H397" i="1"/>
  <c r="H396" i="1" s="1"/>
  <c r="H395" i="1" s="1"/>
  <c r="H394" i="1" s="1"/>
  <c r="J357" i="1"/>
  <c r="H356" i="1"/>
  <c r="J52" i="1"/>
  <c r="I51" i="1"/>
  <c r="J51" i="1" s="1"/>
  <c r="J135" i="1"/>
  <c r="H134" i="1"/>
  <c r="H27" i="1"/>
  <c r="J28" i="1"/>
  <c r="J728" i="1"/>
  <c r="H727" i="1"/>
  <c r="J669" i="1"/>
  <c r="H668" i="1"/>
  <c r="I683" i="1"/>
  <c r="J588" i="1"/>
  <c r="I587" i="1"/>
  <c r="I565" i="1"/>
  <c r="J566" i="1"/>
  <c r="J708" i="1"/>
  <c r="H707" i="1"/>
  <c r="J707" i="1" s="1"/>
  <c r="J738" i="1"/>
  <c r="I737" i="1"/>
  <c r="J737" i="1" s="1"/>
  <c r="I627" i="1"/>
  <c r="I489" i="1"/>
  <c r="J490" i="1"/>
  <c r="J685" i="1"/>
  <c r="H684" i="1"/>
  <c r="H683" i="1" s="1"/>
  <c r="H682" i="1" s="1"/>
  <c r="H681" i="1" s="1"/>
  <c r="J615" i="1"/>
  <c r="I614" i="1"/>
  <c r="J577" i="1"/>
  <c r="J521" i="1"/>
  <c r="J500" i="1"/>
  <c r="J468" i="1"/>
  <c r="J506" i="1"/>
  <c r="I505" i="1"/>
  <c r="J423" i="1"/>
  <c r="I422" i="1"/>
  <c r="J380" i="1"/>
  <c r="H379" i="1"/>
  <c r="J705" i="1"/>
  <c r="H704" i="1"/>
  <c r="J387" i="1"/>
  <c r="I386" i="1"/>
  <c r="J386" i="1" s="1"/>
  <c r="J541" i="1"/>
  <c r="I540" i="1"/>
  <c r="J540" i="1" s="1"/>
  <c r="J306" i="1"/>
  <c r="I305" i="1"/>
  <c r="J305" i="1" s="1"/>
  <c r="J71" i="1"/>
  <c r="I265" i="1"/>
  <c r="J180" i="1"/>
  <c r="I179" i="1"/>
  <c r="H21" i="1"/>
  <c r="J22" i="1"/>
  <c r="H319" i="1"/>
  <c r="J110" i="1"/>
  <c r="I528" i="1"/>
  <c r="J529" i="1"/>
  <c r="I475" i="1"/>
  <c r="J476" i="1"/>
  <c r="H628" i="1"/>
  <c r="H627" i="1" s="1"/>
  <c r="H626" i="1" s="1"/>
  <c r="H625" i="1" s="1"/>
  <c r="J631" i="1"/>
  <c r="H607" i="1"/>
  <c r="J608" i="1"/>
  <c r="J698" i="1"/>
  <c r="I697" i="1"/>
  <c r="J557" i="1"/>
  <c r="J560" i="1"/>
  <c r="J595" i="1"/>
  <c r="I594" i="1"/>
  <c r="J548" i="1"/>
  <c r="I516" i="1"/>
  <c r="J517" i="1"/>
  <c r="J397" i="1"/>
  <c r="I396" i="1"/>
  <c r="I246" i="1"/>
  <c r="J246" i="1" s="1"/>
  <c r="J247" i="1"/>
  <c r="I421" i="1"/>
  <c r="J324" i="1"/>
  <c r="J286" i="1"/>
  <c r="I285" i="1"/>
  <c r="J431" i="1"/>
  <c r="H430" i="1"/>
  <c r="J232" i="1"/>
  <c r="H231" i="1"/>
  <c r="J214" i="1"/>
  <c r="I213" i="1"/>
  <c r="J239" i="1"/>
  <c r="I230" i="1"/>
  <c r="H198" i="1"/>
  <c r="J198" i="1" s="1"/>
  <c r="J149" i="1"/>
  <c r="H148" i="1"/>
  <c r="J148" i="1" s="1"/>
  <c r="J126" i="1"/>
  <c r="H125" i="1"/>
  <c r="J119" i="1"/>
  <c r="I118" i="1"/>
  <c r="J118" i="1" s="1"/>
  <c r="J106" i="1"/>
  <c r="H105" i="1"/>
  <c r="J105" i="1" s="1"/>
  <c r="J98" i="1"/>
  <c r="H97" i="1"/>
  <c r="J92" i="1"/>
  <c r="H88" i="1"/>
  <c r="J88" i="1" s="1"/>
  <c r="J15" i="1"/>
  <c r="J220" i="1"/>
  <c r="H219" i="1"/>
  <c r="I189" i="1"/>
  <c r="H156" i="1"/>
  <c r="H155" i="1" s="1"/>
  <c r="H154" i="1" s="1"/>
  <c r="J213" i="1" l="1"/>
  <c r="I209" i="1"/>
  <c r="H378" i="1"/>
  <c r="J378" i="1" s="1"/>
  <c r="J379" i="1"/>
  <c r="H667" i="1"/>
  <c r="J668" i="1"/>
  <c r="I723" i="1"/>
  <c r="J204" i="1"/>
  <c r="I203" i="1"/>
  <c r="J203" i="1" s="1"/>
  <c r="J534" i="1"/>
  <c r="I533" i="1"/>
  <c r="J396" i="1"/>
  <c r="I395" i="1"/>
  <c r="J607" i="1"/>
  <c r="H606" i="1"/>
  <c r="J475" i="1"/>
  <c r="J319" i="1"/>
  <c r="H311" i="1"/>
  <c r="H310" i="1" s="1"/>
  <c r="J628" i="1"/>
  <c r="H26" i="1"/>
  <c r="J26" i="1" s="1"/>
  <c r="J27" i="1"/>
  <c r="H174" i="1"/>
  <c r="J175" i="1"/>
  <c r="J296" i="1"/>
  <c r="J447" i="1"/>
  <c r="I446" i="1"/>
  <c r="H551" i="1"/>
  <c r="J552" i="1"/>
  <c r="H714" i="1"/>
  <c r="J714" i="1" s="1"/>
  <c r="J715" i="1"/>
  <c r="H460" i="1"/>
  <c r="H459" i="1" s="1"/>
  <c r="H124" i="1"/>
  <c r="J124" i="1" s="1"/>
  <c r="J125" i="1"/>
  <c r="H429" i="1"/>
  <c r="J430" i="1"/>
  <c r="J516" i="1"/>
  <c r="I512" i="1"/>
  <c r="J512" i="1" s="1"/>
  <c r="J627" i="1"/>
  <c r="I626" i="1"/>
  <c r="I586" i="1"/>
  <c r="J586" i="1" s="1"/>
  <c r="J587" i="1"/>
  <c r="J129" i="1"/>
  <c r="I128" i="1"/>
  <c r="J128" i="1" s="1"/>
  <c r="H440" i="1"/>
  <c r="J441" i="1"/>
  <c r="I600" i="1"/>
  <c r="J601" i="1"/>
  <c r="I184" i="1"/>
  <c r="I11" i="1"/>
  <c r="H96" i="1"/>
  <c r="J97" i="1"/>
  <c r="J230" i="1"/>
  <c r="I229" i="1"/>
  <c r="H230" i="1"/>
  <c r="H229" i="1" s="1"/>
  <c r="H225" i="1" s="1"/>
  <c r="J231" i="1"/>
  <c r="J285" i="1"/>
  <c r="I284" i="1"/>
  <c r="I420" i="1"/>
  <c r="J594" i="1"/>
  <c r="I593" i="1"/>
  <c r="J697" i="1"/>
  <c r="I696" i="1"/>
  <c r="J696" i="1" s="1"/>
  <c r="J179" i="1"/>
  <c r="I178" i="1"/>
  <c r="H702" i="1"/>
  <c r="J704" i="1"/>
  <c r="J614" i="1"/>
  <c r="I613" i="1"/>
  <c r="J683" i="1"/>
  <c r="I682" i="1"/>
  <c r="H726" i="1"/>
  <c r="J727" i="1"/>
  <c r="H133" i="1"/>
  <c r="J133" i="1" s="1"/>
  <c r="J134" i="1"/>
  <c r="H140" i="1"/>
  <c r="J141" i="1"/>
  <c r="I95" i="1"/>
  <c r="J155" i="1"/>
  <c r="I154" i="1"/>
  <c r="J154" i="1" s="1"/>
  <c r="I250" i="1"/>
  <c r="J250" i="1" s="1"/>
  <c r="J251" i="1"/>
  <c r="I310" i="1"/>
  <c r="I360" i="1"/>
  <c r="J360" i="1" s="1"/>
  <c r="J575" i="1"/>
  <c r="J571" i="1"/>
  <c r="I570" i="1"/>
  <c r="J570" i="1" s="1"/>
  <c r="J382" i="1"/>
  <c r="H366" i="1"/>
  <c r="H360" i="1" s="1"/>
  <c r="J471" i="1"/>
  <c r="I470" i="1"/>
  <c r="J470" i="1" s="1"/>
  <c r="I665" i="1"/>
  <c r="J731" i="1"/>
  <c r="I730" i="1"/>
  <c r="J730" i="1" s="1"/>
  <c r="I546" i="1"/>
  <c r="H218" i="1"/>
  <c r="J219" i="1"/>
  <c r="J265" i="1"/>
  <c r="I261" i="1"/>
  <c r="J505" i="1"/>
  <c r="I504" i="1"/>
  <c r="J528" i="1"/>
  <c r="I527" i="1"/>
  <c r="H20" i="1"/>
  <c r="J21" i="1"/>
  <c r="H190" i="1"/>
  <c r="J489" i="1"/>
  <c r="I485" i="1"/>
  <c r="J485" i="1" s="1"/>
  <c r="J565" i="1"/>
  <c r="I564" i="1"/>
  <c r="J684" i="1"/>
  <c r="H355" i="1"/>
  <c r="J355" i="1" s="1"/>
  <c r="J356" i="1"/>
  <c r="H289" i="1"/>
  <c r="J290" i="1"/>
  <c r="J156" i="1"/>
  <c r="H347" i="1"/>
  <c r="J348" i="1"/>
  <c r="H692" i="1"/>
  <c r="J693" i="1"/>
  <c r="I137" i="1"/>
  <c r="J564" i="1" l="1"/>
  <c r="I563" i="1"/>
  <c r="J563" i="1" s="1"/>
  <c r="I66" i="1"/>
  <c r="J66" i="1" s="1"/>
  <c r="H434" i="1"/>
  <c r="J440" i="1"/>
  <c r="J533" i="1"/>
  <c r="I532" i="1"/>
  <c r="J532" i="1" s="1"/>
  <c r="H346" i="1"/>
  <c r="J346" i="1" s="1"/>
  <c r="J347" i="1"/>
  <c r="J504" i="1"/>
  <c r="I503" i="1"/>
  <c r="I691" i="1"/>
  <c r="J366" i="1"/>
  <c r="I612" i="1"/>
  <c r="J613" i="1"/>
  <c r="H701" i="1"/>
  <c r="J701" i="1" s="1"/>
  <c r="J702" i="1"/>
  <c r="H95" i="1"/>
  <c r="H66" i="1" s="1"/>
  <c r="J96" i="1"/>
  <c r="J626" i="1"/>
  <c r="I625" i="1"/>
  <c r="J625" i="1" s="1"/>
  <c r="H547" i="1"/>
  <c r="J551" i="1"/>
  <c r="H605" i="1"/>
  <c r="J605" i="1" s="1"/>
  <c r="J606" i="1"/>
  <c r="J20" i="1"/>
  <c r="H11" i="1"/>
  <c r="H209" i="1"/>
  <c r="H208" i="1" s="1"/>
  <c r="J218" i="1"/>
  <c r="I309" i="1"/>
  <c r="J310" i="1"/>
  <c r="H139" i="1"/>
  <c r="J140" i="1"/>
  <c r="H725" i="1"/>
  <c r="J726" i="1"/>
  <c r="J178" i="1"/>
  <c r="I172" i="1"/>
  <c r="I592" i="1"/>
  <c r="J592" i="1" s="1"/>
  <c r="J593" i="1"/>
  <c r="I283" i="1"/>
  <c r="J284" i="1"/>
  <c r="J229" i="1"/>
  <c r="I225" i="1"/>
  <c r="J225" i="1" s="1"/>
  <c r="J11" i="1"/>
  <c r="I599" i="1"/>
  <c r="J599" i="1" s="1"/>
  <c r="J600" i="1"/>
  <c r="J429" i="1"/>
  <c r="H422" i="1"/>
  <c r="J422" i="1" s="1"/>
  <c r="J446" i="1"/>
  <c r="I445" i="1"/>
  <c r="J445" i="1" s="1"/>
  <c r="I461" i="1"/>
  <c r="J395" i="1"/>
  <c r="I394" i="1"/>
  <c r="J394" i="1" s="1"/>
  <c r="I208" i="1"/>
  <c r="J208" i="1" s="1"/>
  <c r="J289" i="1"/>
  <c r="H282" i="1"/>
  <c r="H189" i="1"/>
  <c r="J190" i="1"/>
  <c r="H691" i="1"/>
  <c r="J692" i="1"/>
  <c r="J527" i="1"/>
  <c r="I526" i="1"/>
  <c r="J526" i="1" s="1"/>
  <c r="J261" i="1"/>
  <c r="I260" i="1"/>
  <c r="J260" i="1" s="1"/>
  <c r="I569" i="1"/>
  <c r="J311" i="1"/>
  <c r="J682" i="1"/>
  <c r="I681" i="1"/>
  <c r="J681" i="1" s="1"/>
  <c r="H173" i="1"/>
  <c r="J174" i="1"/>
  <c r="H666" i="1"/>
  <c r="J667" i="1"/>
  <c r="H184" i="1" l="1"/>
  <c r="J184" i="1" s="1"/>
  <c r="J189" i="1"/>
  <c r="J283" i="1"/>
  <c r="I282" i="1"/>
  <c r="J282" i="1" s="1"/>
  <c r="J612" i="1"/>
  <c r="I611" i="1"/>
  <c r="J569" i="1"/>
  <c r="I562" i="1"/>
  <c r="J209" i="1"/>
  <c r="H10" i="1"/>
  <c r="H309" i="1"/>
  <c r="J95" i="1"/>
  <c r="H172" i="1"/>
  <c r="J173" i="1"/>
  <c r="H138" i="1"/>
  <c r="J139" i="1"/>
  <c r="H665" i="1"/>
  <c r="J665" i="1" s="1"/>
  <c r="J666" i="1"/>
  <c r="H611" i="1"/>
  <c r="H724" i="1"/>
  <c r="J725" i="1"/>
  <c r="J309" i="1"/>
  <c r="J691" i="1"/>
  <c r="I460" i="1"/>
  <c r="J461" i="1"/>
  <c r="I10" i="1"/>
  <c r="J172" i="1"/>
  <c r="H546" i="1"/>
  <c r="J547" i="1"/>
  <c r="J503" i="1"/>
  <c r="I502" i="1"/>
  <c r="J502" i="1" s="1"/>
  <c r="H421" i="1"/>
  <c r="J434" i="1"/>
  <c r="H420" i="1" l="1"/>
  <c r="J420" i="1" s="1"/>
  <c r="J421" i="1"/>
  <c r="H723" i="1"/>
  <c r="J723" i="1" s="1"/>
  <c r="J724" i="1"/>
  <c r="H137" i="1"/>
  <c r="J137" i="1" s="1"/>
  <c r="J138" i="1"/>
  <c r="H545" i="1"/>
  <c r="J546" i="1"/>
  <c r="J10" i="1"/>
  <c r="I9" i="1"/>
  <c r="H9" i="1"/>
  <c r="J611" i="1"/>
  <c r="I598" i="1"/>
  <c r="J460" i="1"/>
  <c r="I459" i="1"/>
  <c r="J459" i="1" s="1"/>
  <c r="J562" i="1"/>
  <c r="I545" i="1"/>
  <c r="J545" i="1" s="1"/>
  <c r="I743" i="1" l="1"/>
  <c r="J9" i="1"/>
  <c r="H598" i="1"/>
  <c r="H743" i="1" s="1"/>
  <c r="J598" i="1" l="1"/>
  <c r="J743" i="1"/>
</calcChain>
</file>

<file path=xl/comments1.xml><?xml version="1.0" encoding="utf-8"?>
<comments xmlns="http://schemas.openxmlformats.org/spreadsheetml/2006/main">
  <authors>
    <author>ДФ-15-007</author>
  </authors>
  <commentList>
    <comment ref="H340" authorId="0" shapeId="0">
      <text>
        <r>
          <rPr>
            <b/>
            <sz val="9"/>
            <color indexed="81"/>
            <rFont val="Tahoma"/>
            <family val="2"/>
            <charset val="204"/>
          </rPr>
          <t>ДФ-15-007:</t>
        </r>
        <r>
          <rPr>
            <sz val="9"/>
            <color indexed="81"/>
            <rFont val="Tahoma"/>
            <family val="2"/>
            <charset val="204"/>
          </rPr>
          <t xml:space="preserve">
-992,9 ЦКР ремонт Лесют ДК на 2022
</t>
        </r>
      </text>
    </comment>
    <comment ref="H634" authorId="0" shapeId="0">
      <text>
        <r>
          <rPr>
            <b/>
            <sz val="9"/>
            <color indexed="81"/>
            <rFont val="Tahoma"/>
            <family val="2"/>
            <charset val="204"/>
          </rPr>
          <t>ДФ-15-007:</t>
        </r>
        <r>
          <rPr>
            <sz val="9"/>
            <color indexed="81"/>
            <rFont val="Tahoma"/>
            <family val="2"/>
            <charset val="204"/>
          </rPr>
          <t xml:space="preserve">
-100,0 ИОШ ПСД кровля
-400,0 ПСД НСШ ремонт работы</t>
        </r>
      </text>
    </comment>
    <comment ref="H635" authorId="0" shapeId="0">
      <text>
        <r>
          <rPr>
            <b/>
            <sz val="9"/>
            <color indexed="81"/>
            <rFont val="Tahoma"/>
            <family val="2"/>
            <charset val="204"/>
          </rPr>
          <t>ДФ-15-007:</t>
        </r>
        <r>
          <rPr>
            <sz val="9"/>
            <color indexed="81"/>
            <rFont val="Tahoma"/>
            <family val="2"/>
            <charset val="204"/>
          </rPr>
          <t xml:space="preserve">
ПСД ГСШ ФОКОТ 400,0
ПСД НСШ стадион 120
допработы стадион 330,1
 </t>
        </r>
      </text>
    </comment>
  </commentList>
</comments>
</file>

<file path=xl/sharedStrings.xml><?xml version="1.0" encoding="utf-8"?>
<sst xmlns="http://schemas.openxmlformats.org/spreadsheetml/2006/main" count="3784" uniqueCount="652">
  <si>
    <t>УТВЕРЖДЕНО решением Представительного Собрания Нюксенского муниципального района от ________ № _____</t>
  </si>
  <si>
    <t>Исполнение бюджета Нюксенского муниципального района по разделам, подразделам, целевым статьям и видам расходов в ведомственной структуре расходов за  2021 год</t>
  </si>
  <si>
    <t>(тыс.рублей)</t>
  </si>
  <si>
    <t>Наименование</t>
  </si>
  <si>
    <t>Ведомство</t>
  </si>
  <si>
    <t>Раздел</t>
  </si>
  <si>
    <t>Подраздел</t>
  </si>
  <si>
    <t>Целевая статья</t>
  </si>
  <si>
    <t>Вид расходов</t>
  </si>
  <si>
    <t>Утверждено тыс.руб.</t>
  </si>
  <si>
    <t>Исполнение на 1 января</t>
  </si>
  <si>
    <t>Процент исполнения год</t>
  </si>
  <si>
    <t>Администрация Нюксенского муниципального района</t>
  </si>
  <si>
    <t>068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</si>
  <si>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</si>
  <si>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</si>
  <si>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РФ , местных администраций</t>
  </si>
  <si>
    <t xml:space="preserve">01 </t>
  </si>
  <si>
    <t>04</t>
  </si>
  <si>
    <t>Резервные фонды</t>
  </si>
  <si>
    <t>70 0 00 00000</t>
  </si>
  <si>
    <t>Резервные фонды местных администраций</t>
  </si>
  <si>
    <t>70 5 00 00000</t>
  </si>
  <si>
    <t>Иные закупки товаров, работ и услуг для государственных (муниципальных) нужд</t>
  </si>
  <si>
    <t>240</t>
  </si>
  <si>
    <t>Межбюджетные трансферты из бюджетов сельских поселений района</t>
  </si>
  <si>
    <t>98 0 00 00000</t>
  </si>
  <si>
    <t>Выполнение полномочий сельских поселений по осуществлению муниципального заказа</t>
  </si>
  <si>
    <t>98 0 00 85030</t>
  </si>
  <si>
    <t>Расходы на выплаты персоналу государственных (муниципальных) органов</t>
  </si>
  <si>
    <t>120</t>
  </si>
  <si>
    <t>Выполнение полномочий сельских поселений по правовому обеспечению деятельности органов местного самоуправления</t>
  </si>
  <si>
    <t>98 0 00 85050</t>
  </si>
  <si>
    <t>Муниципальная программа "Социальная поддержка граждан и социально ориентированных некоммерческих организаций Нюксенского муниципального района на 2021-2030 годы"</t>
  </si>
  <si>
    <t>01 0 00 00000</t>
  </si>
  <si>
    <t>Подпрограмма "Социальная поддержка граждан Нюксенского муниципального района на 2021-2030 годы"</t>
  </si>
  <si>
    <t>01 1 00 00000</t>
  </si>
  <si>
    <t>Основное мероприятие "Обеспечение организации и осуществления органами местного самоуправления деятельности по опеке и попечительству"</t>
  </si>
  <si>
    <t>01 1 01 00000</t>
  </si>
  <si>
    <t>Выполнение отдельных государственных полномочий по закону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 обучающихся в федеральных образовательных учреждениях), лиц из числа детей указанных категорий"</t>
  </si>
  <si>
    <t>01 1 01 72310</t>
  </si>
  <si>
    <t>Иные закупки товаров, работ и услуг для обеспечения государственных (муниципальных) нужд</t>
  </si>
  <si>
    <t>Муниципальная программа  "Совершенствование муниципального управления в Нюксенском муниципальном районе на 2020-2024 годы"</t>
  </si>
  <si>
    <t>05 0 00 00000</t>
  </si>
  <si>
    <t>Подпрограмма "Обеспечение реализации муниципальной программы "Совершенствование муниципального управления в Нюксенском муниципальном районе на 2020-2024 годы"</t>
  </si>
  <si>
    <t>05 4 00 00000</t>
  </si>
  <si>
    <t>Основное мероприятие "Обеспечение деятельности администрации района"</t>
  </si>
  <si>
    <t>05 4 01 00000</t>
  </si>
  <si>
    <t>Расходы на обеспечение функций муниципальных органов</t>
  </si>
  <si>
    <t>05 4 01 00190</t>
  </si>
  <si>
    <t>Уплата налогов, сборов и иных платежей</t>
  </si>
  <si>
    <t>850</t>
  </si>
  <si>
    <t>Основное мероприятие "Поощрение муниципальной управленческой команды Нюксенского муниципального района"</t>
  </si>
  <si>
    <t>05 4 02 00000</t>
  </si>
  <si>
    <t>Иные межбюджетные трансферты на 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</si>
  <si>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05 4 02 55490</t>
  </si>
  <si>
    <t>Реализация расходных обязательств в части обеспечения выплаты заработной платы работникам муниципальных учреждений</t>
  </si>
  <si>
    <t>05 4 01 70030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</si>
  <si>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</si>
  <si>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05 4 01 72190</t>
  </si>
  <si>
    <t>Муниципальная программа "Обеспечение профилактики правонарушений, безопасности населения и территории Нюксенского муниципального района в 2021-2025 годах"</t>
  </si>
  <si>
    <t>09 0 00 00000</t>
  </si>
  <si>
    <t>Подпрограмма "Профилактика преступлений и иных правонарушений"</t>
  </si>
  <si>
    <t>09 1 00 00000</t>
  </si>
  <si>
    <t>Основное мероприятие "Осуществление отдельных государственных полномочий "</t>
  </si>
  <si>
    <t>09 1 05 00000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</si>
  <si>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</t>
  </si>
  <si>
    <t>09 1 05 72310</t>
  </si>
  <si>
    <t>Муниципальная программа "Охрана окружающей среды и обеспечение экологической безопасности Нюксенского муниципального района на 2021-2025 годы"</t>
  </si>
  <si>
    <t>10 0 00 00000</t>
  </si>
  <si>
    <t>Основное мероприятие "Предотвращение загрязнения окружающей среды отходами производства и потребления"</t>
  </si>
  <si>
    <t>10 2 00 00000</t>
  </si>
  <si>
    <t>Осуществление отдельных государственных полномочий в соответствии с законом области от 28 июня 2006 года № 1465-ОЗ "О наделении органов местного самоуправления отдельными государственными полномочиями в сфере охраны окружающей среды"</t>
  </si>
  <si>
    <t>10 2 00 72310</t>
  </si>
  <si>
    <t>Муниципальная программа "Информатизация Нюксенского муниципального района на 2021-2025 годы"</t>
  </si>
  <si>
    <t>18 0 00 00000</t>
  </si>
  <si>
    <t>Основное мероприятие " Повышение открытости и доступности информации о деятельности органов местного самоуправления, предоставляемых государственных и муниципальных услугах"</t>
  </si>
  <si>
    <t>18 1 00 00000</t>
  </si>
  <si>
    <t>Реализация мероприятий по развитию информационного общества</t>
  </si>
  <si>
    <t>18 1 00 20320</t>
  </si>
  <si>
    <t>Основное мероприятие "Развитие сетевой и серверной инфраструктуры органов исполнительной муниципальной власти района"</t>
  </si>
  <si>
    <t>18 2 00 00000</t>
  </si>
  <si>
    <t>Реализация мероприятий, направленных на развитие сетевой и серверной инфраструктуры органов исполнительной муниципальной власти района</t>
  </si>
  <si>
    <t>18 2 00 20330</t>
  </si>
  <si>
    <t>Судебная система</t>
  </si>
  <si>
    <t>05</t>
  </si>
  <si>
    <t>Осуществление отдельных государственных полномочий</t>
  </si>
  <si>
    <t>78 0 00 00000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</si>
  <si>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</si>
  <si>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78 0 00 51200</t>
  </si>
  <si>
    <t>11</t>
  </si>
  <si>
    <t>Резервные средства</t>
  </si>
  <si>
    <t>870</t>
  </si>
  <si>
    <t>Другие общегосударственные вопросы</t>
  </si>
  <si>
    <t>13</t>
  </si>
  <si>
    <t>Иные выплаты населению за счет средств резервного фонда</t>
  </si>
  <si>
    <t>360</t>
  </si>
  <si>
    <t>Реализация муниципальных функций, связанных с решением вопросов местного значения</t>
  </si>
  <si>
    <t>97 0 00 00000</t>
  </si>
  <si>
    <t>Мероприятия, связанные с градостроительной деятельностью района</t>
  </si>
  <si>
    <t>97 0 00 21140</t>
  </si>
  <si>
    <t>540</t>
  </si>
  <si>
    <t>Мероприятия, связанные с выполнением работ по мобилизационной подготовке</t>
  </si>
  <si>
    <t>97 0 00 21170</t>
  </si>
  <si>
    <t>Осуществление отдельных государственных полномочий в соответствии с законом области от 10 апреля 2020 года № 4687-ОЗ "О наделении органов местного самоуправления Вологодской области отдельными государственными полномочиями по подготовке и проведению Всероссийской переписи населения 2020 года"</t>
  </si>
  <si>
    <t>97 0 00 54690</t>
  </si>
  <si>
    <t>Ежемесячное денежное вознаграждение лицам, удостоенным звания "Почетный гражданин Нюксенского муниципального района"</t>
  </si>
  <si>
    <t>97 0 00 80020</t>
  </si>
  <si>
    <t>Публичные нормативные выплаты гражданам несоциального характера</t>
  </si>
  <si>
    <t>330</t>
  </si>
  <si>
    <t>Подпрограмма "Поддержка социально-ориентированных некоммерческих организаций Нюксенского муниципального района на 2021-2030 годы"</t>
  </si>
  <si>
    <t>01 2 00 00000</t>
  </si>
  <si>
    <t>Основное мероприятие "Предоставление финансовой и имущественной поддержки социально ориентированным некоммерческим организациям"</t>
  </si>
  <si>
    <t>01 2 01 00000</t>
  </si>
  <si>
    <t xml:space="preserve">Предоставление субсидий социально ориентированным некоммерческим организациям </t>
  </si>
  <si>
    <t>01 2 01 25150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</si>
  <si>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</si>
  <si>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</si>
  <si>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Основное мероприятие "Организация свободного времени и культурного досуга и меры по укреплению здоровья граждан пожилого возраста"</t>
  </si>
  <si>
    <t>01 2 02 00000</t>
  </si>
  <si>
    <t>01 2 02 25150</t>
  </si>
  <si>
    <t>Муниципальная программа  "Здоровье нюксян на 2019-2025 годы"</t>
  </si>
  <si>
    <t>02 0 00 00000</t>
  </si>
  <si>
    <t>Основное мероприятие "Формирование здорового образа жизни населения района"</t>
  </si>
  <si>
    <t>02 1 00 00000</t>
  </si>
  <si>
    <t>Реализация мероприятий, направленных на формирование здорового образа жизни населения района</t>
  </si>
  <si>
    <t>02 1 00 29070</t>
  </si>
  <si>
    <t xml:space="preserve">Субсидии бюджетным учреждениям </t>
  </si>
  <si>
    <t>610</t>
  </si>
  <si>
    <t>Основное мероприятие "Реализация мероприятий, направленных на развитие кадрового потенциала в области здравоохранения"</t>
  </si>
  <si>
    <t>16 2 00 00000</t>
  </si>
  <si>
    <t>Реализация мероприятий, направленных на развитие кадрового потенциала</t>
  </si>
  <si>
    <t>16 2 00 29030</t>
  </si>
  <si>
    <t>Подпрограмма "Развитие кадрового потенциала в Нюксенском муниципальном районе"</t>
  </si>
  <si>
    <t>05 1 00 00000</t>
  </si>
  <si>
    <t>Основное мероприятие "Привлечение квалифицированных специалистов на территорию района"</t>
  </si>
  <si>
    <t>05 1 01 00000</t>
  </si>
  <si>
    <t>Ежемесячная денежная выплата студентам, заключившим договора с администрацией района</t>
  </si>
  <si>
    <t>05 1 01 80800</t>
  </si>
  <si>
    <t>Мероприятия, направленные на стимулирование кадров</t>
  </si>
  <si>
    <t>22 1 01 20810</t>
  </si>
  <si>
    <t>Основное мероприятие "Совершенствование и повышение профессионального уровня кадров"</t>
  </si>
  <si>
    <t>05 1 02 00000</t>
  </si>
  <si>
    <t xml:space="preserve">Мероприятия, направленные на повышение квалификационного уровня </t>
  </si>
  <si>
    <t>05 1 02 20800</t>
  </si>
  <si>
    <t>Подпрограмма "Обеспечение защиты прав и законных интересов граждан, общества от угроз, связанных с коррупцией"</t>
  </si>
  <si>
    <t>05 2 00 00000</t>
  </si>
  <si>
    <t>Основное мероприятие "Организация правового просвещения и правового информирования граждан по вопросам противодействия коррупции"</t>
  </si>
  <si>
    <t>05 2 01 00000</t>
  </si>
  <si>
    <t>Мероприятия по противодействию коррупции</t>
  </si>
  <si>
    <t>05 2 01 20240</t>
  </si>
  <si>
    <t>Подпрограмма "Совершенствование процессов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</t>
  </si>
  <si>
    <t>05 3 00 00000</t>
  </si>
  <si>
    <t>Основное мероприятие "Организация деятельности по оказанию государственных и муниципальных услуг (выполнению работ) муниципальным учреждением  "МФЦ Нюксенского муниципального района"</t>
  </si>
  <si>
    <t>05 3 01 00000</t>
  </si>
  <si>
    <t>Расходы на обеспечение деятельности (оказание услуг) муниципальных учреждений</t>
  </si>
  <si>
    <t>05 3 01 00590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</si>
  <si>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</si>
  <si>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</si>
  <si>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от 10 декабря 2014 года №3526-ОЗ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</si>
  <si>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05 3 01 72250</t>
  </si>
  <si>
    <t>Членский взнос в ассоциацию муниципальных образований</t>
  </si>
  <si>
    <t>05 4 01 21010</t>
  </si>
  <si>
    <t>Членский взнос в ассоциацию "Здоровые города, районы и поселки"</t>
  </si>
  <si>
    <t>05 4 01 21020</t>
  </si>
  <si>
    <t>Муниципальная программа "Развитие культуры и туризма Нюксенского муниципального района на 2021-2025 годы"</t>
  </si>
  <si>
    <t>06 0 00 00000</t>
  </si>
  <si>
    <t>Основное мероприятие "Развитие туристического потенциала в Нюксенском муниципальном районе"</t>
  </si>
  <si>
    <t>06 6 00 00000</t>
  </si>
  <si>
    <t>Учреждения культуры</t>
  </si>
  <si>
    <t>06 6 00 01590</t>
  </si>
  <si>
    <t>Субсидии бюджетным учреждениям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</si>
  <si>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</si>
  <si>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09 3 00 00000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</si>
  <si>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</si>
  <si>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09 3 01 00000</t>
  </si>
  <si>
    <t>Мероприятия по информационному обеспечению (публикация статей по проблемам подростковой преступности, наркомании и токсикомании среди молодежи, пропаганде здорового образа жизни подростков и молодежи, их ориентации на духовные ценности)</t>
  </si>
  <si>
    <t>09 3 01 23090</t>
  </si>
  <si>
    <t>Муниципальная программа "Совершенствование системы управления и распоряжения земельно-имущественным комплексом района на 2021-2025 годы"</t>
  </si>
  <si>
    <t>16 0 00 00000</t>
  </si>
  <si>
    <t>Основное мероприятие "Содержание имущества, находящегося в муниципальной собственности"</t>
  </si>
  <si>
    <t>Мероприятия в сфере управления и распоряжения имуществом, земельными ресурсами</t>
  </si>
  <si>
    <t>16 2 00 20500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</si>
  <si>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</si>
  <si>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</si>
  <si>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</si>
  <si>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</si>
  <si>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Подпрограмма "Развитие системы комплексной безопасности жизнедеятельности населения района на 2021-2025 годы"</t>
  </si>
  <si>
    <t>09 2 00 00000</t>
  </si>
  <si>
    <t>Основное мероприятие "Обеспечение деятельности ЕДДС"</t>
  </si>
  <si>
    <t>09 2 01 00000</t>
  </si>
  <si>
    <t>Мероприятия по снижению  рисков и смягчению последствий чрезвычайных ситуаций природного и техногенного характера</t>
  </si>
  <si>
    <t>09 2 01 23040</t>
  </si>
  <si>
    <t>Основное мероприятие "Обеспечение прогнозных данных для принятия предупредительных мер"</t>
  </si>
  <si>
    <t>09 2 02 00000</t>
  </si>
  <si>
    <t>09 2 02 23040</t>
  </si>
  <si>
    <t>Основное мероприятие "Обеспечение безопасности граждан труднодоступных населенных пунктов"</t>
  </si>
  <si>
    <t>09 2 03 00000</t>
  </si>
  <si>
    <t>09 2 03 23040</t>
  </si>
  <si>
    <t>Основное мероприятие "Ликвидация чрезвычайных ситуаций природного и техногенного характера"</t>
  </si>
  <si>
    <t>09 2 04 00000</t>
  </si>
  <si>
    <t>Мероприятия по ликвидации чрезвычайных ситуаций локального и муниципального характера</t>
  </si>
  <si>
    <t>09 2 04 23050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</si>
  <si>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</si>
  <si>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</si>
  <si>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"Воссоздание института социальной профилактики и вовлечение общественности в предупреждение правонарушений"</t>
  </si>
  <si>
    <t>09 1 01 00000</t>
  </si>
  <si>
    <t>Мероприятия по профилактики преступлений и иных правонарушений</t>
  </si>
  <si>
    <t>09 1 01 23060</t>
  </si>
  <si>
    <t>Иные выплаты населению</t>
  </si>
  <si>
    <t>Основное мероприятие "Профилактика правонарушений несовершеннолетних и молодежи"</t>
  </si>
  <si>
    <t>09 1 02 00000</t>
  </si>
  <si>
    <t>09 1 02 23060</t>
  </si>
  <si>
    <t>Основное мероприятие "Предупреждение терроризма и экстремизма"</t>
  </si>
  <si>
    <t>09 1 03 00000</t>
  </si>
  <si>
    <t>09 1 03 23060</t>
  </si>
  <si>
    <t>Внедрение и (или) эксплуатация аппаратно-программного комплекса "Безопасный город"</t>
  </si>
  <si>
    <t>09 1 03 S1060</t>
  </si>
  <si>
    <t>Основное мероприятие "Обеспечение социальной адаптации и реабилитации лиц, отбывших наказание в местах лишения свободы"</t>
  </si>
  <si>
    <t>09 1 04 00000</t>
  </si>
  <si>
    <t>09 1 04 23060</t>
  </si>
  <si>
    <t>Национальная экономика</t>
  </si>
  <si>
    <t>Общеэкономические вопросы</t>
  </si>
  <si>
    <t>Муниципальная программа "Содействие занятости населения Нюксенского муниципального района на 2021-2025 годы"</t>
  </si>
  <si>
    <t>13 0 00 00000</t>
  </si>
  <si>
    <t>Основное мероприятие "Создание рабочих мест для организации временного трудоустройства несовершеннолетних граждан"</t>
  </si>
  <si>
    <t>13 1 00 00000</t>
  </si>
  <si>
    <t xml:space="preserve">Мероприятия по содействию занятости населения </t>
  </si>
  <si>
    <t>13 1 00 24010</t>
  </si>
  <si>
    <t>Транспорт</t>
  </si>
  <si>
    <t>08</t>
  </si>
  <si>
    <t>Муниципальная программа "Дорожная сеть и транспортное обслуживание в 2021-2025 годах"</t>
  </si>
  <si>
    <t>11 0 00 00000</t>
  </si>
  <si>
    <t>Подпрограмма "Транспортное обслуживание населения"</t>
  </si>
  <si>
    <t>11 2 00 00000</t>
  </si>
  <si>
    <t>Основное мероприятие "Муниципальная поддержка  транспортных организаций"</t>
  </si>
  <si>
    <t>11 2 01 00000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</si>
  <si>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</si>
  <si>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11 2 01 S1370</t>
  </si>
  <si>
    <t>Дорожное хозяйство (дорожные фонды)</t>
  </si>
  <si>
    <t>Муниципальная программа "Формирование законопослушного поведения участников дорожного движения на территории Нюксенского муниципального района на 2019-2030 годы"</t>
  </si>
  <si>
    <t>03 0 00 00000</t>
  </si>
  <si>
    <t>Основное мероприятие  "Безопасность дорожного движения"</t>
  </si>
  <si>
    <t>03 2 00 00000</t>
  </si>
  <si>
    <t>Мероприятия по профилактике дорожно-транспортных происшествий</t>
  </si>
  <si>
    <t>03 2 00 23070</t>
  </si>
  <si>
    <t>Подпрограмма "Автомобильные дороги"</t>
  </si>
  <si>
    <t>11 1 00 00000</t>
  </si>
  <si>
    <t>Основное мероприятие "Ремонт и капитальный ремонт автомобильных дорог и искусственных сооружений"</t>
  </si>
  <si>
    <t>11 1 01 00000</t>
  </si>
  <si>
    <t>Выполнение работ по ремонту и капитальному ремонту автомобильных дорог и искусственных сооружений</t>
  </si>
  <si>
    <t>11 1 01 41300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</si>
  <si>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"Дорожная сеть и транспортное обслуживание в 2021-2025 годах"</t>
  </si>
  <si>
    <t>11 1 01 S1350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</si>
  <si>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за счет бюджетных ассигнований Дорожного фонда Вологодской области в рамках подпрограммы "Автомобильные дороги" государственной программы "Дорожная сеть и транспортное обслуживание в 2021-2025 годах"</t>
  </si>
  <si>
    <t>11 1 01 S1360</t>
  </si>
  <si>
    <t>Основное мероприятие "Содержание автомобильных дорог и искусственных сооружений"</t>
  </si>
  <si>
    <t>11 1 02 00000</t>
  </si>
  <si>
    <t>Выполнение работ по содержанию автомобильных дорог и  искусственных сооружений</t>
  </si>
  <si>
    <t>11 1 02 41200</t>
  </si>
  <si>
    <t>11 1 02 S1350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</si>
  <si>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</si>
  <si>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</si>
  <si>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Нюксенском муниципальном районе на 2021-2025 годы"</t>
  </si>
  <si>
    <t>14 0 00 00000</t>
  </si>
  <si>
    <t>Основное мероприятие "Создание условий для развития мобильной торговли в малонаселенных и труднодоступных населенных пунктах"</t>
  </si>
  <si>
    <t>14 4 00 00000</t>
  </si>
  <si>
    <t>Развитие мобильной торговли в малонаселенных и труднодоступных населенных пунктах</t>
  </si>
  <si>
    <t>14 4 00 S1250</t>
  </si>
  <si>
    <t>Жилищно-коммунальное хозяйство</t>
  </si>
  <si>
    <t>Жилищное хозяйство</t>
  </si>
  <si>
    <t>Муниципальная программа "Развитие топливно-энергетического комплекса и коммунальной инфраструктуры на территории Нюксенского муниципального района на 2021-2025 годы"</t>
  </si>
  <si>
    <t>12 0 00 00000</t>
  </si>
  <si>
    <t>Подпрограмма "Энергосбережение и повышение энергетической эффективности на территории Нюксенского района"</t>
  </si>
  <si>
    <t>12 1 00 00000</t>
  </si>
  <si>
    <t>Основное мероприятие "Подготовка объектов теплоэнергетики к работе в осенне-зимний период"</t>
  </si>
  <si>
    <t>12 1 01 00000</t>
  </si>
  <si>
    <t>Мероприятия в области энергосбережения</t>
  </si>
  <si>
    <t>12 1 01 20560</t>
  </si>
  <si>
    <t>Муниципальная программа "Обеспечение населения Нюксенского муниципального района доступным жильем и создание благоприятных условий проживания на 2021-2025 годы"</t>
  </si>
  <si>
    <t>19 0 00 00000</t>
  </si>
  <si>
    <t>Основное мероприятие "Капитальный и текущий ремонт объектов жилищного фонда"</t>
  </si>
  <si>
    <t>19 2 00 00000</t>
  </si>
  <si>
    <t>Мероприятия, связанные с капитальным и текущем ремонтом объектов жилищного фонда</t>
  </si>
  <si>
    <t>19 2 00 20570</t>
  </si>
  <si>
    <t>Основное мероприятие "Обеспечение устойчивого сокращения непригодного для проживания жилищного фонда"</t>
  </si>
  <si>
    <t>19 3 F3 00000</t>
  </si>
  <si>
    <t>Реализация 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</t>
  </si>
  <si>
    <t>19 3 F3 67484</t>
  </si>
  <si>
    <t>Бюджетные инвестиции</t>
  </si>
  <si>
    <t>410</t>
  </si>
  <si>
    <t>Коммунальное хозяйство</t>
  </si>
  <si>
    <t>02</t>
  </si>
  <si>
    <t>Мероприятия, связанные с поддержкой муниципальных предприятий в области ЖКХ</t>
  </si>
  <si>
    <t>97 0 00 21190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</si>
  <si>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</si>
  <si>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</si>
  <si>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Бюджетные инвестиции
</t>
  </si>
  <si>
    <t>Основное мероприятие "Ремонты систем водоснабжения и водоотведения на территории Нюксенского района"</t>
  </si>
  <si>
    <t>12 1 02 00000</t>
  </si>
  <si>
    <t>12 1 02 20560</t>
  </si>
  <si>
    <t>Основное мероприятие "Реализация проекта "Народный бюджет"</t>
  </si>
  <si>
    <t>12 1 03 00000</t>
  </si>
  <si>
    <t>Мероприятия, связанные с реализацией проекта "Народный бюджет"</t>
  </si>
  <si>
    <t>12 1 03 S2270</t>
  </si>
  <si>
    <t>Подпрограмма"Развитие жилищно-коммунальной инфраструктуры района"</t>
  </si>
  <si>
    <t>12 2 00 00000</t>
  </si>
  <si>
    <t>Основное мероприятие "Строительство, реконструкция и модернизация объектов жилищно-коммунальной инфраструктуры района"</t>
  </si>
  <si>
    <t>12 2 01 00000</t>
  </si>
  <si>
    <t>12 2 01 20560</t>
  </si>
  <si>
    <t>Муниципальная программа "Комплексное развитие сельских территорий Нюксенского района Вологодской области на 2020-2025 годы"</t>
  </si>
  <si>
    <t>20 0 00 00000</t>
  </si>
  <si>
    <t>Основное мероприятие "Создание и развитие социальной, инженерной и транспортной инфраструктур на сельских территориях"</t>
  </si>
  <si>
    <t>20 2 00 00000</t>
  </si>
  <si>
    <t>Обеспечение комплексного развития сельских территорий</t>
  </si>
  <si>
    <t>20 2 00 L5769</t>
  </si>
  <si>
    <t>Благоустройство</t>
  </si>
  <si>
    <t>Муниципальная программа "Формирование современной городской среды на территории Нюксенского муниципального района на 2018-2024 годы"</t>
  </si>
  <si>
    <t>04 0 00 00000</t>
  </si>
  <si>
    <t>Основное мероприятие "Благоустройство общественных территорий"</t>
  </si>
  <si>
    <t>04 1 00 00000</t>
  </si>
  <si>
    <t>Реализация регионального проекта "Формирование комфортной городской среды" в части благоустройства общественных территорий муниципальных образований области</t>
  </si>
  <si>
    <t>04 1 F2 00000</t>
  </si>
  <si>
    <t>Проведение мероприятий по благоустройству общественных территорий</t>
  </si>
  <si>
    <t>04 1 F2 55552</t>
  </si>
  <si>
    <t>Основное мероприятие "Благоустройство дворовых территорий "</t>
  </si>
  <si>
    <t>04 2 00 00000</t>
  </si>
  <si>
    <t>Реализация регионального проекта "Формирование комфортной городской среды" в части благоустройства дворовых территорий муниципальных образований области</t>
  </si>
  <si>
    <t>04 2 F2 00000</t>
  </si>
  <si>
    <t>Проведение мероприятий по благоустройству дворовых территорий</t>
  </si>
  <si>
    <t>04 2 F2 55551</t>
  </si>
  <si>
    <t>Охрана окружающей среды</t>
  </si>
  <si>
    <t>06</t>
  </si>
  <si>
    <t>Другие вопросы в области охраны окружающей среды</t>
  </si>
  <si>
    <t>Основное мероприятие "Обустройство и охрана особо охраняемых природных территорий"</t>
  </si>
  <si>
    <t>06 4 00 00000</t>
  </si>
  <si>
    <t>Природоохранные мероприятия</t>
  </si>
  <si>
    <t>06 4 00 20110</t>
  </si>
  <si>
    <t>Основное мероприятие "Охрана и рациональное использование водных ресурсов"</t>
  </si>
  <si>
    <t>10 1 00 00000</t>
  </si>
  <si>
    <t>10 1 00 20110</t>
  </si>
  <si>
    <t>10 2 00 20110</t>
  </si>
  <si>
    <t>Мероприятия по разработке проекта рекультивации земельных участков, занятых несанкционированными свалками</t>
  </si>
  <si>
    <t>10 2 00 S3370</t>
  </si>
  <si>
    <t>27 2 00 72180</t>
  </si>
  <si>
    <t>Основное мероприятие "Экологическое образование, просвещение и информирование населения"</t>
  </si>
  <si>
    <t>10 3 00 00000</t>
  </si>
  <si>
    <t>10 3 00 20110</t>
  </si>
  <si>
    <t>10 4 00 00000</t>
  </si>
  <si>
    <t>10 4 00 20110</t>
  </si>
  <si>
    <t>Образование</t>
  </si>
  <si>
    <t>07</t>
  </si>
  <si>
    <t>Общее образование</t>
  </si>
  <si>
    <t>Муниципальная программа "Развитие образования Нюксенского муниципального района на 2021-2025 годы"</t>
  </si>
  <si>
    <t>08 0 00 00000</t>
  </si>
  <si>
    <t>Подпрограмма "Развитие дошкольного, общего и дополнительного образования детей"</t>
  </si>
  <si>
    <t>08 1 00 00000</t>
  </si>
  <si>
    <t>Основное мероприятие "Строительство, реконструкция, капитальный ремонт и ремонт образовательных организаций"</t>
  </si>
  <si>
    <t>08 1 08 00000</t>
  </si>
  <si>
    <t>Мероприятия по разработке проектно-сметной документации на строительство, реконструкцию, капитальный ремонт и ремонт образовательных организаций муниципальной собственности</t>
  </si>
  <si>
    <t>08 1 08 13600</t>
  </si>
  <si>
    <t>Дополнительное образование детей</t>
  </si>
  <si>
    <t>Основное мероприятие "Организация предоставления дополнительного образования"</t>
  </si>
  <si>
    <t xml:space="preserve">Учреждения по внешкольной работе с детьми </t>
  </si>
  <si>
    <t>06 4 00 15590</t>
  </si>
  <si>
    <t>06 4 00 70030</t>
  </si>
  <si>
    <t>Молодёжная политика</t>
  </si>
  <si>
    <t>Муниципальная программа "Развитие молодежной политики в Нюксенском муниципальном районе на 2021-2025 годы"</t>
  </si>
  <si>
    <t>17 0 00 00000</t>
  </si>
  <si>
    <t>Основное мероприятие "Вовлечение молодежи в общественно-политическую жизнь, повышение гражданской активности молодых граждан"</t>
  </si>
  <si>
    <t>17 1 00 00000</t>
  </si>
  <si>
    <t>Проведение мероприятий для детей и молодежи</t>
  </si>
  <si>
    <t>17 1 00 20590</t>
  </si>
  <si>
    <t>Основное мероприятие "Формирование системы информирования подростков и молодежи об общественных движениях, социальных инициативах в сфере молодежной политики"</t>
  </si>
  <si>
    <t>17 2 00 00000</t>
  </si>
  <si>
    <t>17 2 00 20590</t>
  </si>
  <si>
    <t>Другие вопросы в области образования</t>
  </si>
  <si>
    <t>Культура, кинематография</t>
  </si>
  <si>
    <t>Культура</t>
  </si>
  <si>
    <t>Основное мероприятие "Сохранение, пополнение и популяризация музейных предметов и музейных коллекций"</t>
  </si>
  <si>
    <t>06 1 00 00000</t>
  </si>
  <si>
    <t>06 1 00 01590</t>
  </si>
  <si>
    <t>06 1 00 70030</t>
  </si>
  <si>
    <t>Мероприятия, направленные на государственную поддержку лучших работников сельских учреждений культуры и лучших сельских учреждений культуры</t>
  </si>
  <si>
    <t>06 1 A2 00000</t>
  </si>
  <si>
    <t>06 1 A2 55192</t>
  </si>
  <si>
    <t>Основное мероприятие "Выявление, изучение, сохранение, развитие и популяризация объектов нематериального культурного наследия Нюксенского района в области традиционной народной культуры"</t>
  </si>
  <si>
    <t>06 2 00 00000</t>
  </si>
  <si>
    <t>06 2 00 01590</t>
  </si>
  <si>
    <t>06 2 00 70030</t>
  </si>
  <si>
    <t>Основное мероприятие "Развитие библиотечного дела"</t>
  </si>
  <si>
    <t>06 3 00 00000</t>
  </si>
  <si>
    <t>06 3 00 01590</t>
  </si>
  <si>
    <t>06 3 00 70030</t>
  </si>
  <si>
    <t>Мероприятия, направленные  на комплектование книжных фондов муниципальных библиотек</t>
  </si>
  <si>
    <t>06 3 00 74090</t>
  </si>
  <si>
    <t>Мероприятия по обеспечению развития и укрепления материально-технической базы сельских библиотек</t>
  </si>
  <si>
    <t>06 3 00 S1900</t>
  </si>
  <si>
    <t>Основное мероприятие "Организация и проведение культурных проектов, мероприятий, посвященных праздничным и памятным датам"</t>
  </si>
  <si>
    <t>06 5 00 00000</t>
  </si>
  <si>
    <t>Мероприятия в сфере культуры</t>
  </si>
  <si>
    <t>06 5 00 28010</t>
  </si>
  <si>
    <t>06 5 00 01590</t>
  </si>
  <si>
    <t>06 5 00 70030</t>
  </si>
  <si>
    <t>Основное мероприятие "Создание и модернизация учреждений культурно-досугового типа в сельской местности"</t>
  </si>
  <si>
    <t>06 7 00 00000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</si>
  <si>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</t>
  </si>
  <si>
    <t>06 7 А1 00000</t>
  </si>
  <si>
    <t>06 7 А1 S1800</t>
  </si>
  <si>
    <t>Другие вопросы в области культуры, кинематографии</t>
  </si>
  <si>
    <t>Основное мероприятие "Строительство культурно-досуговых учреждений"</t>
  </si>
  <si>
    <t>06 8 00 00000</t>
  </si>
  <si>
    <t>06 8 00 28010</t>
  </si>
  <si>
    <t>Строительство культурно-досугового центра в с.Нюксеница</t>
  </si>
  <si>
    <t>06 8 00 S3280</t>
  </si>
  <si>
    <t>01 1 07 28010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</si>
  <si>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</si>
  <si>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</si>
  <si>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</si>
  <si>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78 0 00 72230</t>
  </si>
  <si>
    <t>Социальная политика</t>
  </si>
  <si>
    <t>10</t>
  </si>
  <si>
    <t>Пенсионное обеспечение</t>
  </si>
  <si>
    <t>Обеспечение публичных обязательств Нюксенского муниципального района</t>
  </si>
  <si>
    <t>79 0 00 00000</t>
  </si>
  <si>
    <t xml:space="preserve">Доплаты к пенсиям </t>
  </si>
  <si>
    <t>79 0 00 80010</t>
  </si>
  <si>
    <t>Публичные нормативные социальные выплаты гражданам</t>
  </si>
  <si>
    <t>310</t>
  </si>
  <si>
    <t>Социальное обеспечение населения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</si>
  <si>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</si>
  <si>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78 0 00 51350</t>
  </si>
  <si>
    <t>Социальные выплаты гражданам, кроме публичных нормативных социальных выплат</t>
  </si>
  <si>
    <t>320</t>
  </si>
  <si>
    <t>Основное мероприятие "Обеспечение мер социальной поддержки отдельным категориям граждан"</t>
  </si>
  <si>
    <t>01 1 02 00000</t>
  </si>
  <si>
    <t>Мероприятия в области социальной политики</t>
  </si>
  <si>
    <t>01 1 02 25140</t>
  </si>
  <si>
    <t>Основное мероприятие "Оказание поддержки отдельным категориям граждан в приобретении жилья"</t>
  </si>
  <si>
    <t>19 1 00 00000</t>
  </si>
  <si>
    <t>Предоставление социальных выплат молодым семьям – участникам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и подпрограммы "Создание условий для обеспечения доступным жильем граждан области" государственной программы Вологодской области "Обеспечение населения Вологодской области доступным жильем и создание благоприятных условий проживания на 2021-2025 годы"</t>
  </si>
  <si>
    <t>19 1 00 L4970</t>
  </si>
  <si>
    <t>Основное мероприятие "Оказание содействия в обеспечении сельского населения доступным и комфортным жильем"</t>
  </si>
  <si>
    <t>20 1 00 00000</t>
  </si>
  <si>
    <t>Улучшение жилищных условий граждан, проживающих на сельских территориях</t>
  </si>
  <si>
    <t>20 1 00 L5764</t>
  </si>
  <si>
    <t>Другие вопросы в области социальной политики</t>
  </si>
  <si>
    <t>Муниципальная программа "Социальная поддержка граждан Нюксенского района на 2019-2030 годы"</t>
  </si>
  <si>
    <t>Основное мероприятие "Обеспечение доступа граждан пожилого возраста к информационным услугам"</t>
  </si>
  <si>
    <t>09 2 00 25140</t>
  </si>
  <si>
    <t>Основное мероприятие "Организация свободного времени и культурного досуга и меры по укреплению здоровья граждан пожилого возраста "</t>
  </si>
  <si>
    <t>09 3 00 25140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</si>
  <si>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</si>
  <si>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</si>
  <si>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Нюксенском муниципальном районе на 2021-2025 годы"</t>
  </si>
  <si>
    <t>07 0 00 00000</t>
  </si>
  <si>
    <t>Основное мероприятие "Физическое воспитание и обеспечение организации проведения физкультурных мероприятий и массовых спортивных мероприятий"</t>
  </si>
  <si>
    <t>07 1 00 00000</t>
  </si>
  <si>
    <t>07 1 00 00590</t>
  </si>
  <si>
    <t>07 1 00 70030</t>
  </si>
  <si>
    <t>Мероприятия в области физической культуры и спорта</t>
  </si>
  <si>
    <t>07 1 00 20600</t>
  </si>
  <si>
    <t>Мероприятия по организации и проведению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</si>
  <si>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>07 1 00 S1760</t>
  </si>
  <si>
    <t>Другие вопросы в области физической культуры и спорта</t>
  </si>
  <si>
    <t>Муниципальная программа "Развитие спорта и молодежной политики в Нюксенском муниципальном районе на 2016-2020 годы"</t>
  </si>
  <si>
    <t>Подпрограмма "Физическая культура и массовый спорт"</t>
  </si>
  <si>
    <t>Основное мероприятие "Строительство объектов физической культуры и спорта"</t>
  </si>
  <si>
    <t>02 1 02 00000</t>
  </si>
  <si>
    <t>Строительство навеса (покрытия) ледового катка в с.Нюксеница</t>
  </si>
  <si>
    <t>02 1 02 S3280</t>
  </si>
  <si>
    <t>Строительство и реконструкция объектов физической культуры и спорта муниципальной собственности</t>
  </si>
  <si>
    <t>02 1 02 S3240</t>
  </si>
  <si>
    <t>07 2 00 00000</t>
  </si>
  <si>
    <t>07 2 00 S3240</t>
  </si>
  <si>
    <t>Представительное Собрание Нюксенского муниципального района</t>
  </si>
  <si>
    <t>209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</si>
  <si>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</si>
  <si>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органов муниципальной власти</t>
  </si>
  <si>
    <t>91 0 00 00000</t>
  </si>
  <si>
    <t>Глава муниципального образования</t>
  </si>
  <si>
    <t>91 1 00 00000</t>
  </si>
  <si>
    <t>91 1 00 00190</t>
  </si>
  <si>
    <t>91 1 00 70030</t>
  </si>
  <si>
    <t>Муниципальная программа "Совершенствование муниципального управления в Нюксенском муниципальном районе на 2020-2024 годы"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</si>
  <si>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</si>
  <si>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представительных  органов муниципальной власти</t>
  </si>
  <si>
    <t>92 0 00 00000</t>
  </si>
  <si>
    <t>92 0 00 00190</t>
  </si>
  <si>
    <t xml:space="preserve">Контрольно-счетная палата </t>
  </si>
  <si>
    <t>805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</si>
  <si>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</si>
  <si>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91 0 00 00190</t>
  </si>
  <si>
    <t>91 0 00 55490</t>
  </si>
  <si>
    <t>Выполнение полномочий сельских поселений по осуществлению внешнего муниципального финансового контроля</t>
  </si>
  <si>
    <t>98 0 00 85010</t>
  </si>
  <si>
    <t>Финансовое управление администрации Нюксенского муниципального района</t>
  </si>
  <si>
    <t>047</t>
  </si>
  <si>
    <t>Осуществление отдельных государственных полномочий в соответствии с законом области от 5 октября 2006 года № 1501-ОЗ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регулирования цен (тарифов)" за счет средств единой субвенции</t>
  </si>
  <si>
    <t>78 0 00 72310</t>
  </si>
  <si>
    <t>Выполнение полномочий сельских поселений по внутреннему муниципальному финансовому контролю</t>
  </si>
  <si>
    <t>98 0 00 85020</t>
  </si>
  <si>
    <t>Выполнение полномочий сельских поселений по составлению и рассмотрению проекта бюджета, утверждению и исполнению бюджета, осуществлению контроля за его исполнением, составлению и утверждению отчета об исполнении бюджета</t>
  </si>
  <si>
    <t>98 0 00 85040</t>
  </si>
  <si>
    <t>Муниципальная программа "Управление муниципальными финансами Нюксенского муниципального района на 2021-2025 годы"</t>
  </si>
  <si>
    <t>15 0 00 00000</t>
  </si>
  <si>
    <t>Основное мероприятие "Обеспечение деятельности финансового управления администрации района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бюджета"</t>
  </si>
  <si>
    <t>15 4 00 00000</t>
  </si>
  <si>
    <t>15 4 00 00190</t>
  </si>
  <si>
    <t>Мероприятия, направленные на повышение квалификационного уровня муниципальных служащих</t>
  </si>
  <si>
    <t>15 4 00 20800</t>
  </si>
  <si>
    <t>15 4 00 55490</t>
  </si>
  <si>
    <t>Иные межбюджетные трансферты</t>
  </si>
  <si>
    <t>Членский взнос в НП "Сообщество финансистов России"</t>
  </si>
  <si>
    <t>15 4 00 20820</t>
  </si>
  <si>
    <t>Основное мероприятие "Организация работы казенного учреждения "Межведомственная централизованная бухгалтерия Нюксенского муниципального района"</t>
  </si>
  <si>
    <t>15 5 00 00000</t>
  </si>
  <si>
    <t>15 5 00 00590</t>
  </si>
  <si>
    <t>15 5 00 70030</t>
  </si>
  <si>
    <t>Выполнение полномочий сельских поселений по исполнению местного бюджета в части ведения  бюджетного (бухгалтерского) и составления отчетности</t>
  </si>
  <si>
    <t>15 5 00 85070</t>
  </si>
  <si>
    <t>Основное мероприятие "Развитие малого  предпринимательства (грантовая поддержка)"</t>
  </si>
  <si>
    <t>11 3 00 00000</t>
  </si>
  <si>
    <t xml:space="preserve">Грантовая поддержка субъектов малого  предпринимательства </t>
  </si>
  <si>
    <t>11 3 00 20470</t>
  </si>
  <si>
    <t>Основное мероприятие "Создание условий для малого и среднего предпринимательства, направленных на формирование положительного образа предпринимателя, популяризации роли предпринимательства"</t>
  </si>
  <si>
    <t>14 1 00 00000</t>
  </si>
  <si>
    <t>Мероприятия по популяризации роли предпринимательства</t>
  </si>
  <si>
    <t>14 1 00 20450</t>
  </si>
  <si>
    <t>Основное мероприятие "Повышение инвестиционной привлекательности Нюксенского муниципального района"</t>
  </si>
  <si>
    <t>14 2 00 00000</t>
  </si>
  <si>
    <t>Мероприятия, направленные на повышение инвестиционной привлекательности района</t>
  </si>
  <si>
    <t>14 2 00 20460</t>
  </si>
  <si>
    <t>14 3 00 00000</t>
  </si>
  <si>
    <t>14 3 00 20470</t>
  </si>
  <si>
    <t xml:space="preserve">10 2 00 00000 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</si>
  <si>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</si>
  <si>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</si>
  <si>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 муниципальных образований района"</t>
  </si>
  <si>
    <t>15 1 00 00000</t>
  </si>
  <si>
    <t>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</t>
  </si>
  <si>
    <t>15 1 00 72220</t>
  </si>
  <si>
    <t xml:space="preserve">Дотации </t>
  </si>
  <si>
    <t>510</t>
  </si>
  <si>
    <t xml:space="preserve">Дотации на выравнивание бюджетной обеспеченности сельских поселений </t>
  </si>
  <si>
    <t>15 1 00 70010</t>
  </si>
  <si>
    <t>Иные дотации</t>
  </si>
  <si>
    <t>Основное мероприятие "Поддержка мер по обеспечению сбалансированности бюджетов сельских поселений"</t>
  </si>
  <si>
    <t>15 2 00 00000</t>
  </si>
  <si>
    <t>Дотации на поддержку мер по обеспечению сбалансированности бюджетов сельских поселений</t>
  </si>
  <si>
    <t>15 2 00 70020</t>
  </si>
  <si>
    <t>Комитет по управлению имуществом администрации Нюксенского муниципального района</t>
  </si>
  <si>
    <t>040</t>
  </si>
  <si>
    <t>Исполнение судебных актов</t>
  </si>
  <si>
    <t>830</t>
  </si>
  <si>
    <t>Основное мероприятие "Комплекс работ в области управления земельными ресурсами"</t>
  </si>
  <si>
    <t>16 3 00 00000</t>
  </si>
  <si>
    <t>16 3 00 20500</t>
  </si>
  <si>
    <t>Мероприятия, направленные на проведение комплексных кадастровых работ</t>
  </si>
  <si>
    <t>16 3 00 L5110</t>
  </si>
  <si>
    <t>Муниципальная программа "Развитие транспортной системы Нюксенского муниципального района на 2016-2020 годы"</t>
  </si>
  <si>
    <t>07 2 02 00000</t>
  </si>
  <si>
    <t>Мероприятия в области автомобильного транспорта</t>
  </si>
  <si>
    <t>07 2 02 60620</t>
  </si>
  <si>
    <t>Основное мероприятие "Обеспечение деятельности комитета по управлению имуществом администрации Нюксенского муниципального района"</t>
  </si>
  <si>
    <t>16 1 00 00000</t>
  </si>
  <si>
    <t>16 1 00 00190</t>
  </si>
  <si>
    <t>16 1 00 55490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</si>
  <si>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</si>
  <si>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16 3 00 72300</t>
  </si>
  <si>
    <t>Управление образования администрации Нюксенского муниципального района</t>
  </si>
  <si>
    <t>043</t>
  </si>
  <si>
    <t>Основное мероприятие "Профилактика и предупреждение дорожно-транспортных происшествий с участием детей"</t>
  </si>
  <si>
    <t>03 1 00 00000</t>
  </si>
  <si>
    <t>03 1 00 23070</t>
  </si>
  <si>
    <t>Дошкольное образование</t>
  </si>
  <si>
    <t>Основное мероприятие "Организация предоставления дошкольного образования в бюджетном образовательном учреждении"</t>
  </si>
  <si>
    <t>08 1 01 00000</t>
  </si>
  <si>
    <t>Обеспечение дошкольного образования и общеобразовательного процесса в муниципальных образовательных организациях</t>
  </si>
  <si>
    <t>08 1 01 72010</t>
  </si>
  <si>
    <t>Дошкольные учреждения</t>
  </si>
  <si>
    <t>08 1 01 14590</t>
  </si>
  <si>
    <t>08 1 01 70030</t>
  </si>
  <si>
    <t xml:space="preserve">Основное мероприятие "Организация методического сопровождения повышения профессиональной компетентности педагогических и руководящих кадров" </t>
  </si>
  <si>
    <t>08 1 05 00000</t>
  </si>
  <si>
    <t>08 1 05 14590</t>
  </si>
  <si>
    <t>Основное мероприятие "Организация предоставления общедоступного и бесплатного начального общего, основного общего, среднего общего образования в бюджетных образовательных организациях"</t>
  </si>
  <si>
    <t>08 1 02 00000</t>
  </si>
  <si>
    <t>Обеспечение дошкольного образования и общеобразовательного процесса в муниципальных 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</si>
  <si>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08 1 02 53031</t>
  </si>
  <si>
    <t>08 1 02 72010</t>
  </si>
  <si>
    <t xml:space="preserve">Школы - детские сады, школы начальные, неполные средние и средние </t>
  </si>
  <si>
    <t>08 1 02 13590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</si>
  <si>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</si>
  <si>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</si>
  <si>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08 1 02 70030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</si>
  <si>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</si>
  <si>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08 1 02 L3041</t>
  </si>
  <si>
    <t>Обеспечение условий для организации питания обучающихся в муниципальных общеобразовательных организациях</t>
  </si>
  <si>
    <t>08 1 02 S1440</t>
  </si>
  <si>
    <t>08 1 02 S3240</t>
  </si>
  <si>
    <t>Основное мероприятие "Обеспечение предоставления мер социальной поддержки отдельным категориям обучающихся в муниципальных образовательных организациях"</t>
  </si>
  <si>
    <t>08 1 04 00000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</si>
  <si>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</si>
  <si>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08 1 04 72020</t>
  </si>
  <si>
    <t>08 1 05 13590</t>
  </si>
  <si>
    <t>Основное мероприятие "Развитие системы поддержки талантливых детей в образовательных учреждениях"</t>
  </si>
  <si>
    <t>08 1 06 00000</t>
  </si>
  <si>
    <t>08 1 06 13590</t>
  </si>
  <si>
    <t>Основное мероприятие "Реализация регионального проекта "Современная школа"</t>
  </si>
  <si>
    <t>08 1 Е1 00000</t>
  </si>
  <si>
    <t>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</t>
  </si>
  <si>
    <t>08 1 Е1 51690</t>
  </si>
  <si>
    <t>Основное мероприятие "Реализация регионального проекта "Успех каждого ребенка"</t>
  </si>
  <si>
    <t>08 1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</si>
  <si>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</si>
  <si>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08 1 E2 50970</t>
  </si>
  <si>
    <t>Основное мероприятие "Реализация регионального проекта "Цифровая образовательная среда"</t>
  </si>
  <si>
    <t>08 1 Е4 00000</t>
  </si>
  <si>
    <t>Обеспечение образовательных организаций материально-технической базой для внедрения цифровой образовательной среды</t>
  </si>
  <si>
    <t>08 1 Е4 52100</t>
  </si>
  <si>
    <t>Основное мероприятие "Организация предоставления дополнительного образования в бюджетных образовательных организациях"</t>
  </si>
  <si>
    <t>08 1 03 00000</t>
  </si>
  <si>
    <t>08 1 03 15590</t>
  </si>
  <si>
    <t>08 1 03 70030</t>
  </si>
  <si>
    <t>Мероприятия, направленные на реализацию проекта по обеспечению системы дополнительного образования детей посредством внедрения принципа персонифицированного финансирования</t>
  </si>
  <si>
    <t>08 1 03 12590</t>
  </si>
  <si>
    <t>08 1 05 15590</t>
  </si>
  <si>
    <t>08 1 06 15590</t>
  </si>
  <si>
    <t>Основное мероприятие "Организация содержательного досуга детей в каникулярное время"</t>
  </si>
  <si>
    <t>08 1 07 00000</t>
  </si>
  <si>
    <t>08 1 07 13590</t>
  </si>
  <si>
    <t>08 1 07 14590</t>
  </si>
  <si>
    <t>08 1 07 15590</t>
  </si>
  <si>
    <t>Реализация мероприятий по обеспечению безопасности жизни и здоровья детей, обучающихся в общеобразовательных организациях района</t>
  </si>
  <si>
    <t>03 1 00 23080</t>
  </si>
  <si>
    <t>08 1 05 00190</t>
  </si>
  <si>
    <t xml:space="preserve">Расходы на обеспечение функций муниципальных органов </t>
  </si>
  <si>
    <t>08 1 06 00190</t>
  </si>
  <si>
    <t>Подпрограмма "Обеспечение создания условий для реализации программы"</t>
  </si>
  <si>
    <t>08 2 00 00000</t>
  </si>
  <si>
    <t>Основное мероприятие "Обеспечение деятельности управления образования"</t>
  </si>
  <si>
    <t>08 2 01 00000</t>
  </si>
  <si>
    <t>08 2 01 00190</t>
  </si>
  <si>
    <t>08 2 01 55490</t>
  </si>
  <si>
    <t>Основное мероприятие "Реализация мероприятий по предупреждению детского дорожно-транспортного травматизма"</t>
  </si>
  <si>
    <t>08 2 02 00000</t>
  </si>
  <si>
    <t xml:space="preserve">08 2 02 S1450 </t>
  </si>
  <si>
    <t>Охрана семьи и детства</t>
  </si>
  <si>
    <t>Итого расходов</t>
  </si>
  <si>
    <t xml:space="preserve">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</si>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</sst>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0.0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left" vertical="center" wrapText="1" shrinkToFit="1"/>
    </xf>
    <xf numFmtId="0" fontId="4" fillId="2" borderId="1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vertical="center"/>
    </xf>
    <xf numFmtId="0" fontId="8" fillId="2" borderId="0" xfId="0" applyFont="1" applyFill="1"/>
    <xf numFmtId="0" fontId="4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shrinkToFit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/>
    <xf numFmtId="0" fontId="10" fillId="2" borderId="6" xfId="0" applyNumberFormat="1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justify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3" fillId="2" borderId="2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4" fillId="2" borderId="3" xfId="0" applyFont="1" applyFill="1" applyBorder="1" applyAlignment="1">
      <alignment horizontal="left" vertical="center" wrapText="1"/>
    </xf>
    <xf numFmtId="0" fontId="5" fillId="2" borderId="0" xfId="0" applyFont="1" applyFill="1" applyBorder="1"/>
    <xf numFmtId="0" fontId="1" fillId="2" borderId="0" xfId="0" applyFont="1" applyFill="1" applyAlignment="1">
      <alignment vertical="distributed" wrapText="1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6" fontId="1" fillId="2" borderId="0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2" fontId="1" fillId="2" borderId="0" xfId="0" applyNumberFormat="1" applyFont="1" applyFill="1" applyBorder="1" applyAlignment="1">
      <alignment vertical="center"/>
    </xf>
    <xf numFmtId="166" fontId="1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%20&#1075;&#1086;&#1076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расходы вед"/>
      <sheetName val="источник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63"/>
  <sheetViews>
    <sheetView tabSelected="1" view="pageBreakPreview" topLeftCell="B304" zoomScale="85" zoomScaleNormal="100" zoomScaleSheetLayoutView="85" workbookViewId="0">
      <selection activeCell="O8" sqref="O8"/>
    </sheetView>
  </sheetViews>
  <sheetFormatPr defaultRowHeight="15.75" x14ac:dyDescent="0.2"/>
  <cols>
    <col min="1" max="1" width="2.5703125" style="3" hidden="1" customWidth="1"/>
    <col min="2" max="2" width="84.28515625" style="62" customWidth="1"/>
    <col min="3" max="3" width="5.42578125" style="71" customWidth="1"/>
    <col min="4" max="4" width="4.140625" style="71" customWidth="1"/>
    <col min="5" max="5" width="5.140625" style="71" customWidth="1"/>
    <col min="6" max="6" width="12.7109375" style="71" customWidth="1"/>
    <col min="7" max="7" width="4.85546875" style="2" customWidth="1"/>
    <col min="8" max="9" width="9.5703125" style="71" customWidth="1"/>
    <col min="10" max="10" width="7.85546875" style="71" customWidth="1"/>
    <col min="11" max="16384" width="9.140625" style="3"/>
  </cols>
  <sheetData>
    <row r="1" spans="2:10" x14ac:dyDescent="0.2">
      <c r="B1" s="1"/>
      <c r="C1" s="2"/>
      <c r="D1" s="2"/>
      <c r="E1" s="2"/>
      <c r="F1" s="2"/>
      <c r="G1" s="72" t="s">
        <v>651</v>
      </c>
      <c r="H1" s="72"/>
      <c r="I1" s="72"/>
      <c r="J1" s="72"/>
    </row>
    <row r="2" spans="2:10" ht="3" customHeight="1" x14ac:dyDescent="0.2">
      <c r="B2" s="1"/>
      <c r="C2" s="4"/>
      <c r="D2" s="4"/>
      <c r="E2" s="5"/>
      <c r="F2" s="5"/>
      <c r="G2" s="5"/>
      <c r="H2" s="2"/>
      <c r="I2" s="2"/>
      <c r="J2" s="2"/>
    </row>
    <row r="3" spans="2:10" ht="66" customHeight="1" x14ac:dyDescent="0.2">
      <c r="B3" s="1"/>
      <c r="C3" s="4"/>
      <c r="D3" s="4"/>
      <c r="E3" s="73" t="s">
        <v>0</v>
      </c>
      <c r="F3" s="73"/>
      <c r="G3" s="73"/>
      <c r="H3" s="73"/>
      <c r="I3" s="73"/>
      <c r="J3" s="73"/>
    </row>
    <row r="4" spans="2:10" ht="5.25" customHeight="1" x14ac:dyDescent="0.2">
      <c r="B4" s="1"/>
      <c r="C4" s="4"/>
      <c r="D4" s="4"/>
      <c r="E4" s="4"/>
      <c r="F4" s="4"/>
      <c r="G4" s="4"/>
      <c r="H4" s="2"/>
      <c r="I4" s="6"/>
      <c r="J4" s="6"/>
    </row>
    <row r="5" spans="2:10" ht="32.25" customHeight="1" x14ac:dyDescent="0.2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0" ht="16.5" customHeight="1" x14ac:dyDescent="0.2">
      <c r="B6" s="1"/>
      <c r="C6" s="2"/>
      <c r="D6" s="2"/>
      <c r="E6" s="2"/>
      <c r="F6" s="2"/>
      <c r="H6" s="2"/>
      <c r="I6" s="2"/>
      <c r="J6" s="7" t="s">
        <v>2</v>
      </c>
    </row>
    <row r="7" spans="2:10" ht="48.75" customHeight="1" x14ac:dyDescent="0.2">
      <c r="B7" s="8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  <c r="I7" s="8" t="s">
        <v>10</v>
      </c>
      <c r="J7" s="8" t="s">
        <v>11</v>
      </c>
    </row>
    <row r="8" spans="2:10" s="11" customFormat="1" ht="12.75" x14ac:dyDescent="0.2">
      <c r="B8" s="9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</row>
    <row r="9" spans="2:10" s="16" customFormat="1" x14ac:dyDescent="0.25">
      <c r="B9" s="12" t="s">
        <v>12</v>
      </c>
      <c r="C9" s="13" t="s">
        <v>13</v>
      </c>
      <c r="D9" s="13"/>
      <c r="E9" s="13"/>
      <c r="F9" s="13"/>
      <c r="G9" s="13"/>
      <c r="H9" s="14">
        <f>H10+H137+H172+H208+H260+H355+H360+H282+H309+H394</f>
        <v>302881.70000000007</v>
      </c>
      <c r="I9" s="14">
        <f>I10+I137+I172+I208+I260+I355+I360+I282+I309+I394</f>
        <v>147902.90000000002</v>
      </c>
      <c r="J9" s="15">
        <f t="shared" ref="J9:J72" si="0">I9/H9*100</f>
        <v>48.831903677244284</v>
      </c>
    </row>
    <row r="10" spans="2:10" s="16" customFormat="1" x14ac:dyDescent="0.25">
      <c r="B10" s="12" t="s">
        <v>14</v>
      </c>
      <c r="C10" s="13" t="s">
        <v>13</v>
      </c>
      <c r="D10" s="13" t="s">
        <v>15</v>
      </c>
      <c r="E10" s="13"/>
      <c r="F10" s="13"/>
      <c r="G10" s="13"/>
      <c r="H10" s="14">
        <f>H11+H58+H62+H66</f>
        <v>33391.300000000003</v>
      </c>
      <c r="I10" s="14">
        <f>I11+I58+I62+I66</f>
        <v>32956.100000000006</v>
      </c>
      <c r="J10" s="15">
        <f t="shared" si="0"/>
        <v>98.696666496961797</v>
      </c>
    </row>
    <row r="11" spans="2:10" s="16" customFormat="1" ht="25.5" x14ac:dyDescent="0.25">
      <c r="B11" s="12" t="s">
        <v>16</v>
      </c>
      <c r="C11" s="13" t="s">
        <v>13</v>
      </c>
      <c r="D11" s="13" t="s">
        <v>17</v>
      </c>
      <c r="E11" s="13" t="s">
        <v>18</v>
      </c>
      <c r="F11" s="13"/>
      <c r="G11" s="13"/>
      <c r="H11" s="14">
        <f>H15+H20+H26+H40+H51+H46+H12</f>
        <v>22364.2</v>
      </c>
      <c r="I11" s="14">
        <f>I15+I20+I26+I40+I51+I46+I12</f>
        <v>21998.7</v>
      </c>
      <c r="J11" s="15">
        <f t="shared" si="0"/>
        <v>98.365691596390661</v>
      </c>
    </row>
    <row r="12" spans="2:10" ht="15" hidden="1" x14ac:dyDescent="0.2">
      <c r="B12" s="17" t="s">
        <v>19</v>
      </c>
      <c r="C12" s="18" t="s">
        <v>13</v>
      </c>
      <c r="D12" s="18" t="s">
        <v>15</v>
      </c>
      <c r="E12" s="18" t="s">
        <v>18</v>
      </c>
      <c r="F12" s="18" t="s">
        <v>20</v>
      </c>
      <c r="G12" s="19"/>
      <c r="H12" s="20">
        <f>H13</f>
        <v>0</v>
      </c>
      <c r="I12" s="20">
        <f>I13</f>
        <v>0</v>
      </c>
      <c r="J12" s="21" t="e">
        <f t="shared" si="0"/>
        <v>#DIV/0!</v>
      </c>
    </row>
    <row r="13" spans="2:10" ht="15" hidden="1" x14ac:dyDescent="0.2">
      <c r="B13" s="17" t="s">
        <v>21</v>
      </c>
      <c r="C13" s="18" t="s">
        <v>13</v>
      </c>
      <c r="D13" s="18" t="s">
        <v>15</v>
      </c>
      <c r="E13" s="18" t="s">
        <v>18</v>
      </c>
      <c r="F13" s="18" t="s">
        <v>22</v>
      </c>
      <c r="G13" s="19"/>
      <c r="H13" s="20">
        <f>H14</f>
        <v>0</v>
      </c>
      <c r="I13" s="20">
        <f>I14</f>
        <v>0</v>
      </c>
      <c r="J13" s="21" t="e">
        <f t="shared" si="0"/>
        <v>#DIV/0!</v>
      </c>
    </row>
    <row r="14" spans="2:10" ht="15" hidden="1" x14ac:dyDescent="0.2">
      <c r="B14" s="17" t="s">
        <v>23</v>
      </c>
      <c r="C14" s="18" t="s">
        <v>13</v>
      </c>
      <c r="D14" s="18" t="s">
        <v>15</v>
      </c>
      <c r="E14" s="18" t="s">
        <v>18</v>
      </c>
      <c r="F14" s="18" t="s">
        <v>22</v>
      </c>
      <c r="G14" s="19" t="s">
        <v>24</v>
      </c>
      <c r="H14" s="20">
        <v>0</v>
      </c>
      <c r="I14" s="20">
        <v>0</v>
      </c>
      <c r="J14" s="21" t="e">
        <f t="shared" si="0"/>
        <v>#DIV/0!</v>
      </c>
    </row>
    <row r="15" spans="2:10" ht="15" x14ac:dyDescent="0.2">
      <c r="B15" s="17" t="s">
        <v>25</v>
      </c>
      <c r="C15" s="18" t="s">
        <v>13</v>
      </c>
      <c r="D15" s="18" t="s">
        <v>15</v>
      </c>
      <c r="E15" s="18" t="s">
        <v>18</v>
      </c>
      <c r="F15" s="18" t="s">
        <v>26</v>
      </c>
      <c r="G15" s="18"/>
      <c r="H15" s="20">
        <f>H16+H18</f>
        <v>4.4000000000000004</v>
      </c>
      <c r="I15" s="20">
        <f>I16+I18</f>
        <v>4.4000000000000004</v>
      </c>
      <c r="J15" s="21">
        <f t="shared" si="0"/>
        <v>100</v>
      </c>
    </row>
    <row r="16" spans="2:10" ht="15" x14ac:dyDescent="0.2">
      <c r="B16" s="17" t="s">
        <v>27</v>
      </c>
      <c r="C16" s="18" t="s">
        <v>13</v>
      </c>
      <c r="D16" s="18" t="s">
        <v>15</v>
      </c>
      <c r="E16" s="18" t="s">
        <v>18</v>
      </c>
      <c r="F16" s="18" t="s">
        <v>28</v>
      </c>
      <c r="G16" s="18"/>
      <c r="H16" s="20">
        <f>H17</f>
        <v>4.4000000000000004</v>
      </c>
      <c r="I16" s="20">
        <f>I17</f>
        <v>4.4000000000000004</v>
      </c>
      <c r="J16" s="21">
        <f t="shared" si="0"/>
        <v>100</v>
      </c>
    </row>
    <row r="17" spans="2:10" ht="15" x14ac:dyDescent="0.2">
      <c r="B17" s="17" t="s">
        <v>29</v>
      </c>
      <c r="C17" s="18" t="s">
        <v>13</v>
      </c>
      <c r="D17" s="18" t="s">
        <v>15</v>
      </c>
      <c r="E17" s="18" t="s">
        <v>18</v>
      </c>
      <c r="F17" s="18" t="s">
        <v>28</v>
      </c>
      <c r="G17" s="18" t="s">
        <v>30</v>
      </c>
      <c r="H17" s="20">
        <v>4.4000000000000004</v>
      </c>
      <c r="I17" s="20">
        <v>4.4000000000000004</v>
      </c>
      <c r="J17" s="21">
        <f t="shared" si="0"/>
        <v>100</v>
      </c>
    </row>
    <row r="18" spans="2:10" ht="26.25" hidden="1" customHeight="1" x14ac:dyDescent="0.2">
      <c r="B18" s="22" t="s">
        <v>31</v>
      </c>
      <c r="C18" s="18" t="s">
        <v>13</v>
      </c>
      <c r="D18" s="18" t="s">
        <v>15</v>
      </c>
      <c r="E18" s="18" t="s">
        <v>18</v>
      </c>
      <c r="F18" s="18" t="s">
        <v>32</v>
      </c>
      <c r="G18" s="18"/>
      <c r="H18" s="20">
        <f>H19</f>
        <v>0</v>
      </c>
      <c r="I18" s="20">
        <f>I19</f>
        <v>0</v>
      </c>
      <c r="J18" s="21" t="e">
        <f t="shared" si="0"/>
        <v>#DIV/0!</v>
      </c>
    </row>
    <row r="19" spans="2:10" ht="26.25" hidden="1" customHeight="1" x14ac:dyDescent="0.2">
      <c r="B19" s="17" t="s">
        <v>29</v>
      </c>
      <c r="C19" s="18" t="s">
        <v>13</v>
      </c>
      <c r="D19" s="18" t="s">
        <v>15</v>
      </c>
      <c r="E19" s="18" t="s">
        <v>18</v>
      </c>
      <c r="F19" s="18" t="s">
        <v>32</v>
      </c>
      <c r="G19" s="18" t="s">
        <v>30</v>
      </c>
      <c r="H19" s="20">
        <v>0</v>
      </c>
      <c r="I19" s="20">
        <v>0</v>
      </c>
      <c r="J19" s="21" t="e">
        <f t="shared" si="0"/>
        <v>#DIV/0!</v>
      </c>
    </row>
    <row r="20" spans="2:10" ht="25.5" x14ac:dyDescent="0.2">
      <c r="B20" s="22" t="s">
        <v>33</v>
      </c>
      <c r="C20" s="18" t="s">
        <v>13</v>
      </c>
      <c r="D20" s="18" t="s">
        <v>15</v>
      </c>
      <c r="E20" s="18" t="s">
        <v>18</v>
      </c>
      <c r="F20" s="18" t="s">
        <v>34</v>
      </c>
      <c r="G20" s="19"/>
      <c r="H20" s="20">
        <f t="shared" ref="H20:I22" si="1">H21</f>
        <v>890.40000000000009</v>
      </c>
      <c r="I20" s="20">
        <f t="shared" si="1"/>
        <v>890.4</v>
      </c>
      <c r="J20" s="21">
        <f t="shared" si="0"/>
        <v>99.999999999999986</v>
      </c>
    </row>
    <row r="21" spans="2:10" ht="25.5" x14ac:dyDescent="0.2">
      <c r="B21" s="23" t="s">
        <v>35</v>
      </c>
      <c r="C21" s="18" t="s">
        <v>13</v>
      </c>
      <c r="D21" s="18" t="s">
        <v>15</v>
      </c>
      <c r="E21" s="18" t="s">
        <v>18</v>
      </c>
      <c r="F21" s="18" t="s">
        <v>36</v>
      </c>
      <c r="G21" s="19"/>
      <c r="H21" s="20">
        <f t="shared" si="1"/>
        <v>890.40000000000009</v>
      </c>
      <c r="I21" s="20">
        <f t="shared" si="1"/>
        <v>890.4</v>
      </c>
      <c r="J21" s="21">
        <f t="shared" si="0"/>
        <v>99.999999999999986</v>
      </c>
    </row>
    <row r="22" spans="2:10" ht="25.5" x14ac:dyDescent="0.2">
      <c r="B22" s="23" t="s">
        <v>37</v>
      </c>
      <c r="C22" s="18" t="s">
        <v>13</v>
      </c>
      <c r="D22" s="18" t="s">
        <v>15</v>
      </c>
      <c r="E22" s="18" t="s">
        <v>18</v>
      </c>
      <c r="F22" s="18" t="s">
        <v>38</v>
      </c>
      <c r="G22" s="19"/>
      <c r="H22" s="20">
        <f t="shared" si="1"/>
        <v>890.40000000000009</v>
      </c>
      <c r="I22" s="20">
        <f t="shared" si="1"/>
        <v>890.4</v>
      </c>
      <c r="J22" s="21">
        <f t="shared" si="0"/>
        <v>99.999999999999986</v>
      </c>
    </row>
    <row r="23" spans="2:10" ht="76.5" x14ac:dyDescent="0.2">
      <c r="B23" s="24" t="s">
        <v>39</v>
      </c>
      <c r="C23" s="18" t="s">
        <v>13</v>
      </c>
      <c r="D23" s="18" t="s">
        <v>15</v>
      </c>
      <c r="E23" s="18" t="s">
        <v>18</v>
      </c>
      <c r="F23" s="25" t="s">
        <v>40</v>
      </c>
      <c r="G23" s="19"/>
      <c r="H23" s="20">
        <f>H24+H25</f>
        <v>890.40000000000009</v>
      </c>
      <c r="I23" s="20">
        <f>I24+I25</f>
        <v>890.4</v>
      </c>
      <c r="J23" s="21">
        <f t="shared" si="0"/>
        <v>99.999999999999986</v>
      </c>
    </row>
    <row r="24" spans="2:10" ht="15" x14ac:dyDescent="0.2">
      <c r="B24" s="17" t="s">
        <v>29</v>
      </c>
      <c r="C24" s="18" t="s">
        <v>13</v>
      </c>
      <c r="D24" s="18" t="s">
        <v>15</v>
      </c>
      <c r="E24" s="18" t="s">
        <v>18</v>
      </c>
      <c r="F24" s="25" t="s">
        <v>40</v>
      </c>
      <c r="G24" s="19" t="s">
        <v>30</v>
      </c>
      <c r="H24" s="20">
        <f>621.2+151.4+20.7</f>
        <v>793.30000000000007</v>
      </c>
      <c r="I24" s="20">
        <v>793.3</v>
      </c>
      <c r="J24" s="21">
        <f t="shared" si="0"/>
        <v>99.999999999999986</v>
      </c>
    </row>
    <row r="25" spans="2:10" ht="15" x14ac:dyDescent="0.2">
      <c r="B25" s="17" t="s">
        <v>41</v>
      </c>
      <c r="C25" s="18" t="s">
        <v>13</v>
      </c>
      <c r="D25" s="18" t="s">
        <v>15</v>
      </c>
      <c r="E25" s="18" t="s">
        <v>18</v>
      </c>
      <c r="F25" s="25" t="s">
        <v>40</v>
      </c>
      <c r="G25" s="19" t="s">
        <v>24</v>
      </c>
      <c r="H25" s="20">
        <f>248.5-151.4</f>
        <v>97.1</v>
      </c>
      <c r="I25" s="20">
        <v>97.1</v>
      </c>
      <c r="J25" s="21">
        <f t="shared" si="0"/>
        <v>100</v>
      </c>
    </row>
    <row r="26" spans="2:10" ht="25.5" x14ac:dyDescent="0.2">
      <c r="B26" s="22" t="s">
        <v>42</v>
      </c>
      <c r="C26" s="18" t="s">
        <v>13</v>
      </c>
      <c r="D26" s="18" t="s">
        <v>15</v>
      </c>
      <c r="E26" s="18" t="s">
        <v>18</v>
      </c>
      <c r="F26" s="25" t="s">
        <v>43</v>
      </c>
      <c r="G26" s="19"/>
      <c r="H26" s="20">
        <f>H27</f>
        <v>19424.600000000002</v>
      </c>
      <c r="I26" s="20">
        <f>I27</f>
        <v>19059.100000000002</v>
      </c>
      <c r="J26" s="21">
        <f t="shared" si="0"/>
        <v>98.118365371745114</v>
      </c>
    </row>
    <row r="27" spans="2:10" ht="25.5" x14ac:dyDescent="0.2">
      <c r="B27" s="23" t="s">
        <v>44</v>
      </c>
      <c r="C27" s="18" t="s">
        <v>13</v>
      </c>
      <c r="D27" s="18" t="s">
        <v>15</v>
      </c>
      <c r="E27" s="18" t="s">
        <v>18</v>
      </c>
      <c r="F27" s="9" t="s">
        <v>45</v>
      </c>
      <c r="G27" s="19"/>
      <c r="H27" s="20">
        <f>H28+H33</f>
        <v>19424.600000000002</v>
      </c>
      <c r="I27" s="20">
        <f>I28+I33</f>
        <v>19059.100000000002</v>
      </c>
      <c r="J27" s="21">
        <f t="shared" si="0"/>
        <v>98.118365371745114</v>
      </c>
    </row>
    <row r="28" spans="2:10" ht="15" x14ac:dyDescent="0.2">
      <c r="B28" s="23" t="s">
        <v>46</v>
      </c>
      <c r="C28" s="18" t="s">
        <v>13</v>
      </c>
      <c r="D28" s="18" t="s">
        <v>15</v>
      </c>
      <c r="E28" s="18" t="s">
        <v>18</v>
      </c>
      <c r="F28" s="25" t="s">
        <v>47</v>
      </c>
      <c r="G28" s="19"/>
      <c r="H28" s="20">
        <f>H29+H38+H36</f>
        <v>19010.400000000001</v>
      </c>
      <c r="I28" s="20">
        <f>I29+I38+I36</f>
        <v>18644.900000000001</v>
      </c>
      <c r="J28" s="21">
        <f t="shared" si="0"/>
        <v>98.077368177418677</v>
      </c>
    </row>
    <row r="29" spans="2:10" ht="15" x14ac:dyDescent="0.2">
      <c r="B29" s="17" t="s">
        <v>48</v>
      </c>
      <c r="C29" s="18" t="s">
        <v>13</v>
      </c>
      <c r="D29" s="18" t="s">
        <v>15</v>
      </c>
      <c r="E29" s="18" t="s">
        <v>18</v>
      </c>
      <c r="F29" s="9" t="s">
        <v>49</v>
      </c>
      <c r="G29" s="19"/>
      <c r="H29" s="20">
        <f>H30+H31+H32</f>
        <v>10117.799999999999</v>
      </c>
      <c r="I29" s="20">
        <f>I30+I31+I32</f>
        <v>9752.3000000000011</v>
      </c>
      <c r="J29" s="21">
        <f t="shared" si="0"/>
        <v>96.387554606732706</v>
      </c>
    </row>
    <row r="30" spans="2:10" ht="15" x14ac:dyDescent="0.2">
      <c r="B30" s="17" t="s">
        <v>29</v>
      </c>
      <c r="C30" s="18" t="s">
        <v>13</v>
      </c>
      <c r="D30" s="18" t="s">
        <v>15</v>
      </c>
      <c r="E30" s="18" t="s">
        <v>18</v>
      </c>
      <c r="F30" s="9" t="s">
        <v>49</v>
      </c>
      <c r="G30" s="19" t="s">
        <v>30</v>
      </c>
      <c r="H30" s="20">
        <f>4871.4-14.8</f>
        <v>4856.5999999999995</v>
      </c>
      <c r="I30" s="20">
        <v>4856.6000000000004</v>
      </c>
      <c r="J30" s="21">
        <f t="shared" si="0"/>
        <v>100.00000000000003</v>
      </c>
    </row>
    <row r="31" spans="2:10" ht="15" x14ac:dyDescent="0.2">
      <c r="B31" s="17" t="s">
        <v>41</v>
      </c>
      <c r="C31" s="18" t="s">
        <v>13</v>
      </c>
      <c r="D31" s="18" t="s">
        <v>15</v>
      </c>
      <c r="E31" s="18" t="s">
        <v>18</v>
      </c>
      <c r="F31" s="9" t="s">
        <v>49</v>
      </c>
      <c r="G31" s="19" t="s">
        <v>24</v>
      </c>
      <c r="H31" s="20">
        <f>4987.1+48.9+37.1+24.5+25+25.5-24.1</f>
        <v>5124</v>
      </c>
      <c r="I31" s="20">
        <v>4758.5</v>
      </c>
      <c r="J31" s="21">
        <f t="shared" si="0"/>
        <v>92.866900858704142</v>
      </c>
    </row>
    <row r="32" spans="2:10" ht="15" x14ac:dyDescent="0.2">
      <c r="B32" s="17" t="s">
        <v>50</v>
      </c>
      <c r="C32" s="18" t="s">
        <v>13</v>
      </c>
      <c r="D32" s="18" t="s">
        <v>15</v>
      </c>
      <c r="E32" s="18" t="s">
        <v>18</v>
      </c>
      <c r="F32" s="9" t="s">
        <v>49</v>
      </c>
      <c r="G32" s="19" t="s">
        <v>51</v>
      </c>
      <c r="H32" s="20">
        <f>141-3.8</f>
        <v>137.19999999999999</v>
      </c>
      <c r="I32" s="26">
        <v>137.19999999999999</v>
      </c>
      <c r="J32" s="21">
        <f t="shared" si="0"/>
        <v>100</v>
      </c>
    </row>
    <row r="33" spans="2:10" ht="25.5" x14ac:dyDescent="0.2">
      <c r="B33" s="17" t="s">
        <v>52</v>
      </c>
      <c r="C33" s="18" t="s">
        <v>13</v>
      </c>
      <c r="D33" s="18" t="s">
        <v>15</v>
      </c>
      <c r="E33" s="18" t="s">
        <v>18</v>
      </c>
      <c r="F33" s="9" t="s">
        <v>53</v>
      </c>
      <c r="G33" s="19"/>
      <c r="H33" s="20">
        <f>H34</f>
        <v>414.2</v>
      </c>
      <c r="I33" s="20">
        <f>I34</f>
        <v>414.2</v>
      </c>
      <c r="J33" s="21">
        <f t="shared" si="0"/>
        <v>100</v>
      </c>
    </row>
    <row r="34" spans="2:10" ht="76.5" x14ac:dyDescent="0.2">
      <c r="B34" s="27" t="s">
        <v>54</v>
      </c>
      <c r="C34" s="18" t="s">
        <v>13</v>
      </c>
      <c r="D34" s="18" t="s">
        <v>15</v>
      </c>
      <c r="E34" s="18" t="s">
        <v>18</v>
      </c>
      <c r="F34" s="9" t="s">
        <v>55</v>
      </c>
      <c r="G34" s="19"/>
      <c r="H34" s="20">
        <f>H35</f>
        <v>414.2</v>
      </c>
      <c r="I34" s="20">
        <f>I35</f>
        <v>414.2</v>
      </c>
      <c r="J34" s="21">
        <f t="shared" si="0"/>
        <v>100</v>
      </c>
    </row>
    <row r="35" spans="2:10" ht="15" x14ac:dyDescent="0.2">
      <c r="B35" s="27" t="s">
        <v>29</v>
      </c>
      <c r="C35" s="18" t="s">
        <v>13</v>
      </c>
      <c r="D35" s="18" t="s">
        <v>15</v>
      </c>
      <c r="E35" s="18" t="s">
        <v>18</v>
      </c>
      <c r="F35" s="9" t="s">
        <v>55</v>
      </c>
      <c r="G35" s="19" t="s">
        <v>30</v>
      </c>
      <c r="H35" s="20">
        <v>414.2</v>
      </c>
      <c r="I35" s="26">
        <v>414.2</v>
      </c>
      <c r="J35" s="21">
        <f t="shared" si="0"/>
        <v>100</v>
      </c>
    </row>
    <row r="36" spans="2:10" ht="25.5" x14ac:dyDescent="0.2">
      <c r="B36" s="28" t="s">
        <v>56</v>
      </c>
      <c r="C36" s="18" t="s">
        <v>13</v>
      </c>
      <c r="D36" s="18" t="s">
        <v>15</v>
      </c>
      <c r="E36" s="18" t="s">
        <v>18</v>
      </c>
      <c r="F36" s="9" t="s">
        <v>57</v>
      </c>
      <c r="G36" s="19"/>
      <c r="H36" s="20">
        <f>H37</f>
        <v>8654.1</v>
      </c>
      <c r="I36" s="20">
        <f>I37</f>
        <v>8654.1</v>
      </c>
      <c r="J36" s="21">
        <f t="shared" si="0"/>
        <v>100</v>
      </c>
    </row>
    <row r="37" spans="2:10" ht="15" x14ac:dyDescent="0.2">
      <c r="B37" s="28" t="s">
        <v>29</v>
      </c>
      <c r="C37" s="18" t="s">
        <v>13</v>
      </c>
      <c r="D37" s="18" t="s">
        <v>15</v>
      </c>
      <c r="E37" s="18" t="s">
        <v>18</v>
      </c>
      <c r="F37" s="9" t="s">
        <v>57</v>
      </c>
      <c r="G37" s="19" t="s">
        <v>30</v>
      </c>
      <c r="H37" s="20">
        <f>7824.7+437.5+391.9</f>
        <v>8654.1</v>
      </c>
      <c r="I37" s="20">
        <v>8654.1</v>
      </c>
      <c r="J37" s="21">
        <f t="shared" si="0"/>
        <v>100</v>
      </c>
    </row>
    <row r="38" spans="2:10" ht="51" x14ac:dyDescent="0.2">
      <c r="B38" s="17" t="s">
        <v>58</v>
      </c>
      <c r="C38" s="18" t="s">
        <v>13</v>
      </c>
      <c r="D38" s="18" t="s">
        <v>15</v>
      </c>
      <c r="E38" s="18" t="s">
        <v>18</v>
      </c>
      <c r="F38" s="9" t="s">
        <v>59</v>
      </c>
      <c r="G38" s="19"/>
      <c r="H38" s="20">
        <f>H39</f>
        <v>238.5</v>
      </c>
      <c r="I38" s="20">
        <f>I39</f>
        <v>238.5</v>
      </c>
      <c r="J38" s="21">
        <f t="shared" si="0"/>
        <v>100</v>
      </c>
    </row>
    <row r="39" spans="2:10" ht="15" x14ac:dyDescent="0.2">
      <c r="B39" s="17" t="s">
        <v>29</v>
      </c>
      <c r="C39" s="18" t="s">
        <v>13</v>
      </c>
      <c r="D39" s="18" t="s">
        <v>15</v>
      </c>
      <c r="E39" s="18" t="s">
        <v>18</v>
      </c>
      <c r="F39" s="9" t="s">
        <v>59</v>
      </c>
      <c r="G39" s="19" t="s">
        <v>30</v>
      </c>
      <c r="H39" s="20">
        <v>238.5</v>
      </c>
      <c r="I39" s="20">
        <v>238.5</v>
      </c>
      <c r="J39" s="21">
        <f t="shared" si="0"/>
        <v>100</v>
      </c>
    </row>
    <row r="40" spans="2:10" ht="25.5" x14ac:dyDescent="0.2">
      <c r="B40" s="22" t="s">
        <v>60</v>
      </c>
      <c r="C40" s="18" t="s">
        <v>13</v>
      </c>
      <c r="D40" s="18" t="s">
        <v>15</v>
      </c>
      <c r="E40" s="18" t="s">
        <v>18</v>
      </c>
      <c r="F40" s="25" t="s">
        <v>61</v>
      </c>
      <c r="G40" s="19"/>
      <c r="H40" s="20">
        <f t="shared" ref="H40:I42" si="2">H41</f>
        <v>782.7</v>
      </c>
      <c r="I40" s="20">
        <f t="shared" si="2"/>
        <v>782.7</v>
      </c>
      <c r="J40" s="21">
        <f t="shared" si="0"/>
        <v>100</v>
      </c>
    </row>
    <row r="41" spans="2:10" ht="15" x14ac:dyDescent="0.2">
      <c r="B41" s="24" t="s">
        <v>62</v>
      </c>
      <c r="C41" s="18" t="s">
        <v>13</v>
      </c>
      <c r="D41" s="18" t="s">
        <v>15</v>
      </c>
      <c r="E41" s="18" t="s">
        <v>18</v>
      </c>
      <c r="F41" s="25" t="s">
        <v>63</v>
      </c>
      <c r="G41" s="19"/>
      <c r="H41" s="20">
        <f t="shared" si="2"/>
        <v>782.7</v>
      </c>
      <c r="I41" s="20">
        <f t="shared" si="2"/>
        <v>782.7</v>
      </c>
      <c r="J41" s="21">
        <f t="shared" si="0"/>
        <v>100</v>
      </c>
    </row>
    <row r="42" spans="2:10" ht="15" x14ac:dyDescent="0.2">
      <c r="B42" s="29" t="s">
        <v>64</v>
      </c>
      <c r="C42" s="18" t="s">
        <v>13</v>
      </c>
      <c r="D42" s="18" t="s">
        <v>15</v>
      </c>
      <c r="E42" s="18" t="s">
        <v>18</v>
      </c>
      <c r="F42" s="25" t="s">
        <v>65</v>
      </c>
      <c r="G42" s="19"/>
      <c r="H42" s="20">
        <f t="shared" si="2"/>
        <v>782.7</v>
      </c>
      <c r="I42" s="20">
        <f t="shared" si="2"/>
        <v>782.7</v>
      </c>
      <c r="J42" s="21">
        <f t="shared" si="0"/>
        <v>100</v>
      </c>
    </row>
    <row r="43" spans="2:10" ht="51" x14ac:dyDescent="0.2">
      <c r="B43" s="29" t="s">
        <v>66</v>
      </c>
      <c r="C43" s="18" t="s">
        <v>13</v>
      </c>
      <c r="D43" s="18" t="s">
        <v>15</v>
      </c>
      <c r="E43" s="18" t="s">
        <v>18</v>
      </c>
      <c r="F43" s="25" t="s">
        <v>67</v>
      </c>
      <c r="G43" s="19"/>
      <c r="H43" s="20">
        <f>H44+H45</f>
        <v>782.7</v>
      </c>
      <c r="I43" s="20">
        <f>I44+I45</f>
        <v>782.7</v>
      </c>
      <c r="J43" s="21">
        <f t="shared" si="0"/>
        <v>100</v>
      </c>
    </row>
    <row r="44" spans="2:10" ht="15" x14ac:dyDescent="0.2">
      <c r="B44" s="29" t="s">
        <v>29</v>
      </c>
      <c r="C44" s="18" t="s">
        <v>13</v>
      </c>
      <c r="D44" s="18" t="s">
        <v>15</v>
      </c>
      <c r="E44" s="18" t="s">
        <v>18</v>
      </c>
      <c r="F44" s="25" t="s">
        <v>67</v>
      </c>
      <c r="G44" s="19" t="s">
        <v>30</v>
      </c>
      <c r="H44" s="20">
        <f>591+19.7</f>
        <v>610.70000000000005</v>
      </c>
      <c r="I44" s="20">
        <v>610.70000000000005</v>
      </c>
      <c r="J44" s="21">
        <f t="shared" si="0"/>
        <v>100</v>
      </c>
    </row>
    <row r="45" spans="2:10" ht="15" x14ac:dyDescent="0.2">
      <c r="B45" s="29" t="s">
        <v>41</v>
      </c>
      <c r="C45" s="18" t="s">
        <v>13</v>
      </c>
      <c r="D45" s="18" t="s">
        <v>15</v>
      </c>
      <c r="E45" s="18" t="s">
        <v>18</v>
      </c>
      <c r="F45" s="25" t="s">
        <v>67</v>
      </c>
      <c r="G45" s="19" t="s">
        <v>24</v>
      </c>
      <c r="H45" s="20">
        <v>172</v>
      </c>
      <c r="I45" s="20">
        <v>172</v>
      </c>
      <c r="J45" s="21">
        <f t="shared" si="0"/>
        <v>100</v>
      </c>
    </row>
    <row r="46" spans="2:10" ht="25.5" x14ac:dyDescent="0.2">
      <c r="B46" s="24" t="s">
        <v>68</v>
      </c>
      <c r="C46" s="18" t="s">
        <v>13</v>
      </c>
      <c r="D46" s="18" t="s">
        <v>15</v>
      </c>
      <c r="E46" s="18" t="s">
        <v>18</v>
      </c>
      <c r="F46" s="9" t="s">
        <v>69</v>
      </c>
      <c r="G46" s="19"/>
      <c r="H46" s="20">
        <f>H47</f>
        <v>196.1</v>
      </c>
      <c r="I46" s="20">
        <f>I47</f>
        <v>196.1</v>
      </c>
      <c r="J46" s="21">
        <f t="shared" si="0"/>
        <v>100</v>
      </c>
    </row>
    <row r="47" spans="2:10" ht="25.5" x14ac:dyDescent="0.2">
      <c r="B47" s="17" t="s">
        <v>70</v>
      </c>
      <c r="C47" s="18" t="s">
        <v>13</v>
      </c>
      <c r="D47" s="18" t="s">
        <v>15</v>
      </c>
      <c r="E47" s="18" t="s">
        <v>18</v>
      </c>
      <c r="F47" s="9" t="s">
        <v>71</v>
      </c>
      <c r="G47" s="19"/>
      <c r="H47" s="20">
        <f>H48</f>
        <v>196.1</v>
      </c>
      <c r="I47" s="20">
        <f>I48</f>
        <v>196.1</v>
      </c>
      <c r="J47" s="21">
        <f t="shared" si="0"/>
        <v>100</v>
      </c>
    </row>
    <row r="48" spans="2:10" ht="38.25" x14ac:dyDescent="0.2">
      <c r="B48" s="30" t="s">
        <v>72</v>
      </c>
      <c r="C48" s="18" t="s">
        <v>13</v>
      </c>
      <c r="D48" s="18" t="s">
        <v>15</v>
      </c>
      <c r="E48" s="18" t="s">
        <v>18</v>
      </c>
      <c r="F48" s="9" t="s">
        <v>73</v>
      </c>
      <c r="G48" s="18"/>
      <c r="H48" s="20">
        <f>H49+H50</f>
        <v>196.1</v>
      </c>
      <c r="I48" s="20">
        <f>I49+I50</f>
        <v>196.1</v>
      </c>
      <c r="J48" s="21">
        <f t="shared" si="0"/>
        <v>100</v>
      </c>
    </row>
    <row r="49" spans="2:10" ht="15" x14ac:dyDescent="0.2">
      <c r="B49" s="17" t="s">
        <v>29</v>
      </c>
      <c r="C49" s="18" t="s">
        <v>13</v>
      </c>
      <c r="D49" s="18" t="s">
        <v>15</v>
      </c>
      <c r="E49" s="18" t="s">
        <v>18</v>
      </c>
      <c r="F49" s="9" t="s">
        <v>73</v>
      </c>
      <c r="G49" s="18" t="s">
        <v>30</v>
      </c>
      <c r="H49" s="20">
        <f>199.4-3.3</f>
        <v>196.1</v>
      </c>
      <c r="I49" s="20">
        <v>196.1</v>
      </c>
      <c r="J49" s="21">
        <f t="shared" si="0"/>
        <v>100</v>
      </c>
    </row>
    <row r="50" spans="2:10" ht="15" hidden="1" x14ac:dyDescent="0.2">
      <c r="B50" s="17" t="s">
        <v>41</v>
      </c>
      <c r="C50" s="18" t="s">
        <v>13</v>
      </c>
      <c r="D50" s="18" t="s">
        <v>15</v>
      </c>
      <c r="E50" s="18" t="s">
        <v>18</v>
      </c>
      <c r="F50" s="9" t="s">
        <v>73</v>
      </c>
      <c r="G50" s="18" t="s">
        <v>24</v>
      </c>
      <c r="H50" s="20">
        <f>40.1-40.1</f>
        <v>0</v>
      </c>
      <c r="I50" s="20">
        <v>0</v>
      </c>
      <c r="J50" s="21" t="e">
        <f t="shared" si="0"/>
        <v>#DIV/0!</v>
      </c>
    </row>
    <row r="51" spans="2:10" ht="25.5" x14ac:dyDescent="0.2">
      <c r="B51" s="31" t="s">
        <v>74</v>
      </c>
      <c r="C51" s="18" t="s">
        <v>13</v>
      </c>
      <c r="D51" s="18" t="s">
        <v>15</v>
      </c>
      <c r="E51" s="18" t="s">
        <v>18</v>
      </c>
      <c r="F51" s="25" t="s">
        <v>75</v>
      </c>
      <c r="G51" s="19"/>
      <c r="H51" s="20">
        <f>H52+H55</f>
        <v>1066</v>
      </c>
      <c r="I51" s="20">
        <f>I52+I55</f>
        <v>1066</v>
      </c>
      <c r="J51" s="21">
        <f t="shared" si="0"/>
        <v>100</v>
      </c>
    </row>
    <row r="52" spans="2:10" ht="25.5" x14ac:dyDescent="0.2">
      <c r="B52" s="17" t="s">
        <v>76</v>
      </c>
      <c r="C52" s="18" t="s">
        <v>13</v>
      </c>
      <c r="D52" s="18" t="s">
        <v>15</v>
      </c>
      <c r="E52" s="18" t="s">
        <v>18</v>
      </c>
      <c r="F52" s="9" t="s">
        <v>77</v>
      </c>
      <c r="G52" s="19"/>
      <c r="H52" s="20">
        <f>H53</f>
        <v>331.5</v>
      </c>
      <c r="I52" s="20">
        <f>I53</f>
        <v>331.5</v>
      </c>
      <c r="J52" s="21">
        <f t="shared" si="0"/>
        <v>100</v>
      </c>
    </row>
    <row r="53" spans="2:10" ht="15" x14ac:dyDescent="0.2">
      <c r="B53" s="17" t="s">
        <v>78</v>
      </c>
      <c r="C53" s="18" t="s">
        <v>13</v>
      </c>
      <c r="D53" s="18" t="s">
        <v>15</v>
      </c>
      <c r="E53" s="18" t="s">
        <v>18</v>
      </c>
      <c r="F53" s="9" t="s">
        <v>79</v>
      </c>
      <c r="G53" s="19"/>
      <c r="H53" s="20">
        <f>H54</f>
        <v>331.5</v>
      </c>
      <c r="I53" s="20">
        <f>I54</f>
        <v>331.5</v>
      </c>
      <c r="J53" s="21">
        <f t="shared" si="0"/>
        <v>100</v>
      </c>
    </row>
    <row r="54" spans="2:10" ht="15" x14ac:dyDescent="0.2">
      <c r="B54" s="17" t="s">
        <v>41</v>
      </c>
      <c r="C54" s="18" t="s">
        <v>13</v>
      </c>
      <c r="D54" s="18" t="s">
        <v>15</v>
      </c>
      <c r="E54" s="18" t="s">
        <v>18</v>
      </c>
      <c r="F54" s="9" t="s">
        <v>79</v>
      </c>
      <c r="G54" s="19" t="s">
        <v>24</v>
      </c>
      <c r="H54" s="20">
        <f>333-1.5</f>
        <v>331.5</v>
      </c>
      <c r="I54" s="20">
        <v>331.5</v>
      </c>
      <c r="J54" s="21">
        <f t="shared" si="0"/>
        <v>100</v>
      </c>
    </row>
    <row r="55" spans="2:10" ht="25.5" x14ac:dyDescent="0.2">
      <c r="B55" s="17" t="s">
        <v>80</v>
      </c>
      <c r="C55" s="18" t="s">
        <v>13</v>
      </c>
      <c r="D55" s="18" t="s">
        <v>15</v>
      </c>
      <c r="E55" s="18" t="s">
        <v>18</v>
      </c>
      <c r="F55" s="9" t="s">
        <v>81</v>
      </c>
      <c r="G55" s="19"/>
      <c r="H55" s="20">
        <f>H56</f>
        <v>734.5</v>
      </c>
      <c r="I55" s="20">
        <f>I56</f>
        <v>734.5</v>
      </c>
      <c r="J55" s="21">
        <f t="shared" si="0"/>
        <v>100</v>
      </c>
    </row>
    <row r="56" spans="2:10" ht="25.5" x14ac:dyDescent="0.2">
      <c r="B56" s="17" t="s">
        <v>82</v>
      </c>
      <c r="C56" s="18" t="s">
        <v>13</v>
      </c>
      <c r="D56" s="18" t="s">
        <v>15</v>
      </c>
      <c r="E56" s="18" t="s">
        <v>18</v>
      </c>
      <c r="F56" s="9" t="s">
        <v>83</v>
      </c>
      <c r="G56" s="19"/>
      <c r="H56" s="20">
        <f>H57</f>
        <v>734.5</v>
      </c>
      <c r="I56" s="20">
        <f>I57</f>
        <v>734.5</v>
      </c>
      <c r="J56" s="21">
        <f t="shared" si="0"/>
        <v>100</v>
      </c>
    </row>
    <row r="57" spans="2:10" ht="15" x14ac:dyDescent="0.2">
      <c r="B57" s="17" t="s">
        <v>41</v>
      </c>
      <c r="C57" s="18" t="s">
        <v>13</v>
      </c>
      <c r="D57" s="18" t="s">
        <v>15</v>
      </c>
      <c r="E57" s="18" t="s">
        <v>18</v>
      </c>
      <c r="F57" s="9" t="s">
        <v>83</v>
      </c>
      <c r="G57" s="19" t="s">
        <v>24</v>
      </c>
      <c r="H57" s="20">
        <f>734+1.5-1</f>
        <v>734.5</v>
      </c>
      <c r="I57" s="20">
        <v>734.5</v>
      </c>
      <c r="J57" s="21">
        <f t="shared" si="0"/>
        <v>100</v>
      </c>
    </row>
    <row r="58" spans="2:10" s="16" customFormat="1" x14ac:dyDescent="0.25">
      <c r="B58" s="32" t="s">
        <v>84</v>
      </c>
      <c r="C58" s="13" t="s">
        <v>13</v>
      </c>
      <c r="D58" s="13" t="s">
        <v>15</v>
      </c>
      <c r="E58" s="13" t="s">
        <v>85</v>
      </c>
      <c r="F58" s="13"/>
      <c r="G58" s="13"/>
      <c r="H58" s="14">
        <f t="shared" ref="H58:I60" si="3">H59</f>
        <v>5.2</v>
      </c>
      <c r="I58" s="14">
        <f t="shared" si="3"/>
        <v>5.2</v>
      </c>
      <c r="J58" s="15">
        <f t="shared" si="0"/>
        <v>100</v>
      </c>
    </row>
    <row r="59" spans="2:10" ht="15" x14ac:dyDescent="0.2">
      <c r="B59" s="17" t="s">
        <v>86</v>
      </c>
      <c r="C59" s="18" t="s">
        <v>13</v>
      </c>
      <c r="D59" s="18" t="s">
        <v>15</v>
      </c>
      <c r="E59" s="18" t="s">
        <v>85</v>
      </c>
      <c r="F59" s="18" t="s">
        <v>87</v>
      </c>
      <c r="G59" s="18"/>
      <c r="H59" s="20">
        <f t="shared" si="3"/>
        <v>5.2</v>
      </c>
      <c r="I59" s="20">
        <f t="shared" si="3"/>
        <v>5.2</v>
      </c>
      <c r="J59" s="21">
        <f t="shared" si="0"/>
        <v>100</v>
      </c>
    </row>
    <row r="60" spans="2:10" ht="25.5" x14ac:dyDescent="0.2">
      <c r="B60" s="17" t="s">
        <v>88</v>
      </c>
      <c r="C60" s="18" t="s">
        <v>13</v>
      </c>
      <c r="D60" s="18" t="s">
        <v>15</v>
      </c>
      <c r="E60" s="18" t="s">
        <v>85</v>
      </c>
      <c r="F60" s="18" t="s">
        <v>89</v>
      </c>
      <c r="G60" s="18"/>
      <c r="H60" s="20">
        <f t="shared" si="3"/>
        <v>5.2</v>
      </c>
      <c r="I60" s="20">
        <f t="shared" si="3"/>
        <v>5.2</v>
      </c>
      <c r="J60" s="21">
        <f t="shared" si="0"/>
        <v>100</v>
      </c>
    </row>
    <row r="61" spans="2:10" ht="15" x14ac:dyDescent="0.2">
      <c r="B61" s="17" t="s">
        <v>41</v>
      </c>
      <c r="C61" s="18" t="s">
        <v>13</v>
      </c>
      <c r="D61" s="18" t="s">
        <v>15</v>
      </c>
      <c r="E61" s="18" t="s">
        <v>85</v>
      </c>
      <c r="F61" s="18" t="s">
        <v>89</v>
      </c>
      <c r="G61" s="18" t="s">
        <v>24</v>
      </c>
      <c r="H61" s="20">
        <v>5.2</v>
      </c>
      <c r="I61" s="20">
        <v>5.2</v>
      </c>
      <c r="J61" s="21">
        <f t="shared" si="0"/>
        <v>100</v>
      </c>
    </row>
    <row r="62" spans="2:10" s="16" customFormat="1" hidden="1" x14ac:dyDescent="0.25">
      <c r="B62" s="12" t="s">
        <v>19</v>
      </c>
      <c r="C62" s="13" t="s">
        <v>13</v>
      </c>
      <c r="D62" s="13" t="s">
        <v>15</v>
      </c>
      <c r="E62" s="13" t="s">
        <v>90</v>
      </c>
      <c r="F62" s="13"/>
      <c r="G62" s="13"/>
      <c r="H62" s="14">
        <f t="shared" ref="H62:I64" si="4">H63</f>
        <v>0</v>
      </c>
      <c r="I62" s="14">
        <f t="shared" si="4"/>
        <v>0</v>
      </c>
      <c r="J62" s="15" t="e">
        <f t="shared" si="0"/>
        <v>#DIV/0!</v>
      </c>
    </row>
    <row r="63" spans="2:10" ht="15" hidden="1" x14ac:dyDescent="0.2">
      <c r="B63" s="17" t="s">
        <v>19</v>
      </c>
      <c r="C63" s="18" t="s">
        <v>13</v>
      </c>
      <c r="D63" s="18" t="s">
        <v>15</v>
      </c>
      <c r="E63" s="18" t="s">
        <v>90</v>
      </c>
      <c r="F63" s="18" t="s">
        <v>20</v>
      </c>
      <c r="G63" s="13"/>
      <c r="H63" s="20">
        <f t="shared" si="4"/>
        <v>0</v>
      </c>
      <c r="I63" s="20">
        <f t="shared" si="4"/>
        <v>0</v>
      </c>
      <c r="J63" s="21" t="e">
        <f t="shared" si="0"/>
        <v>#DIV/0!</v>
      </c>
    </row>
    <row r="64" spans="2:10" ht="15" hidden="1" x14ac:dyDescent="0.2">
      <c r="B64" s="17" t="s">
        <v>21</v>
      </c>
      <c r="C64" s="18" t="s">
        <v>13</v>
      </c>
      <c r="D64" s="18" t="s">
        <v>15</v>
      </c>
      <c r="E64" s="18" t="s">
        <v>90</v>
      </c>
      <c r="F64" s="18" t="s">
        <v>22</v>
      </c>
      <c r="G64" s="18"/>
      <c r="H64" s="20">
        <f t="shared" si="4"/>
        <v>0</v>
      </c>
      <c r="I64" s="20">
        <f t="shared" si="4"/>
        <v>0</v>
      </c>
      <c r="J64" s="21" t="e">
        <f t="shared" si="0"/>
        <v>#DIV/0!</v>
      </c>
    </row>
    <row r="65" spans="2:10" ht="15" hidden="1" x14ac:dyDescent="0.2">
      <c r="B65" s="17" t="s">
        <v>91</v>
      </c>
      <c r="C65" s="18" t="s">
        <v>13</v>
      </c>
      <c r="D65" s="18" t="s">
        <v>15</v>
      </c>
      <c r="E65" s="18" t="s">
        <v>90</v>
      </c>
      <c r="F65" s="18" t="s">
        <v>22</v>
      </c>
      <c r="G65" s="18" t="s">
        <v>92</v>
      </c>
      <c r="H65" s="20">
        <f>50-50</f>
        <v>0</v>
      </c>
      <c r="I65" s="20"/>
      <c r="J65" s="21" t="e">
        <f t="shared" si="0"/>
        <v>#DIV/0!</v>
      </c>
    </row>
    <row r="66" spans="2:10" s="16" customFormat="1" x14ac:dyDescent="0.25">
      <c r="B66" s="12" t="s">
        <v>93</v>
      </c>
      <c r="C66" s="13" t="s">
        <v>13</v>
      </c>
      <c r="D66" s="13" t="s">
        <v>15</v>
      </c>
      <c r="E66" s="13" t="s">
        <v>94</v>
      </c>
      <c r="F66" s="13"/>
      <c r="G66" s="13"/>
      <c r="H66" s="14">
        <f>H71+H88+H95+H124+H80+H133+H67+H128</f>
        <v>11021.9</v>
      </c>
      <c r="I66" s="14">
        <f>I71+I88+I95+I124+I80+I133+I67+I128</f>
        <v>10952.2</v>
      </c>
      <c r="J66" s="15">
        <f t="shared" si="0"/>
        <v>99.367622642194192</v>
      </c>
    </row>
    <row r="67" spans="2:10" ht="15" x14ac:dyDescent="0.2">
      <c r="B67" s="28" t="s">
        <v>19</v>
      </c>
      <c r="C67" s="18" t="s">
        <v>13</v>
      </c>
      <c r="D67" s="18" t="s">
        <v>15</v>
      </c>
      <c r="E67" s="18" t="s">
        <v>94</v>
      </c>
      <c r="F67" s="18" t="s">
        <v>20</v>
      </c>
      <c r="G67" s="33"/>
      <c r="H67" s="20">
        <f>H68</f>
        <v>196.79999999999998</v>
      </c>
      <c r="I67" s="20">
        <f>I68</f>
        <v>196.8</v>
      </c>
      <c r="J67" s="21">
        <f t="shared" si="0"/>
        <v>100.00000000000003</v>
      </c>
    </row>
    <row r="68" spans="2:10" ht="15" x14ac:dyDescent="0.2">
      <c r="B68" s="28" t="s">
        <v>21</v>
      </c>
      <c r="C68" s="18" t="s">
        <v>13</v>
      </c>
      <c r="D68" s="18" t="s">
        <v>15</v>
      </c>
      <c r="E68" s="18" t="s">
        <v>94</v>
      </c>
      <c r="F68" s="18" t="s">
        <v>22</v>
      </c>
      <c r="G68" s="33"/>
      <c r="H68" s="20">
        <f>H69+H70</f>
        <v>196.79999999999998</v>
      </c>
      <c r="I68" s="20">
        <f>I69+I70</f>
        <v>196.8</v>
      </c>
      <c r="J68" s="21">
        <f t="shared" si="0"/>
        <v>100.00000000000003</v>
      </c>
    </row>
    <row r="69" spans="2:10" ht="15" x14ac:dyDescent="0.2">
      <c r="B69" s="28" t="s">
        <v>41</v>
      </c>
      <c r="C69" s="18" t="s">
        <v>13</v>
      </c>
      <c r="D69" s="18" t="s">
        <v>15</v>
      </c>
      <c r="E69" s="18" t="s">
        <v>94</v>
      </c>
      <c r="F69" s="18" t="s">
        <v>22</v>
      </c>
      <c r="G69" s="19" t="s">
        <v>24</v>
      </c>
      <c r="H69" s="20">
        <f>154.1-7.3</f>
        <v>146.79999999999998</v>
      </c>
      <c r="I69" s="20">
        <v>146.80000000000001</v>
      </c>
      <c r="J69" s="21">
        <f t="shared" si="0"/>
        <v>100.00000000000003</v>
      </c>
    </row>
    <row r="70" spans="2:10" ht="15" x14ac:dyDescent="0.2">
      <c r="B70" s="28" t="s">
        <v>95</v>
      </c>
      <c r="C70" s="18" t="s">
        <v>13</v>
      </c>
      <c r="D70" s="18" t="s">
        <v>15</v>
      </c>
      <c r="E70" s="18" t="s">
        <v>94</v>
      </c>
      <c r="F70" s="18" t="s">
        <v>22</v>
      </c>
      <c r="G70" s="19" t="s">
        <v>96</v>
      </c>
      <c r="H70" s="20">
        <v>50</v>
      </c>
      <c r="I70" s="20">
        <v>50</v>
      </c>
      <c r="J70" s="21">
        <f t="shared" si="0"/>
        <v>100</v>
      </c>
    </row>
    <row r="71" spans="2:10" ht="15" x14ac:dyDescent="0.2">
      <c r="B71" s="24" t="s">
        <v>97</v>
      </c>
      <c r="C71" s="18" t="s">
        <v>13</v>
      </c>
      <c r="D71" s="18" t="s">
        <v>15</v>
      </c>
      <c r="E71" s="18" t="s">
        <v>94</v>
      </c>
      <c r="F71" s="19" t="s">
        <v>98</v>
      </c>
      <c r="G71" s="18"/>
      <c r="H71" s="20">
        <f>H74+H72+H78+H76</f>
        <v>401.70000000000005</v>
      </c>
      <c r="I71" s="20">
        <f>I74+I72+I78+I76</f>
        <v>393.1</v>
      </c>
      <c r="J71" s="21">
        <f t="shared" si="0"/>
        <v>97.859098829972609</v>
      </c>
    </row>
    <row r="72" spans="2:10" ht="20.25" hidden="1" customHeight="1" x14ac:dyDescent="0.2">
      <c r="B72" s="22" t="s">
        <v>99</v>
      </c>
      <c r="C72" s="18" t="s">
        <v>13</v>
      </c>
      <c r="D72" s="18" t="s">
        <v>15</v>
      </c>
      <c r="E72" s="18" t="s">
        <v>94</v>
      </c>
      <c r="F72" s="18" t="s">
        <v>100</v>
      </c>
      <c r="G72" s="18"/>
      <c r="H72" s="20">
        <f>H73</f>
        <v>0</v>
      </c>
      <c r="I72" s="20">
        <f>I73</f>
        <v>0</v>
      </c>
      <c r="J72" s="21" t="e">
        <f t="shared" si="0"/>
        <v>#DIV/0!</v>
      </c>
    </row>
    <row r="73" spans="2:10" ht="26.25" hidden="1" customHeight="1" x14ac:dyDescent="0.2">
      <c r="B73" s="17" t="s">
        <v>23</v>
      </c>
      <c r="C73" s="18" t="s">
        <v>13</v>
      </c>
      <c r="D73" s="18" t="s">
        <v>15</v>
      </c>
      <c r="E73" s="18" t="s">
        <v>94</v>
      </c>
      <c r="F73" s="18" t="s">
        <v>100</v>
      </c>
      <c r="G73" s="18" t="s">
        <v>101</v>
      </c>
      <c r="H73" s="20">
        <v>0</v>
      </c>
      <c r="I73" s="20">
        <v>0</v>
      </c>
      <c r="J73" s="21" t="e">
        <f t="shared" ref="J73:J136" si="5">I73/H73*100</f>
        <v>#DIV/0!</v>
      </c>
    </row>
    <row r="74" spans="2:10" ht="15" x14ac:dyDescent="0.2">
      <c r="B74" s="34" t="s">
        <v>102</v>
      </c>
      <c r="C74" s="18" t="s">
        <v>13</v>
      </c>
      <c r="D74" s="18" t="s">
        <v>15</v>
      </c>
      <c r="E74" s="18" t="s">
        <v>94</v>
      </c>
      <c r="F74" s="18" t="s">
        <v>103</v>
      </c>
      <c r="G74" s="18"/>
      <c r="H74" s="20">
        <f>H75</f>
        <v>120</v>
      </c>
      <c r="I74" s="20">
        <f>I75</f>
        <v>111.4</v>
      </c>
      <c r="J74" s="21">
        <f t="shared" si="5"/>
        <v>92.833333333333329</v>
      </c>
    </row>
    <row r="75" spans="2:10" ht="15" x14ac:dyDescent="0.2">
      <c r="B75" s="17" t="s">
        <v>41</v>
      </c>
      <c r="C75" s="18" t="s">
        <v>13</v>
      </c>
      <c r="D75" s="18" t="s">
        <v>15</v>
      </c>
      <c r="E75" s="18" t="s">
        <v>94</v>
      </c>
      <c r="F75" s="18" t="s">
        <v>103</v>
      </c>
      <c r="G75" s="18" t="s">
        <v>24</v>
      </c>
      <c r="H75" s="20">
        <v>120</v>
      </c>
      <c r="I75" s="20">
        <v>111.4</v>
      </c>
      <c r="J75" s="21">
        <f t="shared" si="5"/>
        <v>92.833333333333329</v>
      </c>
    </row>
    <row r="76" spans="2:10" ht="51" x14ac:dyDescent="0.2">
      <c r="B76" s="34" t="s">
        <v>104</v>
      </c>
      <c r="C76" s="18" t="s">
        <v>13</v>
      </c>
      <c r="D76" s="18" t="s">
        <v>15</v>
      </c>
      <c r="E76" s="18" t="s">
        <v>94</v>
      </c>
      <c r="F76" s="18" t="s">
        <v>105</v>
      </c>
      <c r="G76" s="18"/>
      <c r="H76" s="20">
        <f>H77</f>
        <v>202.3</v>
      </c>
      <c r="I76" s="20">
        <f>I77</f>
        <v>202.3</v>
      </c>
      <c r="J76" s="21">
        <f t="shared" si="5"/>
        <v>100</v>
      </c>
    </row>
    <row r="77" spans="2:10" ht="15" x14ac:dyDescent="0.2">
      <c r="B77" s="17" t="s">
        <v>41</v>
      </c>
      <c r="C77" s="18" t="s">
        <v>13</v>
      </c>
      <c r="D77" s="18" t="s">
        <v>15</v>
      </c>
      <c r="E77" s="18" t="s">
        <v>94</v>
      </c>
      <c r="F77" s="18" t="s">
        <v>105</v>
      </c>
      <c r="G77" s="18" t="s">
        <v>24</v>
      </c>
      <c r="H77" s="20">
        <v>202.3</v>
      </c>
      <c r="I77" s="20">
        <v>202.3</v>
      </c>
      <c r="J77" s="21">
        <f t="shared" si="5"/>
        <v>100</v>
      </c>
    </row>
    <row r="78" spans="2:10" ht="25.5" x14ac:dyDescent="0.2">
      <c r="B78" s="34" t="s">
        <v>106</v>
      </c>
      <c r="C78" s="18" t="s">
        <v>13</v>
      </c>
      <c r="D78" s="18" t="s">
        <v>15</v>
      </c>
      <c r="E78" s="18" t="s">
        <v>94</v>
      </c>
      <c r="F78" s="18" t="s">
        <v>107</v>
      </c>
      <c r="G78" s="18"/>
      <c r="H78" s="20">
        <f>H79</f>
        <v>79.400000000000006</v>
      </c>
      <c r="I78" s="20">
        <f>I79</f>
        <v>79.400000000000006</v>
      </c>
      <c r="J78" s="21">
        <f t="shared" si="5"/>
        <v>100</v>
      </c>
    </row>
    <row r="79" spans="2:10" ht="15" x14ac:dyDescent="0.2">
      <c r="B79" s="17" t="s">
        <v>108</v>
      </c>
      <c r="C79" s="18" t="s">
        <v>13</v>
      </c>
      <c r="D79" s="18" t="s">
        <v>15</v>
      </c>
      <c r="E79" s="18" t="s">
        <v>94</v>
      </c>
      <c r="F79" s="18" t="s">
        <v>107</v>
      </c>
      <c r="G79" s="18" t="s">
        <v>109</v>
      </c>
      <c r="H79" s="20">
        <f>69+10.4</f>
        <v>79.400000000000006</v>
      </c>
      <c r="I79" s="20">
        <v>79.400000000000006</v>
      </c>
      <c r="J79" s="21">
        <f>I79/H79*100</f>
        <v>100</v>
      </c>
    </row>
    <row r="80" spans="2:10" ht="25.5" x14ac:dyDescent="0.2">
      <c r="B80" s="17" t="s">
        <v>33</v>
      </c>
      <c r="C80" s="18" t="s">
        <v>13</v>
      </c>
      <c r="D80" s="18" t="s">
        <v>15</v>
      </c>
      <c r="E80" s="18" t="s">
        <v>94</v>
      </c>
      <c r="F80" s="9" t="s">
        <v>34</v>
      </c>
      <c r="G80" s="18"/>
      <c r="H80" s="20">
        <f>H81</f>
        <v>889.6</v>
      </c>
      <c r="I80" s="20">
        <f>I81</f>
        <v>889.6</v>
      </c>
      <c r="J80" s="21">
        <f t="shared" si="5"/>
        <v>100</v>
      </c>
    </row>
    <row r="81" spans="2:10" ht="25.5" x14ac:dyDescent="0.2">
      <c r="B81" s="17" t="s">
        <v>110</v>
      </c>
      <c r="C81" s="18" t="s">
        <v>13</v>
      </c>
      <c r="D81" s="18" t="s">
        <v>15</v>
      </c>
      <c r="E81" s="18" t="s">
        <v>94</v>
      </c>
      <c r="F81" s="9" t="s">
        <v>111</v>
      </c>
      <c r="G81" s="18"/>
      <c r="H81" s="20">
        <f>H82+H85</f>
        <v>889.6</v>
      </c>
      <c r="I81" s="20">
        <f>I82+I85</f>
        <v>889.6</v>
      </c>
      <c r="J81" s="21">
        <f t="shared" si="5"/>
        <v>100</v>
      </c>
    </row>
    <row r="82" spans="2:10" ht="25.5" x14ac:dyDescent="0.2">
      <c r="B82" s="29" t="s">
        <v>112</v>
      </c>
      <c r="C82" s="18" t="s">
        <v>13</v>
      </c>
      <c r="D82" s="18" t="s">
        <v>15</v>
      </c>
      <c r="E82" s="18" t="s">
        <v>94</v>
      </c>
      <c r="F82" s="25" t="s">
        <v>113</v>
      </c>
      <c r="G82" s="18"/>
      <c r="H82" s="20">
        <f>H83</f>
        <v>301</v>
      </c>
      <c r="I82" s="20">
        <f>I83</f>
        <v>301</v>
      </c>
      <c r="J82" s="21">
        <f t="shared" si="5"/>
        <v>100</v>
      </c>
    </row>
    <row r="83" spans="2:10" ht="15" x14ac:dyDescent="0.2">
      <c r="B83" s="29" t="s">
        <v>114</v>
      </c>
      <c r="C83" s="18" t="s">
        <v>13</v>
      </c>
      <c r="D83" s="18" t="s">
        <v>15</v>
      </c>
      <c r="E83" s="18" t="s">
        <v>94</v>
      </c>
      <c r="F83" s="25" t="s">
        <v>115</v>
      </c>
      <c r="G83" s="18"/>
      <c r="H83" s="20">
        <f>H84</f>
        <v>301</v>
      </c>
      <c r="I83" s="20">
        <f>I84</f>
        <v>301</v>
      </c>
      <c r="J83" s="21">
        <f t="shared" si="5"/>
        <v>100</v>
      </c>
    </row>
    <row r="84" spans="2:10" ht="25.5" x14ac:dyDescent="0.2">
      <c r="B84" s="17" t="s">
        <v>116</v>
      </c>
      <c r="C84" s="18" t="s">
        <v>13</v>
      </c>
      <c r="D84" s="18" t="s">
        <v>15</v>
      </c>
      <c r="E84" s="18" t="s">
        <v>94</v>
      </c>
      <c r="F84" s="25" t="s">
        <v>115</v>
      </c>
      <c r="G84" s="18" t="s">
        <v>117</v>
      </c>
      <c r="H84" s="20">
        <f>262+39</f>
        <v>301</v>
      </c>
      <c r="I84" s="35">
        <v>301</v>
      </c>
      <c r="J84" s="21">
        <f t="shared" si="5"/>
        <v>100</v>
      </c>
    </row>
    <row r="85" spans="2:10" ht="25.5" x14ac:dyDescent="0.2">
      <c r="B85" s="29" t="s">
        <v>118</v>
      </c>
      <c r="C85" s="18" t="s">
        <v>13</v>
      </c>
      <c r="D85" s="18" t="s">
        <v>15</v>
      </c>
      <c r="E85" s="18" t="s">
        <v>94</v>
      </c>
      <c r="F85" s="25" t="s">
        <v>119</v>
      </c>
      <c r="G85" s="18"/>
      <c r="H85" s="20">
        <f>H86</f>
        <v>588.6</v>
      </c>
      <c r="I85" s="20">
        <f>I86</f>
        <v>588.6</v>
      </c>
      <c r="J85" s="21">
        <f t="shared" si="5"/>
        <v>100</v>
      </c>
    </row>
    <row r="86" spans="2:10" ht="15" x14ac:dyDescent="0.2">
      <c r="B86" s="29" t="s">
        <v>114</v>
      </c>
      <c r="C86" s="18" t="s">
        <v>13</v>
      </c>
      <c r="D86" s="18" t="s">
        <v>15</v>
      </c>
      <c r="E86" s="18" t="s">
        <v>94</v>
      </c>
      <c r="F86" s="25" t="s">
        <v>120</v>
      </c>
      <c r="G86" s="18"/>
      <c r="H86" s="20">
        <f>H87</f>
        <v>588.6</v>
      </c>
      <c r="I86" s="20">
        <f>I87</f>
        <v>588.6</v>
      </c>
      <c r="J86" s="21">
        <f t="shared" si="5"/>
        <v>100</v>
      </c>
    </row>
    <row r="87" spans="2:10" ht="25.5" x14ac:dyDescent="0.2">
      <c r="B87" s="17" t="s">
        <v>116</v>
      </c>
      <c r="C87" s="18" t="s">
        <v>13</v>
      </c>
      <c r="D87" s="18" t="s">
        <v>15</v>
      </c>
      <c r="E87" s="18" t="s">
        <v>94</v>
      </c>
      <c r="F87" s="25" t="s">
        <v>120</v>
      </c>
      <c r="G87" s="18" t="s">
        <v>117</v>
      </c>
      <c r="H87" s="20">
        <f>523.6+65</f>
        <v>588.6</v>
      </c>
      <c r="I87" s="35">
        <v>588.6</v>
      </c>
      <c r="J87" s="21">
        <f t="shared" si="5"/>
        <v>100</v>
      </c>
    </row>
    <row r="88" spans="2:10" s="36" customFormat="1" ht="15" x14ac:dyDescent="0.2">
      <c r="B88" s="17" t="s">
        <v>121</v>
      </c>
      <c r="C88" s="18" t="s">
        <v>13</v>
      </c>
      <c r="D88" s="18" t="s">
        <v>15</v>
      </c>
      <c r="E88" s="18" t="s">
        <v>94</v>
      </c>
      <c r="F88" s="9" t="s">
        <v>122</v>
      </c>
      <c r="G88" s="18"/>
      <c r="H88" s="20">
        <f>H89+H92</f>
        <v>100</v>
      </c>
      <c r="I88" s="20">
        <f>I89+I92</f>
        <v>100</v>
      </c>
      <c r="J88" s="21">
        <f t="shared" si="5"/>
        <v>100</v>
      </c>
    </row>
    <row r="89" spans="2:10" s="36" customFormat="1" ht="15" x14ac:dyDescent="0.2">
      <c r="B89" s="17" t="s">
        <v>123</v>
      </c>
      <c r="C89" s="18" t="s">
        <v>13</v>
      </c>
      <c r="D89" s="18" t="s">
        <v>15</v>
      </c>
      <c r="E89" s="18" t="s">
        <v>94</v>
      </c>
      <c r="F89" s="9" t="s">
        <v>124</v>
      </c>
      <c r="G89" s="18"/>
      <c r="H89" s="20">
        <f>H90</f>
        <v>100</v>
      </c>
      <c r="I89" s="20">
        <f>I90</f>
        <v>100</v>
      </c>
      <c r="J89" s="21">
        <f t="shared" si="5"/>
        <v>100</v>
      </c>
    </row>
    <row r="90" spans="2:10" s="36" customFormat="1" ht="25.5" x14ac:dyDescent="0.2">
      <c r="B90" s="17" t="s">
        <v>125</v>
      </c>
      <c r="C90" s="18" t="s">
        <v>13</v>
      </c>
      <c r="D90" s="18" t="s">
        <v>15</v>
      </c>
      <c r="E90" s="18" t="s">
        <v>94</v>
      </c>
      <c r="F90" s="9" t="s">
        <v>126</v>
      </c>
      <c r="G90" s="18"/>
      <c r="H90" s="20">
        <f>H91</f>
        <v>100</v>
      </c>
      <c r="I90" s="20">
        <f>I91</f>
        <v>100</v>
      </c>
      <c r="J90" s="21">
        <f t="shared" si="5"/>
        <v>100</v>
      </c>
    </row>
    <row r="91" spans="2:10" s="36" customFormat="1" ht="15" x14ac:dyDescent="0.2">
      <c r="B91" s="30" t="s">
        <v>127</v>
      </c>
      <c r="C91" s="18" t="s">
        <v>13</v>
      </c>
      <c r="D91" s="18" t="s">
        <v>15</v>
      </c>
      <c r="E91" s="18" t="s">
        <v>94</v>
      </c>
      <c r="F91" s="9" t="s">
        <v>126</v>
      </c>
      <c r="G91" s="18" t="s">
        <v>128</v>
      </c>
      <c r="H91" s="20">
        <v>100</v>
      </c>
      <c r="I91" s="20">
        <v>100</v>
      </c>
      <c r="J91" s="21">
        <f t="shared" si="5"/>
        <v>100</v>
      </c>
    </row>
    <row r="92" spans="2:10" s="36" customFormat="1" ht="24.75" hidden="1" customHeight="1" x14ac:dyDescent="0.2">
      <c r="B92" s="17" t="s">
        <v>129</v>
      </c>
      <c r="C92" s="18" t="s">
        <v>13</v>
      </c>
      <c r="D92" s="18" t="s">
        <v>15</v>
      </c>
      <c r="E92" s="18" t="s">
        <v>94</v>
      </c>
      <c r="F92" s="9" t="s">
        <v>130</v>
      </c>
      <c r="G92" s="18"/>
      <c r="H92" s="20">
        <f>H93</f>
        <v>0</v>
      </c>
      <c r="I92" s="20">
        <f>I93</f>
        <v>0</v>
      </c>
      <c r="J92" s="21" t="e">
        <f t="shared" si="5"/>
        <v>#DIV/0!</v>
      </c>
    </row>
    <row r="93" spans="2:10" s="36" customFormat="1" ht="24.75" hidden="1" customHeight="1" x14ac:dyDescent="0.2">
      <c r="B93" s="37" t="s">
        <v>131</v>
      </c>
      <c r="C93" s="18" t="s">
        <v>13</v>
      </c>
      <c r="D93" s="18" t="s">
        <v>15</v>
      </c>
      <c r="E93" s="18" t="s">
        <v>94</v>
      </c>
      <c r="F93" s="9" t="s">
        <v>132</v>
      </c>
      <c r="G93" s="18"/>
      <c r="H93" s="20">
        <f>H94</f>
        <v>0</v>
      </c>
      <c r="I93" s="20">
        <f>I94</f>
        <v>0</v>
      </c>
      <c r="J93" s="21" t="e">
        <f t="shared" si="5"/>
        <v>#DIV/0!</v>
      </c>
    </row>
    <row r="94" spans="2:10" s="36" customFormat="1" ht="13.5" hidden="1" customHeight="1" x14ac:dyDescent="0.2">
      <c r="B94" s="30" t="s">
        <v>127</v>
      </c>
      <c r="C94" s="18" t="s">
        <v>13</v>
      </c>
      <c r="D94" s="18" t="s">
        <v>15</v>
      </c>
      <c r="E94" s="18" t="s">
        <v>94</v>
      </c>
      <c r="F94" s="9" t="s">
        <v>132</v>
      </c>
      <c r="G94" s="18" t="s">
        <v>128</v>
      </c>
      <c r="H94" s="20"/>
      <c r="I94" s="20"/>
      <c r="J94" s="21" t="e">
        <f t="shared" si="5"/>
        <v>#DIV/0!</v>
      </c>
    </row>
    <row r="95" spans="2:10" s="36" customFormat="1" ht="25.5" x14ac:dyDescent="0.2">
      <c r="B95" s="22" t="s">
        <v>42</v>
      </c>
      <c r="C95" s="18" t="s">
        <v>13</v>
      </c>
      <c r="D95" s="18" t="s">
        <v>15</v>
      </c>
      <c r="E95" s="18" t="s">
        <v>94</v>
      </c>
      <c r="F95" s="9" t="s">
        <v>43</v>
      </c>
      <c r="G95" s="18"/>
      <c r="H95" s="20">
        <f>H96+H105+H109+H118</f>
        <v>8665.2000000000007</v>
      </c>
      <c r="I95" s="20">
        <f>I96+I105+I109+I118</f>
        <v>8659.4000000000015</v>
      </c>
      <c r="J95" s="21">
        <f t="shared" si="5"/>
        <v>99.933065595716215</v>
      </c>
    </row>
    <row r="96" spans="2:10" s="36" customFormat="1" ht="15" x14ac:dyDescent="0.2">
      <c r="B96" s="23" t="s">
        <v>133</v>
      </c>
      <c r="C96" s="18" t="s">
        <v>13</v>
      </c>
      <c r="D96" s="18" t="s">
        <v>15</v>
      </c>
      <c r="E96" s="18" t="s">
        <v>94</v>
      </c>
      <c r="F96" s="9" t="s">
        <v>134</v>
      </c>
      <c r="G96" s="18"/>
      <c r="H96" s="20">
        <f>H97+H102</f>
        <v>295.7</v>
      </c>
      <c r="I96" s="20">
        <f>I97+I102</f>
        <v>295.7</v>
      </c>
      <c r="J96" s="21">
        <f t="shared" si="5"/>
        <v>100</v>
      </c>
    </row>
    <row r="97" spans="2:10" s="36" customFormat="1" ht="15" x14ac:dyDescent="0.2">
      <c r="B97" s="23" t="s">
        <v>135</v>
      </c>
      <c r="C97" s="18" t="s">
        <v>13</v>
      </c>
      <c r="D97" s="18" t="s">
        <v>15</v>
      </c>
      <c r="E97" s="18" t="s">
        <v>94</v>
      </c>
      <c r="F97" s="9" t="s">
        <v>136</v>
      </c>
      <c r="G97" s="18"/>
      <c r="H97" s="20">
        <f>H98+H100</f>
        <v>246</v>
      </c>
      <c r="I97" s="20">
        <f>I98+I100</f>
        <v>246</v>
      </c>
      <c r="J97" s="21">
        <f t="shared" si="5"/>
        <v>100</v>
      </c>
    </row>
    <row r="98" spans="2:10" s="36" customFormat="1" ht="15" x14ac:dyDescent="0.2">
      <c r="B98" s="17" t="s">
        <v>137</v>
      </c>
      <c r="C98" s="18" t="s">
        <v>13</v>
      </c>
      <c r="D98" s="18" t="s">
        <v>15</v>
      </c>
      <c r="E98" s="18" t="s">
        <v>94</v>
      </c>
      <c r="F98" s="9" t="s">
        <v>138</v>
      </c>
      <c r="G98" s="18"/>
      <c r="H98" s="20">
        <f>H99</f>
        <v>246</v>
      </c>
      <c r="I98" s="20">
        <f>I99</f>
        <v>246</v>
      </c>
      <c r="J98" s="21">
        <f t="shared" si="5"/>
        <v>100</v>
      </c>
    </row>
    <row r="99" spans="2:10" s="36" customFormat="1" ht="15" x14ac:dyDescent="0.2">
      <c r="B99" s="30" t="s">
        <v>108</v>
      </c>
      <c r="C99" s="18" t="s">
        <v>13</v>
      </c>
      <c r="D99" s="18" t="s">
        <v>15</v>
      </c>
      <c r="E99" s="18" t="s">
        <v>94</v>
      </c>
      <c r="F99" s="9" t="s">
        <v>138</v>
      </c>
      <c r="G99" s="18" t="s">
        <v>109</v>
      </c>
      <c r="H99" s="20">
        <f>270-24</f>
        <v>246</v>
      </c>
      <c r="I99" s="20">
        <v>246</v>
      </c>
      <c r="J99" s="21">
        <f t="shared" si="5"/>
        <v>100</v>
      </c>
    </row>
    <row r="100" spans="2:10" s="36" customFormat="1" ht="17.25" hidden="1" customHeight="1" x14ac:dyDescent="0.2">
      <c r="B100" s="17" t="s">
        <v>139</v>
      </c>
      <c r="C100" s="18" t="s">
        <v>13</v>
      </c>
      <c r="D100" s="18" t="s">
        <v>15</v>
      </c>
      <c r="E100" s="18" t="s">
        <v>94</v>
      </c>
      <c r="F100" s="9" t="s">
        <v>140</v>
      </c>
      <c r="G100" s="18"/>
      <c r="H100" s="20">
        <f>H101</f>
        <v>0</v>
      </c>
      <c r="I100" s="20">
        <f>I101</f>
        <v>0</v>
      </c>
      <c r="J100" s="21" t="e">
        <f t="shared" si="5"/>
        <v>#DIV/0!</v>
      </c>
    </row>
    <row r="101" spans="2:10" s="36" customFormat="1" ht="23.25" hidden="1" customHeight="1" x14ac:dyDescent="0.2">
      <c r="B101" s="17" t="s">
        <v>23</v>
      </c>
      <c r="C101" s="18" t="s">
        <v>13</v>
      </c>
      <c r="D101" s="18" t="s">
        <v>15</v>
      </c>
      <c r="E101" s="18" t="s">
        <v>94</v>
      </c>
      <c r="F101" s="9" t="s">
        <v>140</v>
      </c>
      <c r="G101" s="18" t="s">
        <v>24</v>
      </c>
      <c r="H101" s="20">
        <v>0</v>
      </c>
      <c r="I101" s="20">
        <v>0</v>
      </c>
      <c r="J101" s="21" t="e">
        <f t="shared" si="5"/>
        <v>#DIV/0!</v>
      </c>
    </row>
    <row r="102" spans="2:10" s="36" customFormat="1" ht="15" x14ac:dyDescent="0.2">
      <c r="B102" s="17" t="s">
        <v>141</v>
      </c>
      <c r="C102" s="18" t="s">
        <v>13</v>
      </c>
      <c r="D102" s="18" t="s">
        <v>15</v>
      </c>
      <c r="E102" s="18" t="s">
        <v>94</v>
      </c>
      <c r="F102" s="9" t="s">
        <v>142</v>
      </c>
      <c r="G102" s="18"/>
      <c r="H102" s="20">
        <f>H103</f>
        <v>49.7</v>
      </c>
      <c r="I102" s="20">
        <f>I103</f>
        <v>49.7</v>
      </c>
      <c r="J102" s="21">
        <f t="shared" si="5"/>
        <v>100</v>
      </c>
    </row>
    <row r="103" spans="2:10" s="36" customFormat="1" ht="15" x14ac:dyDescent="0.2">
      <c r="B103" s="17" t="s">
        <v>143</v>
      </c>
      <c r="C103" s="18" t="s">
        <v>13</v>
      </c>
      <c r="D103" s="18" t="s">
        <v>15</v>
      </c>
      <c r="E103" s="18" t="s">
        <v>94</v>
      </c>
      <c r="F103" s="9" t="s">
        <v>144</v>
      </c>
      <c r="G103" s="18"/>
      <c r="H103" s="20">
        <f>H104</f>
        <v>49.7</v>
      </c>
      <c r="I103" s="20">
        <f>I104</f>
        <v>49.7</v>
      </c>
      <c r="J103" s="21">
        <f t="shared" si="5"/>
        <v>100</v>
      </c>
    </row>
    <row r="104" spans="2:10" s="36" customFormat="1" ht="15" x14ac:dyDescent="0.2">
      <c r="B104" s="17" t="s">
        <v>41</v>
      </c>
      <c r="C104" s="18" t="s">
        <v>13</v>
      </c>
      <c r="D104" s="18" t="s">
        <v>15</v>
      </c>
      <c r="E104" s="18" t="s">
        <v>94</v>
      </c>
      <c r="F104" s="9" t="s">
        <v>144</v>
      </c>
      <c r="G104" s="18" t="s">
        <v>24</v>
      </c>
      <c r="H104" s="20">
        <f>80-30.3</f>
        <v>49.7</v>
      </c>
      <c r="I104" s="20">
        <v>49.7</v>
      </c>
      <c r="J104" s="21">
        <f t="shared" si="5"/>
        <v>100</v>
      </c>
    </row>
    <row r="105" spans="2:10" s="36" customFormat="1" ht="25.5" x14ac:dyDescent="0.2">
      <c r="B105" s="23" t="s">
        <v>145</v>
      </c>
      <c r="C105" s="18" t="s">
        <v>13</v>
      </c>
      <c r="D105" s="18" t="s">
        <v>15</v>
      </c>
      <c r="E105" s="18" t="s">
        <v>94</v>
      </c>
      <c r="F105" s="9" t="s">
        <v>146</v>
      </c>
      <c r="G105" s="18"/>
      <c r="H105" s="20">
        <f t="shared" ref="H105:I107" si="6">H106</f>
        <v>5</v>
      </c>
      <c r="I105" s="20">
        <f t="shared" si="6"/>
        <v>5</v>
      </c>
      <c r="J105" s="21">
        <f t="shared" si="5"/>
        <v>100</v>
      </c>
    </row>
    <row r="106" spans="2:10" s="36" customFormat="1" ht="25.5" x14ac:dyDescent="0.2">
      <c r="B106" s="23" t="s">
        <v>147</v>
      </c>
      <c r="C106" s="18" t="s">
        <v>13</v>
      </c>
      <c r="D106" s="18" t="s">
        <v>15</v>
      </c>
      <c r="E106" s="18" t="s">
        <v>94</v>
      </c>
      <c r="F106" s="9" t="s">
        <v>148</v>
      </c>
      <c r="G106" s="18"/>
      <c r="H106" s="20">
        <f t="shared" si="6"/>
        <v>5</v>
      </c>
      <c r="I106" s="20">
        <f t="shared" si="6"/>
        <v>5</v>
      </c>
      <c r="J106" s="21">
        <f t="shared" si="5"/>
        <v>100</v>
      </c>
    </row>
    <row r="107" spans="2:10" s="36" customFormat="1" ht="15" x14ac:dyDescent="0.2">
      <c r="B107" s="37" t="s">
        <v>149</v>
      </c>
      <c r="C107" s="18" t="s">
        <v>13</v>
      </c>
      <c r="D107" s="18" t="s">
        <v>15</v>
      </c>
      <c r="E107" s="18" t="s">
        <v>94</v>
      </c>
      <c r="F107" s="9" t="s">
        <v>150</v>
      </c>
      <c r="G107" s="18"/>
      <c r="H107" s="20">
        <f t="shared" si="6"/>
        <v>5</v>
      </c>
      <c r="I107" s="20">
        <f t="shared" si="6"/>
        <v>5</v>
      </c>
      <c r="J107" s="21">
        <f t="shared" si="5"/>
        <v>100</v>
      </c>
    </row>
    <row r="108" spans="2:10" s="36" customFormat="1" ht="15" x14ac:dyDescent="0.2">
      <c r="B108" s="17" t="s">
        <v>41</v>
      </c>
      <c r="C108" s="18" t="s">
        <v>13</v>
      </c>
      <c r="D108" s="18" t="s">
        <v>15</v>
      </c>
      <c r="E108" s="18" t="s">
        <v>94</v>
      </c>
      <c r="F108" s="9" t="s">
        <v>150</v>
      </c>
      <c r="G108" s="18" t="s">
        <v>24</v>
      </c>
      <c r="H108" s="20">
        <v>5</v>
      </c>
      <c r="I108" s="20">
        <v>5</v>
      </c>
      <c r="J108" s="21">
        <f t="shared" si="5"/>
        <v>100</v>
      </c>
    </row>
    <row r="109" spans="2:10" s="36" customFormat="1" ht="38.25" x14ac:dyDescent="0.2">
      <c r="B109" s="23" t="s">
        <v>151</v>
      </c>
      <c r="C109" s="18" t="s">
        <v>13</v>
      </c>
      <c r="D109" s="18" t="s">
        <v>15</v>
      </c>
      <c r="E109" s="18" t="s">
        <v>94</v>
      </c>
      <c r="F109" s="9" t="s">
        <v>152</v>
      </c>
      <c r="G109" s="18"/>
      <c r="H109" s="20">
        <f>H110</f>
        <v>8273.1</v>
      </c>
      <c r="I109" s="20">
        <f>I110</f>
        <v>8267.3000000000011</v>
      </c>
      <c r="J109" s="21">
        <f t="shared" si="5"/>
        <v>99.929893268545058</v>
      </c>
    </row>
    <row r="110" spans="2:10" s="36" customFormat="1" ht="38.25" x14ac:dyDescent="0.2">
      <c r="B110" s="23" t="s">
        <v>153</v>
      </c>
      <c r="C110" s="18" t="s">
        <v>13</v>
      </c>
      <c r="D110" s="18" t="s">
        <v>15</v>
      </c>
      <c r="E110" s="18" t="s">
        <v>94</v>
      </c>
      <c r="F110" s="9" t="s">
        <v>154</v>
      </c>
      <c r="G110" s="18"/>
      <c r="H110" s="20">
        <f>H111+H115</f>
        <v>8273.1</v>
      </c>
      <c r="I110" s="20">
        <f>I111+I115</f>
        <v>8267.3000000000011</v>
      </c>
      <c r="J110" s="21">
        <f t="shared" si="5"/>
        <v>99.929893268545058</v>
      </c>
    </row>
    <row r="111" spans="2:10" s="36" customFormat="1" ht="15" x14ac:dyDescent="0.2">
      <c r="B111" s="37" t="s">
        <v>155</v>
      </c>
      <c r="C111" s="18" t="s">
        <v>13</v>
      </c>
      <c r="D111" s="18" t="s">
        <v>15</v>
      </c>
      <c r="E111" s="18" t="s">
        <v>94</v>
      </c>
      <c r="F111" s="9" t="s">
        <v>156</v>
      </c>
      <c r="G111" s="18"/>
      <c r="H111" s="20">
        <f>H112+H113+H114</f>
        <v>6522</v>
      </c>
      <c r="I111" s="20">
        <f>I112+I113+I114</f>
        <v>6516.2000000000007</v>
      </c>
      <c r="J111" s="21">
        <f t="shared" si="5"/>
        <v>99.91107022385772</v>
      </c>
    </row>
    <row r="112" spans="2:10" s="36" customFormat="1" ht="15" x14ac:dyDescent="0.2">
      <c r="B112" s="38" t="s">
        <v>157</v>
      </c>
      <c r="C112" s="18" t="s">
        <v>13</v>
      </c>
      <c r="D112" s="18" t="s">
        <v>15</v>
      </c>
      <c r="E112" s="18" t="s">
        <v>94</v>
      </c>
      <c r="F112" s="9" t="s">
        <v>156</v>
      </c>
      <c r="G112" s="18" t="s">
        <v>158</v>
      </c>
      <c r="H112" s="20">
        <f>4936.2-23</f>
        <v>4913.2</v>
      </c>
      <c r="I112" s="20">
        <v>4911.3</v>
      </c>
      <c r="J112" s="21">
        <f t="shared" si="5"/>
        <v>99.961328665635435</v>
      </c>
    </row>
    <row r="113" spans="2:10" s="36" customFormat="1" ht="15" x14ac:dyDescent="0.2">
      <c r="B113" s="17" t="s">
        <v>41</v>
      </c>
      <c r="C113" s="18" t="s">
        <v>13</v>
      </c>
      <c r="D113" s="18" t="s">
        <v>15</v>
      </c>
      <c r="E113" s="18" t="s">
        <v>94</v>
      </c>
      <c r="F113" s="9" t="s">
        <v>156</v>
      </c>
      <c r="G113" s="18" t="s">
        <v>24</v>
      </c>
      <c r="H113" s="20">
        <f>1584.8+23</f>
        <v>1607.8</v>
      </c>
      <c r="I113" s="20">
        <v>1604.9</v>
      </c>
      <c r="J113" s="21">
        <f t="shared" si="5"/>
        <v>99.819629307127755</v>
      </c>
    </row>
    <row r="114" spans="2:10" s="36" customFormat="1" ht="15" x14ac:dyDescent="0.2">
      <c r="B114" s="24" t="s">
        <v>50</v>
      </c>
      <c r="C114" s="18" t="s">
        <v>13</v>
      </c>
      <c r="D114" s="18" t="s">
        <v>15</v>
      </c>
      <c r="E114" s="18" t="s">
        <v>94</v>
      </c>
      <c r="F114" s="9" t="s">
        <v>156</v>
      </c>
      <c r="G114" s="18" t="s">
        <v>51</v>
      </c>
      <c r="H114" s="20">
        <v>1</v>
      </c>
      <c r="I114" s="20">
        <v>0</v>
      </c>
      <c r="J114" s="21">
        <f t="shared" si="5"/>
        <v>0</v>
      </c>
    </row>
    <row r="115" spans="2:10" s="36" customFormat="1" ht="51" x14ac:dyDescent="0.2">
      <c r="B115" s="34" t="s">
        <v>159</v>
      </c>
      <c r="C115" s="18" t="s">
        <v>13</v>
      </c>
      <c r="D115" s="18" t="s">
        <v>15</v>
      </c>
      <c r="E115" s="18" t="s">
        <v>94</v>
      </c>
      <c r="F115" s="9" t="s">
        <v>160</v>
      </c>
      <c r="G115" s="18"/>
      <c r="H115" s="20">
        <f>H116+H117</f>
        <v>1751.1</v>
      </c>
      <c r="I115" s="20">
        <f>I116+I117</f>
        <v>1751.1</v>
      </c>
      <c r="J115" s="21">
        <f t="shared" si="5"/>
        <v>100</v>
      </c>
    </row>
    <row r="116" spans="2:10" s="36" customFormat="1" ht="15" x14ac:dyDescent="0.2">
      <c r="B116" s="38" t="s">
        <v>157</v>
      </c>
      <c r="C116" s="18" t="s">
        <v>13</v>
      </c>
      <c r="D116" s="18" t="s">
        <v>15</v>
      </c>
      <c r="E116" s="18" t="s">
        <v>94</v>
      </c>
      <c r="F116" s="9" t="s">
        <v>160</v>
      </c>
      <c r="G116" s="18" t="s">
        <v>158</v>
      </c>
      <c r="H116" s="20">
        <f>1377.3+47.9</f>
        <v>1425.2</v>
      </c>
      <c r="I116" s="20">
        <v>1425.2</v>
      </c>
      <c r="J116" s="21">
        <f t="shared" si="5"/>
        <v>100</v>
      </c>
    </row>
    <row r="117" spans="2:10" s="36" customFormat="1" ht="15" x14ac:dyDescent="0.2">
      <c r="B117" s="17" t="s">
        <v>41</v>
      </c>
      <c r="C117" s="18" t="s">
        <v>13</v>
      </c>
      <c r="D117" s="18" t="s">
        <v>15</v>
      </c>
      <c r="E117" s="18" t="s">
        <v>94</v>
      </c>
      <c r="F117" s="9" t="s">
        <v>160</v>
      </c>
      <c r="G117" s="18" t="s">
        <v>24</v>
      </c>
      <c r="H117" s="20">
        <f>241.8+84.1</f>
        <v>325.89999999999998</v>
      </c>
      <c r="I117" s="20">
        <v>325.89999999999998</v>
      </c>
      <c r="J117" s="21">
        <f t="shared" si="5"/>
        <v>100</v>
      </c>
    </row>
    <row r="118" spans="2:10" s="36" customFormat="1" ht="25.5" x14ac:dyDescent="0.2">
      <c r="B118" s="23" t="s">
        <v>44</v>
      </c>
      <c r="C118" s="18" t="s">
        <v>13</v>
      </c>
      <c r="D118" s="18" t="s">
        <v>15</v>
      </c>
      <c r="E118" s="18" t="s">
        <v>94</v>
      </c>
      <c r="F118" s="9" t="s">
        <v>45</v>
      </c>
      <c r="G118" s="19"/>
      <c r="H118" s="20">
        <f>H119</f>
        <v>91.4</v>
      </c>
      <c r="I118" s="20">
        <f>I119</f>
        <v>91.4</v>
      </c>
      <c r="J118" s="21">
        <f t="shared" si="5"/>
        <v>100</v>
      </c>
    </row>
    <row r="119" spans="2:10" s="36" customFormat="1" ht="15" x14ac:dyDescent="0.2">
      <c r="B119" s="23" t="s">
        <v>46</v>
      </c>
      <c r="C119" s="18" t="s">
        <v>13</v>
      </c>
      <c r="D119" s="18" t="s">
        <v>15</v>
      </c>
      <c r="E119" s="18" t="s">
        <v>94</v>
      </c>
      <c r="F119" s="9" t="s">
        <v>47</v>
      </c>
      <c r="G119" s="19"/>
      <c r="H119" s="20">
        <f>H120+H122</f>
        <v>91.4</v>
      </c>
      <c r="I119" s="20">
        <f>I120+I122</f>
        <v>91.4</v>
      </c>
      <c r="J119" s="21">
        <f t="shared" si="5"/>
        <v>100</v>
      </c>
    </row>
    <row r="120" spans="2:10" s="36" customFormat="1" ht="15" x14ac:dyDescent="0.2">
      <c r="B120" s="38" t="s">
        <v>161</v>
      </c>
      <c r="C120" s="18" t="s">
        <v>13</v>
      </c>
      <c r="D120" s="18" t="s">
        <v>15</v>
      </c>
      <c r="E120" s="18" t="s">
        <v>94</v>
      </c>
      <c r="F120" s="18" t="s">
        <v>162</v>
      </c>
      <c r="G120" s="19"/>
      <c r="H120" s="20">
        <f>H121</f>
        <v>82.4</v>
      </c>
      <c r="I120" s="20">
        <f>I121</f>
        <v>82.4</v>
      </c>
      <c r="J120" s="21">
        <f t="shared" si="5"/>
        <v>100</v>
      </c>
    </row>
    <row r="121" spans="2:10" s="36" customFormat="1" ht="15" x14ac:dyDescent="0.2">
      <c r="B121" s="17" t="s">
        <v>50</v>
      </c>
      <c r="C121" s="18" t="s">
        <v>13</v>
      </c>
      <c r="D121" s="18" t="s">
        <v>15</v>
      </c>
      <c r="E121" s="18" t="s">
        <v>94</v>
      </c>
      <c r="F121" s="18" t="s">
        <v>162</v>
      </c>
      <c r="G121" s="19" t="s">
        <v>51</v>
      </c>
      <c r="H121" s="20">
        <v>82.4</v>
      </c>
      <c r="I121" s="20">
        <v>82.4</v>
      </c>
      <c r="J121" s="21">
        <f t="shared" si="5"/>
        <v>100</v>
      </c>
    </row>
    <row r="122" spans="2:10" s="36" customFormat="1" ht="15" x14ac:dyDescent="0.2">
      <c r="B122" s="17" t="s">
        <v>163</v>
      </c>
      <c r="C122" s="18" t="s">
        <v>13</v>
      </c>
      <c r="D122" s="18" t="s">
        <v>15</v>
      </c>
      <c r="E122" s="18" t="s">
        <v>94</v>
      </c>
      <c r="F122" s="9" t="s">
        <v>164</v>
      </c>
      <c r="G122" s="19"/>
      <c r="H122" s="20">
        <f>H123</f>
        <v>9</v>
      </c>
      <c r="I122" s="20">
        <f>I123</f>
        <v>9</v>
      </c>
      <c r="J122" s="21">
        <f t="shared" si="5"/>
        <v>100</v>
      </c>
    </row>
    <row r="123" spans="2:10" s="36" customFormat="1" ht="15" x14ac:dyDescent="0.2">
      <c r="B123" s="17" t="s">
        <v>50</v>
      </c>
      <c r="C123" s="18" t="s">
        <v>13</v>
      </c>
      <c r="D123" s="18" t="s">
        <v>15</v>
      </c>
      <c r="E123" s="18" t="s">
        <v>94</v>
      </c>
      <c r="F123" s="9" t="s">
        <v>164</v>
      </c>
      <c r="G123" s="19" t="s">
        <v>51</v>
      </c>
      <c r="H123" s="20">
        <v>9</v>
      </c>
      <c r="I123" s="20">
        <v>9</v>
      </c>
      <c r="J123" s="21">
        <f t="shared" si="5"/>
        <v>100</v>
      </c>
    </row>
    <row r="124" spans="2:10" s="36" customFormat="1" ht="25.5" x14ac:dyDescent="0.2">
      <c r="B124" s="17" t="s">
        <v>165</v>
      </c>
      <c r="C124" s="18" t="s">
        <v>13</v>
      </c>
      <c r="D124" s="18" t="s">
        <v>15</v>
      </c>
      <c r="E124" s="18" t="s">
        <v>94</v>
      </c>
      <c r="F124" s="9" t="s">
        <v>166</v>
      </c>
      <c r="G124" s="18"/>
      <c r="H124" s="20">
        <f t="shared" ref="H124:I126" si="7">H125</f>
        <v>116.8</v>
      </c>
      <c r="I124" s="20">
        <f t="shared" si="7"/>
        <v>116.8</v>
      </c>
      <c r="J124" s="21">
        <f t="shared" si="5"/>
        <v>100</v>
      </c>
    </row>
    <row r="125" spans="2:10" s="36" customFormat="1" ht="25.5" x14ac:dyDescent="0.2">
      <c r="B125" s="38" t="s">
        <v>167</v>
      </c>
      <c r="C125" s="18" t="s">
        <v>13</v>
      </c>
      <c r="D125" s="18" t="s">
        <v>15</v>
      </c>
      <c r="E125" s="18" t="s">
        <v>94</v>
      </c>
      <c r="F125" s="9" t="s">
        <v>168</v>
      </c>
      <c r="G125" s="18"/>
      <c r="H125" s="20">
        <f t="shared" si="7"/>
        <v>116.8</v>
      </c>
      <c r="I125" s="20">
        <f t="shared" si="7"/>
        <v>116.8</v>
      </c>
      <c r="J125" s="21">
        <f t="shared" si="5"/>
        <v>100</v>
      </c>
    </row>
    <row r="126" spans="2:10" s="36" customFormat="1" ht="15" x14ac:dyDescent="0.2">
      <c r="B126" s="39" t="s">
        <v>169</v>
      </c>
      <c r="C126" s="18" t="s">
        <v>13</v>
      </c>
      <c r="D126" s="18" t="s">
        <v>15</v>
      </c>
      <c r="E126" s="18" t="s">
        <v>94</v>
      </c>
      <c r="F126" s="9" t="s">
        <v>170</v>
      </c>
      <c r="G126" s="18"/>
      <c r="H126" s="20">
        <f t="shared" si="7"/>
        <v>116.8</v>
      </c>
      <c r="I126" s="20">
        <f t="shared" si="7"/>
        <v>116.8</v>
      </c>
      <c r="J126" s="21">
        <f t="shared" si="5"/>
        <v>100</v>
      </c>
    </row>
    <row r="127" spans="2:10" s="36" customFormat="1" ht="15" x14ac:dyDescent="0.2">
      <c r="B127" s="30" t="s">
        <v>171</v>
      </c>
      <c r="C127" s="18" t="s">
        <v>13</v>
      </c>
      <c r="D127" s="18" t="s">
        <v>15</v>
      </c>
      <c r="E127" s="18" t="s">
        <v>94</v>
      </c>
      <c r="F127" s="9" t="s">
        <v>170</v>
      </c>
      <c r="G127" s="18" t="s">
        <v>128</v>
      </c>
      <c r="H127" s="20">
        <f>118-1.2</f>
        <v>116.8</v>
      </c>
      <c r="I127" s="20">
        <v>116.8</v>
      </c>
      <c r="J127" s="21">
        <f t="shared" si="5"/>
        <v>100</v>
      </c>
    </row>
    <row r="128" spans="2:10" s="36" customFormat="1" ht="25.5" x14ac:dyDescent="0.2">
      <c r="B128" s="17" t="s">
        <v>60</v>
      </c>
      <c r="C128" s="18" t="s">
        <v>13</v>
      </c>
      <c r="D128" s="18" t="s">
        <v>15</v>
      </c>
      <c r="E128" s="18" t="s">
        <v>94</v>
      </c>
      <c r="F128" s="9" t="s">
        <v>61</v>
      </c>
      <c r="G128" s="18"/>
      <c r="H128" s="20">
        <f t="shared" ref="H128:I131" si="8">H129</f>
        <v>2.5</v>
      </c>
      <c r="I128" s="20">
        <f t="shared" si="8"/>
        <v>0</v>
      </c>
      <c r="J128" s="21">
        <f t="shared" si="5"/>
        <v>0</v>
      </c>
    </row>
    <row r="129" spans="2:11" s="36" customFormat="1" ht="25.5" x14ac:dyDescent="0.2">
      <c r="B129" s="29" t="s">
        <v>172</v>
      </c>
      <c r="C129" s="18" t="s">
        <v>13</v>
      </c>
      <c r="D129" s="18" t="s">
        <v>15</v>
      </c>
      <c r="E129" s="18" t="s">
        <v>94</v>
      </c>
      <c r="F129" s="9" t="s">
        <v>173</v>
      </c>
      <c r="G129" s="18"/>
      <c r="H129" s="20">
        <f t="shared" si="8"/>
        <v>2.5</v>
      </c>
      <c r="I129" s="20">
        <f t="shared" si="8"/>
        <v>0</v>
      </c>
      <c r="J129" s="21">
        <f t="shared" si="5"/>
        <v>0</v>
      </c>
    </row>
    <row r="130" spans="2:11" s="36" customFormat="1" ht="25.5" x14ac:dyDescent="0.2">
      <c r="B130" s="17" t="s">
        <v>174</v>
      </c>
      <c r="C130" s="18" t="s">
        <v>13</v>
      </c>
      <c r="D130" s="18" t="s">
        <v>15</v>
      </c>
      <c r="E130" s="18" t="s">
        <v>94</v>
      </c>
      <c r="F130" s="9" t="s">
        <v>175</v>
      </c>
      <c r="G130" s="18"/>
      <c r="H130" s="20">
        <f t="shared" si="8"/>
        <v>2.5</v>
      </c>
      <c r="I130" s="20">
        <f t="shared" si="8"/>
        <v>0</v>
      </c>
      <c r="J130" s="21">
        <f t="shared" si="5"/>
        <v>0</v>
      </c>
    </row>
    <row r="131" spans="2:11" s="36" customFormat="1" ht="38.25" x14ac:dyDescent="0.2">
      <c r="B131" s="17" t="s">
        <v>176</v>
      </c>
      <c r="C131" s="18" t="s">
        <v>13</v>
      </c>
      <c r="D131" s="18" t="s">
        <v>15</v>
      </c>
      <c r="E131" s="18" t="s">
        <v>94</v>
      </c>
      <c r="F131" s="9" t="s">
        <v>177</v>
      </c>
      <c r="G131" s="18"/>
      <c r="H131" s="20">
        <f t="shared" si="8"/>
        <v>2.5</v>
      </c>
      <c r="I131" s="20">
        <f t="shared" si="8"/>
        <v>0</v>
      </c>
      <c r="J131" s="21">
        <f t="shared" si="5"/>
        <v>0</v>
      </c>
    </row>
    <row r="132" spans="2:11" s="36" customFormat="1" x14ac:dyDescent="0.25">
      <c r="B132" s="17" t="s">
        <v>41</v>
      </c>
      <c r="C132" s="18" t="s">
        <v>13</v>
      </c>
      <c r="D132" s="18" t="s">
        <v>15</v>
      </c>
      <c r="E132" s="18" t="s">
        <v>94</v>
      </c>
      <c r="F132" s="9" t="s">
        <v>177</v>
      </c>
      <c r="G132" s="18" t="s">
        <v>24</v>
      </c>
      <c r="H132" s="20">
        <v>2.5</v>
      </c>
      <c r="I132" s="20">
        <v>0</v>
      </c>
      <c r="J132" s="21">
        <f t="shared" si="5"/>
        <v>0</v>
      </c>
      <c r="K132" s="16"/>
    </row>
    <row r="133" spans="2:11" s="36" customFormat="1" ht="25.5" x14ac:dyDescent="0.2">
      <c r="B133" s="30" t="s">
        <v>178</v>
      </c>
      <c r="C133" s="18" t="s">
        <v>13</v>
      </c>
      <c r="D133" s="18" t="s">
        <v>15</v>
      </c>
      <c r="E133" s="18" t="s">
        <v>94</v>
      </c>
      <c r="F133" s="9" t="s">
        <v>179</v>
      </c>
      <c r="G133" s="18"/>
      <c r="H133" s="20">
        <f t="shared" ref="H133:I135" si="9">H134</f>
        <v>649.30000000000007</v>
      </c>
      <c r="I133" s="20">
        <f t="shared" si="9"/>
        <v>596.5</v>
      </c>
      <c r="J133" s="21">
        <f t="shared" si="5"/>
        <v>91.868165716925915</v>
      </c>
    </row>
    <row r="134" spans="2:11" s="36" customFormat="1" ht="15" x14ac:dyDescent="0.2">
      <c r="B134" s="38" t="s">
        <v>180</v>
      </c>
      <c r="C134" s="18" t="s">
        <v>13</v>
      </c>
      <c r="D134" s="18" t="s">
        <v>15</v>
      </c>
      <c r="E134" s="18" t="s">
        <v>94</v>
      </c>
      <c r="F134" s="9" t="s">
        <v>130</v>
      </c>
      <c r="G134" s="18"/>
      <c r="H134" s="20">
        <f t="shared" si="9"/>
        <v>649.30000000000007</v>
      </c>
      <c r="I134" s="20">
        <f t="shared" si="9"/>
        <v>596.5</v>
      </c>
      <c r="J134" s="21">
        <f t="shared" si="5"/>
        <v>91.868165716925915</v>
      </c>
    </row>
    <row r="135" spans="2:11" s="36" customFormat="1" ht="15" x14ac:dyDescent="0.2">
      <c r="B135" s="38" t="s">
        <v>181</v>
      </c>
      <c r="C135" s="18" t="s">
        <v>13</v>
      </c>
      <c r="D135" s="18" t="s">
        <v>15</v>
      </c>
      <c r="E135" s="18" t="s">
        <v>94</v>
      </c>
      <c r="F135" s="9" t="s">
        <v>182</v>
      </c>
      <c r="G135" s="18"/>
      <c r="H135" s="20">
        <f t="shared" si="9"/>
        <v>649.30000000000007</v>
      </c>
      <c r="I135" s="20">
        <f t="shared" si="9"/>
        <v>596.5</v>
      </c>
      <c r="J135" s="21">
        <f t="shared" si="5"/>
        <v>91.868165716925915</v>
      </c>
    </row>
    <row r="136" spans="2:11" s="36" customFormat="1" ht="15" x14ac:dyDescent="0.2">
      <c r="B136" s="17" t="s">
        <v>41</v>
      </c>
      <c r="C136" s="18" t="s">
        <v>13</v>
      </c>
      <c r="D136" s="18" t="s">
        <v>15</v>
      </c>
      <c r="E136" s="18" t="s">
        <v>94</v>
      </c>
      <c r="F136" s="9" t="s">
        <v>182</v>
      </c>
      <c r="G136" s="18" t="s">
        <v>24</v>
      </c>
      <c r="H136" s="20">
        <f>751.6-102.3</f>
        <v>649.30000000000007</v>
      </c>
      <c r="I136" s="20">
        <v>596.5</v>
      </c>
      <c r="J136" s="21">
        <f t="shared" si="5"/>
        <v>91.868165716925915</v>
      </c>
    </row>
    <row r="137" spans="2:11" s="16" customFormat="1" x14ac:dyDescent="0.25">
      <c r="B137" s="40" t="s">
        <v>183</v>
      </c>
      <c r="C137" s="13" t="s">
        <v>13</v>
      </c>
      <c r="D137" s="13" t="s">
        <v>184</v>
      </c>
      <c r="E137" s="13"/>
      <c r="F137" s="13"/>
      <c r="G137" s="13"/>
      <c r="H137" s="14">
        <f>H138+H154</f>
        <v>2693.2999999999997</v>
      </c>
      <c r="I137" s="14">
        <f>I138+I154</f>
        <v>2682.5</v>
      </c>
      <c r="J137" s="15">
        <f t="shared" ref="J137:J200" si="10">I137/H137*100</f>
        <v>99.599004938179931</v>
      </c>
    </row>
    <row r="138" spans="2:11" s="16" customFormat="1" x14ac:dyDescent="0.25">
      <c r="B138" s="41" t="s">
        <v>185</v>
      </c>
      <c r="C138" s="13" t="s">
        <v>13</v>
      </c>
      <c r="D138" s="13" t="s">
        <v>184</v>
      </c>
      <c r="E138" s="13" t="s">
        <v>186</v>
      </c>
      <c r="F138" s="13"/>
      <c r="G138" s="13"/>
      <c r="H138" s="14">
        <f>H139</f>
        <v>2451.6</v>
      </c>
      <c r="I138" s="14">
        <f>I139</f>
        <v>2451.6</v>
      </c>
      <c r="J138" s="15">
        <f t="shared" si="10"/>
        <v>100</v>
      </c>
    </row>
    <row r="139" spans="2:11" s="36" customFormat="1" ht="25.5" x14ac:dyDescent="0.2">
      <c r="B139" s="17" t="s">
        <v>60</v>
      </c>
      <c r="C139" s="18" t="s">
        <v>13</v>
      </c>
      <c r="D139" s="18" t="s">
        <v>184</v>
      </c>
      <c r="E139" s="18" t="s">
        <v>186</v>
      </c>
      <c r="F139" s="9" t="s">
        <v>61</v>
      </c>
      <c r="G139" s="18"/>
      <c r="H139" s="20">
        <f>H140</f>
        <v>2451.6</v>
      </c>
      <c r="I139" s="20">
        <f>I140</f>
        <v>2451.6</v>
      </c>
      <c r="J139" s="21">
        <f t="shared" si="10"/>
        <v>100</v>
      </c>
    </row>
    <row r="140" spans="2:11" s="36" customFormat="1" ht="25.5" x14ac:dyDescent="0.2">
      <c r="B140" s="17" t="s">
        <v>187</v>
      </c>
      <c r="C140" s="18" t="s">
        <v>13</v>
      </c>
      <c r="D140" s="18" t="s">
        <v>184</v>
      </c>
      <c r="E140" s="18" t="s">
        <v>186</v>
      </c>
      <c r="F140" s="9" t="s">
        <v>188</v>
      </c>
      <c r="G140" s="18"/>
      <c r="H140" s="20">
        <f>H141+H145+H148+H151</f>
        <v>2451.6</v>
      </c>
      <c r="I140" s="20">
        <f>I141+I145+I148+I151</f>
        <v>2451.6</v>
      </c>
      <c r="J140" s="21">
        <f t="shared" si="10"/>
        <v>100</v>
      </c>
    </row>
    <row r="141" spans="2:11" s="36" customFormat="1" ht="15" x14ac:dyDescent="0.2">
      <c r="B141" s="17" t="s">
        <v>189</v>
      </c>
      <c r="C141" s="18" t="s">
        <v>13</v>
      </c>
      <c r="D141" s="18" t="s">
        <v>184</v>
      </c>
      <c r="E141" s="18" t="s">
        <v>186</v>
      </c>
      <c r="F141" s="9" t="s">
        <v>190</v>
      </c>
      <c r="G141" s="18"/>
      <c r="H141" s="20">
        <f>H142</f>
        <v>1981</v>
      </c>
      <c r="I141" s="20">
        <f>I142</f>
        <v>1981</v>
      </c>
      <c r="J141" s="21">
        <f t="shared" si="10"/>
        <v>100</v>
      </c>
    </row>
    <row r="142" spans="2:11" s="36" customFormat="1" ht="25.5" x14ac:dyDescent="0.2">
      <c r="B142" s="24" t="s">
        <v>191</v>
      </c>
      <c r="C142" s="18" t="s">
        <v>13</v>
      </c>
      <c r="D142" s="18" t="s">
        <v>184</v>
      </c>
      <c r="E142" s="18" t="s">
        <v>186</v>
      </c>
      <c r="F142" s="9" t="s">
        <v>192</v>
      </c>
      <c r="G142" s="18"/>
      <c r="H142" s="20">
        <f>H143+H144</f>
        <v>1981</v>
      </c>
      <c r="I142" s="20">
        <f>I143+I144</f>
        <v>1981</v>
      </c>
      <c r="J142" s="21">
        <f t="shared" si="10"/>
        <v>100</v>
      </c>
    </row>
    <row r="143" spans="2:11" s="36" customFormat="1" ht="15" x14ac:dyDescent="0.2">
      <c r="B143" s="17" t="s">
        <v>29</v>
      </c>
      <c r="C143" s="18" t="s">
        <v>13</v>
      </c>
      <c r="D143" s="18" t="s">
        <v>184</v>
      </c>
      <c r="E143" s="18" t="s">
        <v>186</v>
      </c>
      <c r="F143" s="9" t="s">
        <v>192</v>
      </c>
      <c r="G143" s="18" t="s">
        <v>30</v>
      </c>
      <c r="H143" s="20">
        <f>1981.1-0.1</f>
        <v>1981</v>
      </c>
      <c r="I143" s="20">
        <v>1981</v>
      </c>
      <c r="J143" s="21">
        <f t="shared" si="10"/>
        <v>100</v>
      </c>
    </row>
    <row r="144" spans="2:11" s="36" customFormat="1" ht="24.75" hidden="1" customHeight="1" x14ac:dyDescent="0.2">
      <c r="B144" s="17" t="s">
        <v>23</v>
      </c>
      <c r="C144" s="18" t="s">
        <v>13</v>
      </c>
      <c r="D144" s="18" t="s">
        <v>184</v>
      </c>
      <c r="E144" s="18" t="s">
        <v>186</v>
      </c>
      <c r="F144" s="9" t="s">
        <v>192</v>
      </c>
      <c r="G144" s="18" t="s">
        <v>24</v>
      </c>
      <c r="H144" s="20">
        <v>0</v>
      </c>
      <c r="I144" s="20">
        <v>0</v>
      </c>
      <c r="J144" s="21" t="e">
        <f t="shared" si="10"/>
        <v>#DIV/0!</v>
      </c>
    </row>
    <row r="145" spans="2:10" s="36" customFormat="1" ht="15" x14ac:dyDescent="0.2">
      <c r="B145" s="17" t="s">
        <v>193</v>
      </c>
      <c r="C145" s="18" t="s">
        <v>13</v>
      </c>
      <c r="D145" s="18" t="s">
        <v>184</v>
      </c>
      <c r="E145" s="18" t="s">
        <v>186</v>
      </c>
      <c r="F145" s="9" t="s">
        <v>194</v>
      </c>
      <c r="G145" s="18"/>
      <c r="H145" s="20">
        <f>H146</f>
        <v>99.6</v>
      </c>
      <c r="I145" s="20">
        <f>I146</f>
        <v>99.6</v>
      </c>
      <c r="J145" s="21">
        <f t="shared" si="10"/>
        <v>100</v>
      </c>
    </row>
    <row r="146" spans="2:10" s="36" customFormat="1" ht="25.5" x14ac:dyDescent="0.2">
      <c r="B146" s="24" t="s">
        <v>191</v>
      </c>
      <c r="C146" s="18" t="s">
        <v>13</v>
      </c>
      <c r="D146" s="18" t="s">
        <v>184</v>
      </c>
      <c r="E146" s="18" t="s">
        <v>186</v>
      </c>
      <c r="F146" s="9" t="s">
        <v>195</v>
      </c>
      <c r="G146" s="18"/>
      <c r="H146" s="20">
        <f>H147</f>
        <v>99.6</v>
      </c>
      <c r="I146" s="20">
        <f>I147</f>
        <v>99.6</v>
      </c>
      <c r="J146" s="21">
        <f t="shared" si="10"/>
        <v>100</v>
      </c>
    </row>
    <row r="147" spans="2:10" s="36" customFormat="1" ht="15" x14ac:dyDescent="0.2">
      <c r="B147" s="17" t="s">
        <v>41</v>
      </c>
      <c r="C147" s="18" t="s">
        <v>13</v>
      </c>
      <c r="D147" s="18" t="s">
        <v>184</v>
      </c>
      <c r="E147" s="18" t="s">
        <v>186</v>
      </c>
      <c r="F147" s="9" t="s">
        <v>195</v>
      </c>
      <c r="G147" s="18" t="s">
        <v>24</v>
      </c>
      <c r="H147" s="20">
        <v>99.6</v>
      </c>
      <c r="I147" s="20">
        <v>99.6</v>
      </c>
      <c r="J147" s="21">
        <f t="shared" si="10"/>
        <v>100</v>
      </c>
    </row>
    <row r="148" spans="2:10" s="36" customFormat="1" ht="25.5" x14ac:dyDescent="0.2">
      <c r="B148" s="17" t="s">
        <v>196</v>
      </c>
      <c r="C148" s="18" t="s">
        <v>13</v>
      </c>
      <c r="D148" s="18" t="s">
        <v>184</v>
      </c>
      <c r="E148" s="18" t="s">
        <v>186</v>
      </c>
      <c r="F148" s="9" t="s">
        <v>197</v>
      </c>
      <c r="G148" s="18"/>
      <c r="H148" s="20">
        <f>H149</f>
        <v>371</v>
      </c>
      <c r="I148" s="20">
        <f>I149</f>
        <v>371</v>
      </c>
      <c r="J148" s="21">
        <f t="shared" si="10"/>
        <v>100</v>
      </c>
    </row>
    <row r="149" spans="2:10" s="36" customFormat="1" ht="25.5" x14ac:dyDescent="0.2">
      <c r="B149" s="24" t="s">
        <v>191</v>
      </c>
      <c r="C149" s="18" t="s">
        <v>13</v>
      </c>
      <c r="D149" s="18" t="s">
        <v>184</v>
      </c>
      <c r="E149" s="18" t="s">
        <v>186</v>
      </c>
      <c r="F149" s="9" t="s">
        <v>198</v>
      </c>
      <c r="G149" s="18"/>
      <c r="H149" s="20">
        <f>H150</f>
        <v>371</v>
      </c>
      <c r="I149" s="20">
        <f>I150</f>
        <v>371</v>
      </c>
      <c r="J149" s="21">
        <f t="shared" si="10"/>
        <v>100</v>
      </c>
    </row>
    <row r="150" spans="2:10" s="36" customFormat="1" ht="15" x14ac:dyDescent="0.2">
      <c r="B150" s="17" t="s">
        <v>41</v>
      </c>
      <c r="C150" s="18" t="s">
        <v>13</v>
      </c>
      <c r="D150" s="18" t="s">
        <v>184</v>
      </c>
      <c r="E150" s="18" t="s">
        <v>186</v>
      </c>
      <c r="F150" s="9" t="s">
        <v>198</v>
      </c>
      <c r="G150" s="18" t="s">
        <v>24</v>
      </c>
      <c r="H150" s="20">
        <f>373.3-2.3</f>
        <v>371</v>
      </c>
      <c r="I150" s="20">
        <v>371</v>
      </c>
      <c r="J150" s="21">
        <f t="shared" si="10"/>
        <v>100</v>
      </c>
    </row>
    <row r="151" spans="2:10" s="36" customFormat="1" ht="24.75" hidden="1" customHeight="1" x14ac:dyDescent="0.2">
      <c r="B151" s="17" t="s">
        <v>199</v>
      </c>
      <c r="C151" s="18" t="s">
        <v>13</v>
      </c>
      <c r="D151" s="18" t="s">
        <v>184</v>
      </c>
      <c r="E151" s="18" t="s">
        <v>186</v>
      </c>
      <c r="F151" s="9" t="s">
        <v>200</v>
      </c>
      <c r="G151" s="18"/>
      <c r="H151" s="20">
        <f>H152</f>
        <v>0</v>
      </c>
      <c r="I151" s="20">
        <f>I152</f>
        <v>0</v>
      </c>
      <c r="J151" s="21" t="e">
        <f t="shared" si="10"/>
        <v>#DIV/0!</v>
      </c>
    </row>
    <row r="152" spans="2:10" s="36" customFormat="1" ht="24.75" hidden="1" customHeight="1" x14ac:dyDescent="0.2">
      <c r="B152" s="17" t="s">
        <v>201</v>
      </c>
      <c r="C152" s="18" t="s">
        <v>13</v>
      </c>
      <c r="D152" s="18" t="s">
        <v>184</v>
      </c>
      <c r="E152" s="18" t="s">
        <v>186</v>
      </c>
      <c r="F152" s="9" t="s">
        <v>202</v>
      </c>
      <c r="G152" s="18"/>
      <c r="H152" s="20">
        <f>H153</f>
        <v>0</v>
      </c>
      <c r="I152" s="20">
        <f>I153</f>
        <v>0</v>
      </c>
      <c r="J152" s="21" t="e">
        <f t="shared" si="10"/>
        <v>#DIV/0!</v>
      </c>
    </row>
    <row r="153" spans="2:10" s="36" customFormat="1" ht="24.75" hidden="1" customHeight="1" x14ac:dyDescent="0.2">
      <c r="B153" s="17" t="s">
        <v>41</v>
      </c>
      <c r="C153" s="18" t="s">
        <v>13</v>
      </c>
      <c r="D153" s="18" t="s">
        <v>184</v>
      </c>
      <c r="E153" s="18" t="s">
        <v>186</v>
      </c>
      <c r="F153" s="9" t="s">
        <v>202</v>
      </c>
      <c r="G153" s="18" t="s">
        <v>24</v>
      </c>
      <c r="H153" s="20">
        <f>100-100</f>
        <v>0</v>
      </c>
      <c r="I153" s="20">
        <v>0</v>
      </c>
      <c r="J153" s="21" t="e">
        <f t="shared" si="10"/>
        <v>#DIV/0!</v>
      </c>
    </row>
    <row r="154" spans="2:10" s="16" customFormat="1" x14ac:dyDescent="0.25">
      <c r="B154" s="40" t="s">
        <v>203</v>
      </c>
      <c r="C154" s="13" t="s">
        <v>13</v>
      </c>
      <c r="D154" s="13" t="s">
        <v>184</v>
      </c>
      <c r="E154" s="13" t="s">
        <v>204</v>
      </c>
      <c r="F154" s="13"/>
      <c r="G154" s="13"/>
      <c r="H154" s="14">
        <f>H155</f>
        <v>241.7</v>
      </c>
      <c r="I154" s="14">
        <f>I155</f>
        <v>230.9</v>
      </c>
      <c r="J154" s="15">
        <f t="shared" si="10"/>
        <v>95.531650806785279</v>
      </c>
    </row>
    <row r="155" spans="2:10" s="36" customFormat="1" ht="25.5" x14ac:dyDescent="0.2">
      <c r="B155" s="17" t="s">
        <v>60</v>
      </c>
      <c r="C155" s="18" t="s">
        <v>13</v>
      </c>
      <c r="D155" s="18" t="s">
        <v>184</v>
      </c>
      <c r="E155" s="18" t="s">
        <v>204</v>
      </c>
      <c r="F155" s="25" t="s">
        <v>61</v>
      </c>
      <c r="G155" s="19"/>
      <c r="H155" s="20">
        <f>H156</f>
        <v>241.7</v>
      </c>
      <c r="I155" s="20">
        <f>I156</f>
        <v>230.9</v>
      </c>
      <c r="J155" s="21">
        <f t="shared" si="10"/>
        <v>95.531650806785279</v>
      </c>
    </row>
    <row r="156" spans="2:10" s="36" customFormat="1" ht="15" x14ac:dyDescent="0.2">
      <c r="B156" s="24" t="s">
        <v>62</v>
      </c>
      <c r="C156" s="18" t="s">
        <v>13</v>
      </c>
      <c r="D156" s="18" t="s">
        <v>184</v>
      </c>
      <c r="E156" s="18" t="s">
        <v>204</v>
      </c>
      <c r="F156" s="9" t="s">
        <v>63</v>
      </c>
      <c r="G156" s="19"/>
      <c r="H156" s="20">
        <f>H157+H164+H169+H161</f>
        <v>241.7</v>
      </c>
      <c r="I156" s="20">
        <f>I157+I164+I169+I161</f>
        <v>230.9</v>
      </c>
      <c r="J156" s="21">
        <f t="shared" si="10"/>
        <v>95.531650806785279</v>
      </c>
    </row>
    <row r="157" spans="2:10" s="36" customFormat="1" ht="25.5" x14ac:dyDescent="0.2">
      <c r="B157" s="24" t="s">
        <v>205</v>
      </c>
      <c r="C157" s="18" t="s">
        <v>13</v>
      </c>
      <c r="D157" s="18" t="s">
        <v>184</v>
      </c>
      <c r="E157" s="18" t="s">
        <v>204</v>
      </c>
      <c r="F157" s="9" t="s">
        <v>206</v>
      </c>
      <c r="G157" s="19"/>
      <c r="H157" s="20">
        <f>H158</f>
        <v>10</v>
      </c>
      <c r="I157" s="20">
        <f>I158</f>
        <v>10</v>
      </c>
      <c r="J157" s="21">
        <f>I157/H157*100</f>
        <v>100</v>
      </c>
    </row>
    <row r="158" spans="2:10" s="36" customFormat="1" ht="15" x14ac:dyDescent="0.2">
      <c r="B158" s="24" t="s">
        <v>207</v>
      </c>
      <c r="C158" s="18" t="s">
        <v>13</v>
      </c>
      <c r="D158" s="18" t="s">
        <v>184</v>
      </c>
      <c r="E158" s="18" t="s">
        <v>204</v>
      </c>
      <c r="F158" s="9" t="s">
        <v>208</v>
      </c>
      <c r="G158" s="19"/>
      <c r="H158" s="20">
        <f>H160+H159</f>
        <v>10</v>
      </c>
      <c r="I158" s="20">
        <f>I160+I159</f>
        <v>10</v>
      </c>
      <c r="J158" s="21">
        <f t="shared" si="10"/>
        <v>100</v>
      </c>
    </row>
    <row r="159" spans="2:10" s="36" customFormat="1" ht="15" x14ac:dyDescent="0.2">
      <c r="B159" s="17" t="s">
        <v>41</v>
      </c>
      <c r="C159" s="18" t="s">
        <v>13</v>
      </c>
      <c r="D159" s="18" t="s">
        <v>184</v>
      </c>
      <c r="E159" s="18" t="s">
        <v>204</v>
      </c>
      <c r="F159" s="9" t="s">
        <v>208</v>
      </c>
      <c r="G159" s="19" t="s">
        <v>24</v>
      </c>
      <c r="H159" s="20">
        <f>2.5+2.5</f>
        <v>5</v>
      </c>
      <c r="I159" s="20">
        <v>5</v>
      </c>
      <c r="J159" s="21">
        <f t="shared" si="10"/>
        <v>100</v>
      </c>
    </row>
    <row r="160" spans="2:10" s="36" customFormat="1" ht="15" x14ac:dyDescent="0.2">
      <c r="B160" s="42" t="s">
        <v>209</v>
      </c>
      <c r="C160" s="18" t="s">
        <v>13</v>
      </c>
      <c r="D160" s="18" t="s">
        <v>184</v>
      </c>
      <c r="E160" s="18" t="s">
        <v>204</v>
      </c>
      <c r="F160" s="9" t="s">
        <v>208</v>
      </c>
      <c r="G160" s="19" t="s">
        <v>96</v>
      </c>
      <c r="H160" s="20">
        <f>5</f>
        <v>5</v>
      </c>
      <c r="I160" s="20">
        <v>5</v>
      </c>
      <c r="J160" s="21">
        <f t="shared" si="10"/>
        <v>100</v>
      </c>
    </row>
    <row r="161" spans="2:10" s="36" customFormat="1" ht="15" x14ac:dyDescent="0.2">
      <c r="B161" s="42" t="s">
        <v>210</v>
      </c>
      <c r="C161" s="18" t="s">
        <v>13</v>
      </c>
      <c r="D161" s="18" t="s">
        <v>184</v>
      </c>
      <c r="E161" s="18" t="s">
        <v>204</v>
      </c>
      <c r="F161" s="9" t="s">
        <v>211</v>
      </c>
      <c r="G161" s="19"/>
      <c r="H161" s="20">
        <f>H162</f>
        <v>10</v>
      </c>
      <c r="I161" s="20">
        <f>I162</f>
        <v>10</v>
      </c>
      <c r="J161" s="21">
        <f t="shared" si="10"/>
        <v>100</v>
      </c>
    </row>
    <row r="162" spans="2:10" s="36" customFormat="1" ht="15" x14ac:dyDescent="0.2">
      <c r="B162" s="24" t="s">
        <v>207</v>
      </c>
      <c r="C162" s="18" t="s">
        <v>13</v>
      </c>
      <c r="D162" s="18" t="s">
        <v>184</v>
      </c>
      <c r="E162" s="18" t="s">
        <v>204</v>
      </c>
      <c r="F162" s="9" t="s">
        <v>212</v>
      </c>
      <c r="G162" s="19"/>
      <c r="H162" s="20">
        <f>H163</f>
        <v>10</v>
      </c>
      <c r="I162" s="20">
        <f>I163</f>
        <v>10</v>
      </c>
      <c r="J162" s="21">
        <f t="shared" si="10"/>
        <v>100</v>
      </c>
    </row>
    <row r="163" spans="2:10" s="36" customFormat="1" ht="15" x14ac:dyDescent="0.2">
      <c r="B163" s="29" t="s">
        <v>41</v>
      </c>
      <c r="C163" s="18" t="s">
        <v>13</v>
      </c>
      <c r="D163" s="18" t="s">
        <v>184</v>
      </c>
      <c r="E163" s="18" t="s">
        <v>204</v>
      </c>
      <c r="F163" s="9" t="s">
        <v>212</v>
      </c>
      <c r="G163" s="19" t="s">
        <v>24</v>
      </c>
      <c r="H163" s="20">
        <f>2.5+7.5</f>
        <v>10</v>
      </c>
      <c r="I163" s="20">
        <v>10</v>
      </c>
      <c r="J163" s="21">
        <f t="shared" si="10"/>
        <v>100</v>
      </c>
    </row>
    <row r="164" spans="2:10" s="36" customFormat="1" ht="15" x14ac:dyDescent="0.2">
      <c r="B164" s="42" t="s">
        <v>213</v>
      </c>
      <c r="C164" s="18" t="s">
        <v>13</v>
      </c>
      <c r="D164" s="18" t="s">
        <v>184</v>
      </c>
      <c r="E164" s="18" t="s">
        <v>204</v>
      </c>
      <c r="F164" s="9" t="s">
        <v>214</v>
      </c>
      <c r="G164" s="19"/>
      <c r="H164" s="20">
        <f>H165+H167</f>
        <v>211.7</v>
      </c>
      <c r="I164" s="20">
        <f>I165+I167</f>
        <v>200.9</v>
      </c>
      <c r="J164" s="21">
        <f t="shared" si="10"/>
        <v>94.898441190363727</v>
      </c>
    </row>
    <row r="165" spans="2:10" s="36" customFormat="1" ht="15" x14ac:dyDescent="0.2">
      <c r="B165" s="24" t="s">
        <v>207</v>
      </c>
      <c r="C165" s="18" t="s">
        <v>13</v>
      </c>
      <c r="D165" s="18" t="s">
        <v>184</v>
      </c>
      <c r="E165" s="18" t="s">
        <v>204</v>
      </c>
      <c r="F165" s="9" t="s">
        <v>215</v>
      </c>
      <c r="G165" s="19"/>
      <c r="H165" s="20">
        <f>H166</f>
        <v>2.5</v>
      </c>
      <c r="I165" s="20">
        <f>I166</f>
        <v>2.5</v>
      </c>
      <c r="J165" s="21">
        <f t="shared" si="10"/>
        <v>100</v>
      </c>
    </row>
    <row r="166" spans="2:10" s="36" customFormat="1" ht="15" x14ac:dyDescent="0.2">
      <c r="B166" s="42" t="s">
        <v>209</v>
      </c>
      <c r="C166" s="18" t="s">
        <v>13</v>
      </c>
      <c r="D166" s="18" t="s">
        <v>184</v>
      </c>
      <c r="E166" s="18" t="s">
        <v>204</v>
      </c>
      <c r="F166" s="9" t="s">
        <v>215</v>
      </c>
      <c r="G166" s="19" t="s">
        <v>96</v>
      </c>
      <c r="H166" s="20">
        <f>5-2.5</f>
        <v>2.5</v>
      </c>
      <c r="I166" s="20">
        <v>2.5</v>
      </c>
      <c r="J166" s="21">
        <f t="shared" si="10"/>
        <v>100</v>
      </c>
    </row>
    <row r="167" spans="2:10" s="36" customFormat="1" ht="15" x14ac:dyDescent="0.2">
      <c r="B167" s="43" t="s">
        <v>216</v>
      </c>
      <c r="C167" s="18" t="s">
        <v>13</v>
      </c>
      <c r="D167" s="18" t="s">
        <v>184</v>
      </c>
      <c r="E167" s="18" t="s">
        <v>204</v>
      </c>
      <c r="F167" s="9" t="s">
        <v>217</v>
      </c>
      <c r="G167" s="19"/>
      <c r="H167" s="20">
        <f>H168</f>
        <v>209.2</v>
      </c>
      <c r="I167" s="20">
        <f>I168</f>
        <v>198.4</v>
      </c>
      <c r="J167" s="21">
        <f t="shared" si="10"/>
        <v>94.837476099426397</v>
      </c>
    </row>
    <row r="168" spans="2:10" s="36" customFormat="1" ht="15" x14ac:dyDescent="0.2">
      <c r="B168" s="42" t="s">
        <v>41</v>
      </c>
      <c r="C168" s="18" t="s">
        <v>13</v>
      </c>
      <c r="D168" s="18" t="s">
        <v>184</v>
      </c>
      <c r="E168" s="18" t="s">
        <v>204</v>
      </c>
      <c r="F168" s="9" t="s">
        <v>217</v>
      </c>
      <c r="G168" s="19" t="s">
        <v>24</v>
      </c>
      <c r="H168" s="20">
        <f>109.2+100</f>
        <v>209.2</v>
      </c>
      <c r="I168" s="20">
        <v>198.4</v>
      </c>
      <c r="J168" s="21">
        <f t="shared" si="10"/>
        <v>94.837476099426397</v>
      </c>
    </row>
    <row r="169" spans="2:10" s="36" customFormat="1" ht="25.5" x14ac:dyDescent="0.2">
      <c r="B169" s="17" t="s">
        <v>218</v>
      </c>
      <c r="C169" s="18" t="s">
        <v>13</v>
      </c>
      <c r="D169" s="18" t="s">
        <v>184</v>
      </c>
      <c r="E169" s="18" t="s">
        <v>204</v>
      </c>
      <c r="F169" s="25" t="s">
        <v>219</v>
      </c>
      <c r="G169" s="19"/>
      <c r="H169" s="20">
        <f>H170</f>
        <v>10</v>
      </c>
      <c r="I169" s="20">
        <f>I170</f>
        <v>10</v>
      </c>
      <c r="J169" s="21">
        <f t="shared" si="10"/>
        <v>100</v>
      </c>
    </row>
    <row r="170" spans="2:10" s="36" customFormat="1" ht="15" x14ac:dyDescent="0.2">
      <c r="B170" s="24" t="s">
        <v>207</v>
      </c>
      <c r="C170" s="18" t="s">
        <v>13</v>
      </c>
      <c r="D170" s="18" t="s">
        <v>184</v>
      </c>
      <c r="E170" s="18" t="s">
        <v>204</v>
      </c>
      <c r="F170" s="25" t="s">
        <v>220</v>
      </c>
      <c r="G170" s="19"/>
      <c r="H170" s="20">
        <f>H171</f>
        <v>10</v>
      </c>
      <c r="I170" s="20">
        <f>I171</f>
        <v>10</v>
      </c>
      <c r="J170" s="21">
        <f t="shared" si="10"/>
        <v>100</v>
      </c>
    </row>
    <row r="171" spans="2:10" s="36" customFormat="1" ht="15" x14ac:dyDescent="0.2">
      <c r="B171" s="29" t="s">
        <v>41</v>
      </c>
      <c r="C171" s="18" t="s">
        <v>13</v>
      </c>
      <c r="D171" s="18" t="s">
        <v>184</v>
      </c>
      <c r="E171" s="18" t="s">
        <v>204</v>
      </c>
      <c r="F171" s="25" t="s">
        <v>220</v>
      </c>
      <c r="G171" s="19" t="s">
        <v>24</v>
      </c>
      <c r="H171" s="20">
        <v>10</v>
      </c>
      <c r="I171" s="20">
        <v>10</v>
      </c>
      <c r="J171" s="21">
        <f t="shared" si="10"/>
        <v>100</v>
      </c>
    </row>
    <row r="172" spans="2:10" s="16" customFormat="1" x14ac:dyDescent="0.25">
      <c r="B172" s="40" t="s">
        <v>221</v>
      </c>
      <c r="C172" s="13" t="s">
        <v>13</v>
      </c>
      <c r="D172" s="13" t="s">
        <v>18</v>
      </c>
      <c r="E172" s="13"/>
      <c r="F172" s="13"/>
      <c r="G172" s="13"/>
      <c r="H172" s="14">
        <f>H173+H178+H184+H203</f>
        <v>25412</v>
      </c>
      <c r="I172" s="14">
        <f>I173+I178+I184+I203</f>
        <v>24686.399999999998</v>
      </c>
      <c r="J172" s="15">
        <f t="shared" si="10"/>
        <v>97.144656067999364</v>
      </c>
    </row>
    <row r="173" spans="2:10" s="16" customFormat="1" x14ac:dyDescent="0.25">
      <c r="B173" s="40" t="s">
        <v>222</v>
      </c>
      <c r="C173" s="13" t="s">
        <v>13</v>
      </c>
      <c r="D173" s="13" t="s">
        <v>18</v>
      </c>
      <c r="E173" s="13" t="s">
        <v>15</v>
      </c>
      <c r="F173" s="13"/>
      <c r="G173" s="13"/>
      <c r="H173" s="14">
        <f>H174</f>
        <v>319.8</v>
      </c>
      <c r="I173" s="14">
        <f>I174</f>
        <v>319.8</v>
      </c>
      <c r="J173" s="15">
        <f t="shared" si="10"/>
        <v>100</v>
      </c>
    </row>
    <row r="174" spans="2:10" s="36" customFormat="1" ht="25.5" x14ac:dyDescent="0.2">
      <c r="B174" s="17" t="s">
        <v>223</v>
      </c>
      <c r="C174" s="18" t="s">
        <v>13</v>
      </c>
      <c r="D174" s="18" t="s">
        <v>18</v>
      </c>
      <c r="E174" s="18" t="s">
        <v>15</v>
      </c>
      <c r="F174" s="9" t="s">
        <v>224</v>
      </c>
      <c r="G174" s="19"/>
      <c r="H174" s="20">
        <f t="shared" ref="H174:I176" si="11">H175</f>
        <v>319.8</v>
      </c>
      <c r="I174" s="20">
        <f t="shared" si="11"/>
        <v>319.8</v>
      </c>
      <c r="J174" s="21">
        <f t="shared" si="10"/>
        <v>100</v>
      </c>
    </row>
    <row r="175" spans="2:10" s="36" customFormat="1" ht="25.5" x14ac:dyDescent="0.2">
      <c r="B175" s="17" t="s">
        <v>225</v>
      </c>
      <c r="C175" s="18" t="s">
        <v>13</v>
      </c>
      <c r="D175" s="18" t="s">
        <v>18</v>
      </c>
      <c r="E175" s="18" t="s">
        <v>15</v>
      </c>
      <c r="F175" s="9" t="s">
        <v>226</v>
      </c>
      <c r="G175" s="19"/>
      <c r="H175" s="20">
        <f t="shared" si="11"/>
        <v>319.8</v>
      </c>
      <c r="I175" s="20">
        <f t="shared" si="11"/>
        <v>319.8</v>
      </c>
      <c r="J175" s="21">
        <f t="shared" si="10"/>
        <v>100</v>
      </c>
    </row>
    <row r="176" spans="2:10" s="36" customFormat="1" ht="15" x14ac:dyDescent="0.2">
      <c r="B176" s="38" t="s">
        <v>227</v>
      </c>
      <c r="C176" s="18" t="s">
        <v>13</v>
      </c>
      <c r="D176" s="18" t="s">
        <v>18</v>
      </c>
      <c r="E176" s="18" t="s">
        <v>15</v>
      </c>
      <c r="F176" s="9" t="s">
        <v>228</v>
      </c>
      <c r="G176" s="19"/>
      <c r="H176" s="20">
        <f t="shared" si="11"/>
        <v>319.8</v>
      </c>
      <c r="I176" s="20">
        <f t="shared" si="11"/>
        <v>319.8</v>
      </c>
      <c r="J176" s="21">
        <f t="shared" si="10"/>
        <v>100</v>
      </c>
    </row>
    <row r="177" spans="2:10" s="36" customFormat="1" ht="15" x14ac:dyDescent="0.2">
      <c r="B177" s="17" t="s">
        <v>41</v>
      </c>
      <c r="C177" s="18" t="s">
        <v>13</v>
      </c>
      <c r="D177" s="18" t="s">
        <v>18</v>
      </c>
      <c r="E177" s="18" t="s">
        <v>15</v>
      </c>
      <c r="F177" s="9" t="s">
        <v>228</v>
      </c>
      <c r="G177" s="19" t="s">
        <v>24</v>
      </c>
      <c r="H177" s="20">
        <f>320-0.2</f>
        <v>319.8</v>
      </c>
      <c r="I177" s="20">
        <v>319.8</v>
      </c>
      <c r="J177" s="21">
        <f t="shared" si="10"/>
        <v>100</v>
      </c>
    </row>
    <row r="178" spans="2:10" s="16" customFormat="1" x14ac:dyDescent="0.25">
      <c r="B178" s="12" t="s">
        <v>229</v>
      </c>
      <c r="C178" s="13" t="s">
        <v>13</v>
      </c>
      <c r="D178" s="13" t="s">
        <v>18</v>
      </c>
      <c r="E178" s="13" t="s">
        <v>230</v>
      </c>
      <c r="F178" s="8"/>
      <c r="G178" s="13"/>
      <c r="H178" s="14">
        <f>H179</f>
        <v>1831</v>
      </c>
      <c r="I178" s="14">
        <f>I179</f>
        <v>1831</v>
      </c>
      <c r="J178" s="15">
        <f t="shared" si="10"/>
        <v>100</v>
      </c>
    </row>
    <row r="179" spans="2:10" s="36" customFormat="1" ht="15" x14ac:dyDescent="0.2">
      <c r="B179" s="17" t="s">
        <v>231</v>
      </c>
      <c r="C179" s="18" t="s">
        <v>13</v>
      </c>
      <c r="D179" s="18" t="s">
        <v>18</v>
      </c>
      <c r="E179" s="18" t="s">
        <v>230</v>
      </c>
      <c r="F179" s="9" t="s">
        <v>232</v>
      </c>
      <c r="G179" s="19"/>
      <c r="H179" s="20">
        <f t="shared" ref="H179:I182" si="12">H180</f>
        <v>1831</v>
      </c>
      <c r="I179" s="20">
        <f t="shared" si="12"/>
        <v>1831</v>
      </c>
      <c r="J179" s="21">
        <f t="shared" si="10"/>
        <v>100</v>
      </c>
    </row>
    <row r="180" spans="2:10" s="36" customFormat="1" ht="15" x14ac:dyDescent="0.2">
      <c r="B180" s="17" t="s">
        <v>233</v>
      </c>
      <c r="C180" s="18" t="s">
        <v>13</v>
      </c>
      <c r="D180" s="18" t="s">
        <v>18</v>
      </c>
      <c r="E180" s="18" t="s">
        <v>230</v>
      </c>
      <c r="F180" s="9" t="s">
        <v>234</v>
      </c>
      <c r="G180" s="19"/>
      <c r="H180" s="20">
        <f t="shared" si="12"/>
        <v>1831</v>
      </c>
      <c r="I180" s="20">
        <f t="shared" si="12"/>
        <v>1831</v>
      </c>
      <c r="J180" s="21">
        <f t="shared" si="10"/>
        <v>100</v>
      </c>
    </row>
    <row r="181" spans="2:10" s="36" customFormat="1" ht="15" x14ac:dyDescent="0.2">
      <c r="B181" s="37" t="s">
        <v>235</v>
      </c>
      <c r="C181" s="18" t="s">
        <v>13</v>
      </c>
      <c r="D181" s="18" t="s">
        <v>18</v>
      </c>
      <c r="E181" s="18" t="s">
        <v>230</v>
      </c>
      <c r="F181" s="9" t="s">
        <v>236</v>
      </c>
      <c r="G181" s="19"/>
      <c r="H181" s="20">
        <f t="shared" si="12"/>
        <v>1831</v>
      </c>
      <c r="I181" s="20">
        <f t="shared" si="12"/>
        <v>1831</v>
      </c>
      <c r="J181" s="21">
        <f t="shared" si="10"/>
        <v>100</v>
      </c>
    </row>
    <row r="182" spans="2:10" s="36" customFormat="1" ht="25.5" x14ac:dyDescent="0.2">
      <c r="B182" s="37" t="s">
        <v>237</v>
      </c>
      <c r="C182" s="18" t="s">
        <v>13</v>
      </c>
      <c r="D182" s="18" t="s">
        <v>18</v>
      </c>
      <c r="E182" s="18" t="s">
        <v>230</v>
      </c>
      <c r="F182" s="9" t="s">
        <v>238</v>
      </c>
      <c r="G182" s="19"/>
      <c r="H182" s="20">
        <f t="shared" si="12"/>
        <v>1831</v>
      </c>
      <c r="I182" s="20">
        <f t="shared" si="12"/>
        <v>1831</v>
      </c>
      <c r="J182" s="21">
        <f t="shared" si="10"/>
        <v>100</v>
      </c>
    </row>
    <row r="183" spans="2:10" s="36" customFormat="1" ht="15" x14ac:dyDescent="0.2">
      <c r="B183" s="17" t="s">
        <v>41</v>
      </c>
      <c r="C183" s="18" t="s">
        <v>13</v>
      </c>
      <c r="D183" s="18" t="s">
        <v>18</v>
      </c>
      <c r="E183" s="18" t="s">
        <v>230</v>
      </c>
      <c r="F183" s="9" t="s">
        <v>238</v>
      </c>
      <c r="G183" s="19" t="s">
        <v>24</v>
      </c>
      <c r="H183" s="20">
        <f>1757.7+73.2+0.1</f>
        <v>1831</v>
      </c>
      <c r="I183" s="20">
        <v>1831</v>
      </c>
      <c r="J183" s="21">
        <f t="shared" si="10"/>
        <v>100</v>
      </c>
    </row>
    <row r="184" spans="2:10" s="45" customFormat="1" x14ac:dyDescent="0.25">
      <c r="B184" s="44" t="s">
        <v>239</v>
      </c>
      <c r="C184" s="13" t="s">
        <v>13</v>
      </c>
      <c r="D184" s="13" t="s">
        <v>18</v>
      </c>
      <c r="E184" s="13" t="s">
        <v>186</v>
      </c>
      <c r="F184" s="13"/>
      <c r="G184" s="13"/>
      <c r="H184" s="14">
        <f>H189+H185</f>
        <v>22836.9</v>
      </c>
      <c r="I184" s="14">
        <f>I189+I185</f>
        <v>22131.699999999997</v>
      </c>
      <c r="J184" s="15">
        <f t="shared" si="10"/>
        <v>96.912015203464549</v>
      </c>
    </row>
    <row r="185" spans="2:10" s="36" customFormat="1" ht="25.5" x14ac:dyDescent="0.2">
      <c r="B185" s="17" t="s">
        <v>240</v>
      </c>
      <c r="C185" s="18" t="s">
        <v>13</v>
      </c>
      <c r="D185" s="18" t="s">
        <v>18</v>
      </c>
      <c r="E185" s="18" t="s">
        <v>186</v>
      </c>
      <c r="F185" s="9" t="s">
        <v>241</v>
      </c>
      <c r="G185" s="19"/>
      <c r="H185" s="20">
        <f t="shared" ref="H185:I187" si="13">H186</f>
        <v>836.4</v>
      </c>
      <c r="I185" s="20">
        <f t="shared" si="13"/>
        <v>781.4</v>
      </c>
      <c r="J185" s="21">
        <f t="shared" si="10"/>
        <v>93.42419894787183</v>
      </c>
    </row>
    <row r="186" spans="2:10" s="36" customFormat="1" ht="15" x14ac:dyDescent="0.2">
      <c r="B186" s="30" t="s">
        <v>242</v>
      </c>
      <c r="C186" s="18" t="s">
        <v>13</v>
      </c>
      <c r="D186" s="18" t="s">
        <v>18</v>
      </c>
      <c r="E186" s="18" t="s">
        <v>186</v>
      </c>
      <c r="F186" s="9" t="s">
        <v>243</v>
      </c>
      <c r="G186" s="19"/>
      <c r="H186" s="20">
        <f t="shared" si="13"/>
        <v>836.4</v>
      </c>
      <c r="I186" s="20">
        <f t="shared" si="13"/>
        <v>781.4</v>
      </c>
      <c r="J186" s="21">
        <f t="shared" si="10"/>
        <v>93.42419894787183</v>
      </c>
    </row>
    <row r="187" spans="2:10" s="36" customFormat="1" ht="15" x14ac:dyDescent="0.2">
      <c r="B187" s="30" t="s">
        <v>244</v>
      </c>
      <c r="C187" s="18" t="s">
        <v>13</v>
      </c>
      <c r="D187" s="18" t="s">
        <v>18</v>
      </c>
      <c r="E187" s="18" t="s">
        <v>186</v>
      </c>
      <c r="F187" s="9" t="s">
        <v>245</v>
      </c>
      <c r="G187" s="19"/>
      <c r="H187" s="20">
        <f t="shared" si="13"/>
        <v>836.4</v>
      </c>
      <c r="I187" s="20">
        <f t="shared" si="13"/>
        <v>781.4</v>
      </c>
      <c r="J187" s="21">
        <f t="shared" si="10"/>
        <v>93.42419894787183</v>
      </c>
    </row>
    <row r="188" spans="2:10" s="36" customFormat="1" ht="15" x14ac:dyDescent="0.2">
      <c r="B188" s="17" t="s">
        <v>41</v>
      </c>
      <c r="C188" s="18" t="s">
        <v>13</v>
      </c>
      <c r="D188" s="18" t="s">
        <v>18</v>
      </c>
      <c r="E188" s="18" t="s">
        <v>186</v>
      </c>
      <c r="F188" s="9" t="s">
        <v>245</v>
      </c>
      <c r="G188" s="19" t="s">
        <v>24</v>
      </c>
      <c r="H188" s="20">
        <f>781+0.4+50+5</f>
        <v>836.4</v>
      </c>
      <c r="I188" s="20">
        <v>781.4</v>
      </c>
      <c r="J188" s="21">
        <f t="shared" si="10"/>
        <v>93.42419894787183</v>
      </c>
    </row>
    <row r="189" spans="2:10" s="36" customFormat="1" ht="15" x14ac:dyDescent="0.2">
      <c r="B189" s="17" t="s">
        <v>231</v>
      </c>
      <c r="C189" s="18" t="s">
        <v>13</v>
      </c>
      <c r="D189" s="18" t="s">
        <v>18</v>
      </c>
      <c r="E189" s="18" t="s">
        <v>186</v>
      </c>
      <c r="F189" s="9" t="s">
        <v>232</v>
      </c>
      <c r="G189" s="19"/>
      <c r="H189" s="20">
        <f>H190</f>
        <v>22000.5</v>
      </c>
      <c r="I189" s="20">
        <f>I190</f>
        <v>21350.299999999996</v>
      </c>
      <c r="J189" s="21">
        <f t="shared" si="10"/>
        <v>97.044612622440368</v>
      </c>
    </row>
    <row r="190" spans="2:10" s="36" customFormat="1" ht="15" x14ac:dyDescent="0.2">
      <c r="B190" s="17" t="s">
        <v>246</v>
      </c>
      <c r="C190" s="18" t="s">
        <v>13</v>
      </c>
      <c r="D190" s="18" t="s">
        <v>18</v>
      </c>
      <c r="E190" s="18" t="s">
        <v>186</v>
      </c>
      <c r="F190" s="9" t="s">
        <v>247</v>
      </c>
      <c r="G190" s="19"/>
      <c r="H190" s="20">
        <f>H191+H198</f>
        <v>22000.5</v>
      </c>
      <c r="I190" s="20">
        <f>I191+I198</f>
        <v>21350.299999999996</v>
      </c>
      <c r="J190" s="21">
        <f t="shared" si="10"/>
        <v>97.044612622440368</v>
      </c>
    </row>
    <row r="191" spans="2:10" s="36" customFormat="1" ht="25.5" x14ac:dyDescent="0.2">
      <c r="B191" s="17" t="s">
        <v>248</v>
      </c>
      <c r="C191" s="18" t="s">
        <v>13</v>
      </c>
      <c r="D191" s="18" t="s">
        <v>18</v>
      </c>
      <c r="E191" s="18" t="s">
        <v>186</v>
      </c>
      <c r="F191" s="9" t="s">
        <v>249</v>
      </c>
      <c r="G191" s="19"/>
      <c r="H191" s="20">
        <f>H192+H194+H196</f>
        <v>12620.599999999999</v>
      </c>
      <c r="I191" s="20">
        <f>I192+I194+I196</f>
        <v>11970.899999999998</v>
      </c>
      <c r="J191" s="21">
        <f t="shared" si="10"/>
        <v>94.852067255122577</v>
      </c>
    </row>
    <row r="192" spans="2:10" s="36" customFormat="1" ht="25.5" x14ac:dyDescent="0.2">
      <c r="B192" s="37" t="s">
        <v>250</v>
      </c>
      <c r="C192" s="18" t="s">
        <v>13</v>
      </c>
      <c r="D192" s="18" t="s">
        <v>18</v>
      </c>
      <c r="E192" s="18" t="s">
        <v>186</v>
      </c>
      <c r="F192" s="9" t="s">
        <v>251</v>
      </c>
      <c r="G192" s="19"/>
      <c r="H192" s="20">
        <f>H193</f>
        <v>589.30000000000007</v>
      </c>
      <c r="I192" s="20">
        <f>I193</f>
        <v>589.29999999999995</v>
      </c>
      <c r="J192" s="21">
        <f t="shared" si="10"/>
        <v>99.999999999999972</v>
      </c>
    </row>
    <row r="193" spans="2:10" s="36" customFormat="1" ht="15" x14ac:dyDescent="0.2">
      <c r="B193" s="17" t="s">
        <v>41</v>
      </c>
      <c r="C193" s="18" t="s">
        <v>13</v>
      </c>
      <c r="D193" s="18" t="s">
        <v>18</v>
      </c>
      <c r="E193" s="18" t="s">
        <v>186</v>
      </c>
      <c r="F193" s="9" t="s">
        <v>251</v>
      </c>
      <c r="G193" s="19" t="s">
        <v>24</v>
      </c>
      <c r="H193" s="20">
        <f>567.6+21.7</f>
        <v>589.30000000000007</v>
      </c>
      <c r="I193" s="20">
        <v>589.29999999999995</v>
      </c>
      <c r="J193" s="21">
        <f t="shared" si="10"/>
        <v>99.999999999999972</v>
      </c>
    </row>
    <row r="194" spans="2:10" s="36" customFormat="1" ht="51" x14ac:dyDescent="0.2">
      <c r="B194" s="17" t="s">
        <v>252</v>
      </c>
      <c r="C194" s="18" t="s">
        <v>13</v>
      </c>
      <c r="D194" s="18" t="s">
        <v>18</v>
      </c>
      <c r="E194" s="18" t="s">
        <v>186</v>
      </c>
      <c r="F194" s="9" t="s">
        <v>253</v>
      </c>
      <c r="G194" s="19"/>
      <c r="H194" s="20">
        <f>H195</f>
        <v>10965.5</v>
      </c>
      <c r="I194" s="20">
        <f>I195</f>
        <v>10315.799999999999</v>
      </c>
      <c r="J194" s="21">
        <f t="shared" si="10"/>
        <v>94.075053577128259</v>
      </c>
    </row>
    <row r="195" spans="2:10" s="36" customFormat="1" ht="15" x14ac:dyDescent="0.2">
      <c r="B195" s="17" t="s">
        <v>41</v>
      </c>
      <c r="C195" s="18" t="s">
        <v>13</v>
      </c>
      <c r="D195" s="18" t="s">
        <v>18</v>
      </c>
      <c r="E195" s="18" t="s">
        <v>186</v>
      </c>
      <c r="F195" s="9" t="s">
        <v>253</v>
      </c>
      <c r="G195" s="19" t="s">
        <v>24</v>
      </c>
      <c r="H195" s="20">
        <f>10762.5+203</f>
        <v>10965.5</v>
      </c>
      <c r="I195" s="20">
        <v>10315.799999999999</v>
      </c>
      <c r="J195" s="21">
        <f t="shared" si="10"/>
        <v>94.075053577128259</v>
      </c>
    </row>
    <row r="196" spans="2:10" s="36" customFormat="1" ht="63.75" x14ac:dyDescent="0.2">
      <c r="B196" s="22" t="s">
        <v>254</v>
      </c>
      <c r="C196" s="18" t="s">
        <v>13</v>
      </c>
      <c r="D196" s="18" t="s">
        <v>18</v>
      </c>
      <c r="E196" s="18" t="s">
        <v>186</v>
      </c>
      <c r="F196" s="9" t="s">
        <v>255</v>
      </c>
      <c r="G196" s="19"/>
      <c r="H196" s="20">
        <f>H197</f>
        <v>1065.8000000000002</v>
      </c>
      <c r="I196" s="20">
        <f>I197</f>
        <v>1065.8</v>
      </c>
      <c r="J196" s="21">
        <f t="shared" si="10"/>
        <v>99.999999999999972</v>
      </c>
    </row>
    <row r="197" spans="2:10" s="36" customFormat="1" ht="15" x14ac:dyDescent="0.2">
      <c r="B197" s="17" t="s">
        <v>41</v>
      </c>
      <c r="C197" s="18" t="s">
        <v>13</v>
      </c>
      <c r="D197" s="18" t="s">
        <v>18</v>
      </c>
      <c r="E197" s="18" t="s">
        <v>186</v>
      </c>
      <c r="F197" s="9" t="s">
        <v>255</v>
      </c>
      <c r="G197" s="19" t="s">
        <v>24</v>
      </c>
      <c r="H197" s="20">
        <f>1221.9-83.6-72.5</f>
        <v>1065.8000000000002</v>
      </c>
      <c r="I197" s="20">
        <v>1065.8</v>
      </c>
      <c r="J197" s="21">
        <f t="shared" si="10"/>
        <v>99.999999999999972</v>
      </c>
    </row>
    <row r="198" spans="2:10" s="36" customFormat="1" ht="15" x14ac:dyDescent="0.2">
      <c r="B198" s="17" t="s">
        <v>256</v>
      </c>
      <c r="C198" s="18" t="s">
        <v>13</v>
      </c>
      <c r="D198" s="18" t="s">
        <v>18</v>
      </c>
      <c r="E198" s="18" t="s">
        <v>186</v>
      </c>
      <c r="F198" s="9" t="s">
        <v>257</v>
      </c>
      <c r="G198" s="19"/>
      <c r="H198" s="20">
        <f>H199+H201</f>
        <v>9379.9</v>
      </c>
      <c r="I198" s="20">
        <f>I199+I201</f>
        <v>9379.4</v>
      </c>
      <c r="J198" s="21">
        <f t="shared" si="10"/>
        <v>99.994669452766018</v>
      </c>
    </row>
    <row r="199" spans="2:10" s="36" customFormat="1" ht="15" x14ac:dyDescent="0.2">
      <c r="B199" s="37" t="s">
        <v>258</v>
      </c>
      <c r="C199" s="18" t="s">
        <v>13</v>
      </c>
      <c r="D199" s="18" t="s">
        <v>18</v>
      </c>
      <c r="E199" s="18" t="s">
        <v>186</v>
      </c>
      <c r="F199" s="9" t="s">
        <v>259</v>
      </c>
      <c r="G199" s="19"/>
      <c r="H199" s="20">
        <f>H200</f>
        <v>6723.9</v>
      </c>
      <c r="I199" s="20">
        <f>I200</f>
        <v>6723.4</v>
      </c>
      <c r="J199" s="21">
        <f t="shared" si="10"/>
        <v>99.992563839438418</v>
      </c>
    </row>
    <row r="200" spans="2:10" s="36" customFormat="1" ht="15" x14ac:dyDescent="0.2">
      <c r="B200" s="17" t="s">
        <v>41</v>
      </c>
      <c r="C200" s="18" t="s">
        <v>13</v>
      </c>
      <c r="D200" s="18" t="s">
        <v>18</v>
      </c>
      <c r="E200" s="18" t="s">
        <v>186</v>
      </c>
      <c r="F200" s="9" t="s">
        <v>259</v>
      </c>
      <c r="G200" s="19" t="s">
        <v>24</v>
      </c>
      <c r="H200" s="20">
        <f>6428+146+150-0.1</f>
        <v>6723.9</v>
      </c>
      <c r="I200" s="20">
        <v>6723.4</v>
      </c>
      <c r="J200" s="21">
        <f t="shared" si="10"/>
        <v>99.992563839438418</v>
      </c>
    </row>
    <row r="201" spans="2:10" s="36" customFormat="1" ht="51" x14ac:dyDescent="0.2">
      <c r="B201" s="17" t="s">
        <v>252</v>
      </c>
      <c r="C201" s="18" t="s">
        <v>13</v>
      </c>
      <c r="D201" s="18" t="s">
        <v>18</v>
      </c>
      <c r="E201" s="18" t="s">
        <v>186</v>
      </c>
      <c r="F201" s="9" t="s">
        <v>260</v>
      </c>
      <c r="G201" s="19"/>
      <c r="H201" s="20">
        <f>H202</f>
        <v>2656.0000000000005</v>
      </c>
      <c r="I201" s="20">
        <f>I202</f>
        <v>2656</v>
      </c>
      <c r="J201" s="21">
        <f t="shared" ref="J201:J264" si="14">I201/H201*100</f>
        <v>99.999999999999972</v>
      </c>
    </row>
    <row r="202" spans="2:10" s="36" customFormat="1" ht="15" x14ac:dyDescent="0.2">
      <c r="B202" s="17" t="s">
        <v>41</v>
      </c>
      <c r="C202" s="18" t="s">
        <v>13</v>
      </c>
      <c r="D202" s="18" t="s">
        <v>18</v>
      </c>
      <c r="E202" s="18" t="s">
        <v>186</v>
      </c>
      <c r="F202" s="9" t="s">
        <v>260</v>
      </c>
      <c r="G202" s="19" t="s">
        <v>24</v>
      </c>
      <c r="H202" s="20">
        <f>1944.9+682.7+28.4</f>
        <v>2656.0000000000005</v>
      </c>
      <c r="I202" s="20">
        <v>2656</v>
      </c>
      <c r="J202" s="21">
        <f t="shared" si="14"/>
        <v>99.999999999999972</v>
      </c>
    </row>
    <row r="203" spans="2:10" s="45" customFormat="1" x14ac:dyDescent="0.25">
      <c r="B203" s="40" t="s">
        <v>261</v>
      </c>
      <c r="C203" s="13" t="s">
        <v>13</v>
      </c>
      <c r="D203" s="13" t="s">
        <v>18</v>
      </c>
      <c r="E203" s="13" t="s">
        <v>262</v>
      </c>
      <c r="F203" s="8"/>
      <c r="G203" s="13"/>
      <c r="H203" s="14">
        <f t="shared" ref="H203:I206" si="15">H204</f>
        <v>424.3</v>
      </c>
      <c r="I203" s="14">
        <f t="shared" si="15"/>
        <v>403.9</v>
      </c>
      <c r="J203" s="15">
        <f t="shared" si="14"/>
        <v>95.192081074711282</v>
      </c>
    </row>
    <row r="204" spans="2:10" s="36" customFormat="1" ht="25.5" x14ac:dyDescent="0.2">
      <c r="B204" s="17" t="s">
        <v>263</v>
      </c>
      <c r="C204" s="18" t="s">
        <v>13</v>
      </c>
      <c r="D204" s="18" t="s">
        <v>18</v>
      </c>
      <c r="E204" s="18" t="s">
        <v>262</v>
      </c>
      <c r="F204" s="9" t="s">
        <v>264</v>
      </c>
      <c r="G204" s="18"/>
      <c r="H204" s="20">
        <f t="shared" si="15"/>
        <v>424.3</v>
      </c>
      <c r="I204" s="20">
        <f t="shared" si="15"/>
        <v>403.9</v>
      </c>
      <c r="J204" s="21">
        <f t="shared" si="14"/>
        <v>95.192081074711282</v>
      </c>
    </row>
    <row r="205" spans="2:10" s="36" customFormat="1" ht="25.5" x14ac:dyDescent="0.2">
      <c r="B205" s="17" t="s">
        <v>265</v>
      </c>
      <c r="C205" s="18" t="s">
        <v>13</v>
      </c>
      <c r="D205" s="18" t="s">
        <v>18</v>
      </c>
      <c r="E205" s="18" t="s">
        <v>262</v>
      </c>
      <c r="F205" s="9" t="s">
        <v>266</v>
      </c>
      <c r="G205" s="18"/>
      <c r="H205" s="20">
        <f t="shared" si="15"/>
        <v>424.3</v>
      </c>
      <c r="I205" s="20">
        <f t="shared" si="15"/>
        <v>403.9</v>
      </c>
      <c r="J205" s="21">
        <f t="shared" si="14"/>
        <v>95.192081074711282</v>
      </c>
    </row>
    <row r="206" spans="2:10" s="36" customFormat="1" ht="15" x14ac:dyDescent="0.2">
      <c r="B206" s="17" t="s">
        <v>267</v>
      </c>
      <c r="C206" s="18" t="s">
        <v>13</v>
      </c>
      <c r="D206" s="18" t="s">
        <v>18</v>
      </c>
      <c r="E206" s="18" t="s">
        <v>262</v>
      </c>
      <c r="F206" s="9" t="s">
        <v>268</v>
      </c>
      <c r="G206" s="18"/>
      <c r="H206" s="20">
        <f t="shared" si="15"/>
        <v>424.3</v>
      </c>
      <c r="I206" s="20">
        <f t="shared" si="15"/>
        <v>403.9</v>
      </c>
      <c r="J206" s="21">
        <f t="shared" si="14"/>
        <v>95.192081074711282</v>
      </c>
    </row>
    <row r="207" spans="2:10" s="36" customFormat="1" ht="25.5" x14ac:dyDescent="0.2">
      <c r="B207" s="17" t="s">
        <v>116</v>
      </c>
      <c r="C207" s="18" t="s">
        <v>13</v>
      </c>
      <c r="D207" s="18" t="s">
        <v>18</v>
      </c>
      <c r="E207" s="18" t="s">
        <v>262</v>
      </c>
      <c r="F207" s="9" t="s">
        <v>268</v>
      </c>
      <c r="G207" s="18" t="s">
        <v>117</v>
      </c>
      <c r="H207" s="20">
        <f>408.5+15+0.8</f>
        <v>424.3</v>
      </c>
      <c r="I207" s="20">
        <v>403.9</v>
      </c>
      <c r="J207" s="21">
        <f t="shared" si="14"/>
        <v>95.192081074711282</v>
      </c>
    </row>
    <row r="208" spans="2:10" s="16" customFormat="1" x14ac:dyDescent="0.25">
      <c r="B208" s="12" t="s">
        <v>269</v>
      </c>
      <c r="C208" s="13" t="s">
        <v>13</v>
      </c>
      <c r="D208" s="13" t="s">
        <v>85</v>
      </c>
      <c r="E208" s="13"/>
      <c r="F208" s="13"/>
      <c r="G208" s="13"/>
      <c r="H208" s="14">
        <f>H209+H225+H250</f>
        <v>9667</v>
      </c>
      <c r="I208" s="14">
        <f>I209+I225+I250</f>
        <v>9257.7000000000007</v>
      </c>
      <c r="J208" s="15">
        <f t="shared" si="14"/>
        <v>95.766008068687285</v>
      </c>
    </row>
    <row r="209" spans="2:10" s="16" customFormat="1" x14ac:dyDescent="0.25">
      <c r="B209" s="12" t="s">
        <v>270</v>
      </c>
      <c r="C209" s="13" t="s">
        <v>13</v>
      </c>
      <c r="D209" s="13" t="s">
        <v>85</v>
      </c>
      <c r="E209" s="13" t="s">
        <v>15</v>
      </c>
      <c r="F209" s="13"/>
      <c r="G209" s="13"/>
      <c r="H209" s="14">
        <f>H218+H213+H210</f>
        <v>1396.4</v>
      </c>
      <c r="I209" s="14">
        <f>I218+I213+I210</f>
        <v>1396.4</v>
      </c>
      <c r="J209" s="15">
        <f t="shared" si="14"/>
        <v>100</v>
      </c>
    </row>
    <row r="210" spans="2:10" s="16" customFormat="1" x14ac:dyDescent="0.25">
      <c r="B210" s="28" t="s">
        <v>19</v>
      </c>
      <c r="C210" s="18" t="s">
        <v>13</v>
      </c>
      <c r="D210" s="18" t="s">
        <v>85</v>
      </c>
      <c r="E210" s="18" t="s">
        <v>15</v>
      </c>
      <c r="F210" s="18" t="s">
        <v>20</v>
      </c>
      <c r="G210" s="33"/>
      <c r="H210" s="20">
        <f>H211</f>
        <v>250</v>
      </c>
      <c r="I210" s="20">
        <f>I211</f>
        <v>250</v>
      </c>
      <c r="J210" s="21">
        <f t="shared" si="14"/>
        <v>100</v>
      </c>
    </row>
    <row r="211" spans="2:10" s="16" customFormat="1" x14ac:dyDescent="0.25">
      <c r="B211" s="28" t="s">
        <v>21</v>
      </c>
      <c r="C211" s="18" t="s">
        <v>13</v>
      </c>
      <c r="D211" s="18" t="s">
        <v>85</v>
      </c>
      <c r="E211" s="18" t="s">
        <v>15</v>
      </c>
      <c r="F211" s="18" t="s">
        <v>22</v>
      </c>
      <c r="G211" s="33"/>
      <c r="H211" s="20">
        <f>H212</f>
        <v>250</v>
      </c>
      <c r="I211" s="20">
        <f>I212</f>
        <v>250</v>
      </c>
      <c r="J211" s="21">
        <f t="shared" si="14"/>
        <v>100</v>
      </c>
    </row>
    <row r="212" spans="2:10" s="16" customFormat="1" x14ac:dyDescent="0.25">
      <c r="B212" s="28" t="s">
        <v>41</v>
      </c>
      <c r="C212" s="18" t="s">
        <v>13</v>
      </c>
      <c r="D212" s="18" t="s">
        <v>85</v>
      </c>
      <c r="E212" s="18" t="s">
        <v>15</v>
      </c>
      <c r="F212" s="18" t="s">
        <v>22</v>
      </c>
      <c r="G212" s="19" t="s">
        <v>24</v>
      </c>
      <c r="H212" s="20">
        <v>250</v>
      </c>
      <c r="I212" s="20">
        <v>250</v>
      </c>
      <c r="J212" s="21">
        <f t="shared" si="14"/>
        <v>100</v>
      </c>
    </row>
    <row r="213" spans="2:10" s="16" customFormat="1" ht="25.5" x14ac:dyDescent="0.25">
      <c r="B213" s="17" t="s">
        <v>271</v>
      </c>
      <c r="C213" s="18" t="s">
        <v>13</v>
      </c>
      <c r="D213" s="18" t="s">
        <v>85</v>
      </c>
      <c r="E213" s="18" t="s">
        <v>15</v>
      </c>
      <c r="F213" s="18" t="s">
        <v>272</v>
      </c>
      <c r="G213" s="18"/>
      <c r="H213" s="20">
        <f t="shared" ref="H213:I216" si="16">H214</f>
        <v>497.7</v>
      </c>
      <c r="I213" s="20">
        <f t="shared" si="16"/>
        <v>497.7</v>
      </c>
      <c r="J213" s="21">
        <f t="shared" si="14"/>
        <v>100</v>
      </c>
    </row>
    <row r="214" spans="2:10" s="16" customFormat="1" ht="25.5" x14ac:dyDescent="0.25">
      <c r="B214" s="17" t="s">
        <v>273</v>
      </c>
      <c r="C214" s="18" t="s">
        <v>13</v>
      </c>
      <c r="D214" s="18" t="s">
        <v>85</v>
      </c>
      <c r="E214" s="18" t="s">
        <v>15</v>
      </c>
      <c r="F214" s="9" t="s">
        <v>274</v>
      </c>
      <c r="G214" s="18"/>
      <c r="H214" s="20">
        <f t="shared" si="16"/>
        <v>497.7</v>
      </c>
      <c r="I214" s="20">
        <f t="shared" si="16"/>
        <v>497.7</v>
      </c>
      <c r="J214" s="21">
        <f t="shared" si="14"/>
        <v>100</v>
      </c>
    </row>
    <row r="215" spans="2:10" s="16" customFormat="1" x14ac:dyDescent="0.25">
      <c r="B215" s="17" t="s">
        <v>275</v>
      </c>
      <c r="C215" s="18" t="s">
        <v>13</v>
      </c>
      <c r="D215" s="18" t="s">
        <v>85</v>
      </c>
      <c r="E215" s="18" t="s">
        <v>15</v>
      </c>
      <c r="F215" s="9" t="s">
        <v>276</v>
      </c>
      <c r="G215" s="18"/>
      <c r="H215" s="20">
        <f t="shared" si="16"/>
        <v>497.7</v>
      </c>
      <c r="I215" s="20">
        <f t="shared" si="16"/>
        <v>497.7</v>
      </c>
      <c r="J215" s="21">
        <f t="shared" si="14"/>
        <v>100</v>
      </c>
    </row>
    <row r="216" spans="2:10" s="16" customFormat="1" x14ac:dyDescent="0.25">
      <c r="B216" s="17" t="s">
        <v>277</v>
      </c>
      <c r="C216" s="18" t="s">
        <v>13</v>
      </c>
      <c r="D216" s="18" t="s">
        <v>85</v>
      </c>
      <c r="E216" s="18" t="s">
        <v>15</v>
      </c>
      <c r="F216" s="9" t="s">
        <v>278</v>
      </c>
      <c r="G216" s="18"/>
      <c r="H216" s="20">
        <f t="shared" si="16"/>
        <v>497.7</v>
      </c>
      <c r="I216" s="20">
        <f t="shared" si="16"/>
        <v>497.7</v>
      </c>
      <c r="J216" s="21">
        <f t="shared" si="14"/>
        <v>100</v>
      </c>
    </row>
    <row r="217" spans="2:10" s="16" customFormat="1" x14ac:dyDescent="0.25">
      <c r="B217" s="17" t="s">
        <v>41</v>
      </c>
      <c r="C217" s="18" t="s">
        <v>13</v>
      </c>
      <c r="D217" s="18" t="s">
        <v>85</v>
      </c>
      <c r="E217" s="18" t="s">
        <v>15</v>
      </c>
      <c r="F217" s="9" t="s">
        <v>278</v>
      </c>
      <c r="G217" s="18" t="s">
        <v>24</v>
      </c>
      <c r="H217" s="20">
        <f>443.9-1.8+55.6</f>
        <v>497.7</v>
      </c>
      <c r="I217" s="20">
        <v>497.7</v>
      </c>
      <c r="J217" s="21">
        <f t="shared" si="14"/>
        <v>100</v>
      </c>
    </row>
    <row r="218" spans="2:10" ht="25.5" x14ac:dyDescent="0.2">
      <c r="B218" s="17" t="s">
        <v>279</v>
      </c>
      <c r="C218" s="18" t="s">
        <v>13</v>
      </c>
      <c r="D218" s="18" t="s">
        <v>85</v>
      </c>
      <c r="E218" s="18" t="s">
        <v>15</v>
      </c>
      <c r="F218" s="9" t="s">
        <v>280</v>
      </c>
      <c r="G218" s="19"/>
      <c r="H218" s="20">
        <f>H219+H222</f>
        <v>648.70000000000005</v>
      </c>
      <c r="I218" s="20">
        <f>I219+I222</f>
        <v>648.70000000000005</v>
      </c>
      <c r="J218" s="21">
        <f t="shared" si="14"/>
        <v>100</v>
      </c>
    </row>
    <row r="219" spans="2:10" ht="15" x14ac:dyDescent="0.2">
      <c r="B219" s="17" t="s">
        <v>281</v>
      </c>
      <c r="C219" s="18" t="s">
        <v>13</v>
      </c>
      <c r="D219" s="18" t="s">
        <v>85</v>
      </c>
      <c r="E219" s="18" t="s">
        <v>15</v>
      </c>
      <c r="F219" s="9" t="s">
        <v>282</v>
      </c>
      <c r="G219" s="19"/>
      <c r="H219" s="20">
        <f>H220</f>
        <v>648.70000000000005</v>
      </c>
      <c r="I219" s="20">
        <f>I220</f>
        <v>648.70000000000005</v>
      </c>
      <c r="J219" s="21">
        <f t="shared" si="14"/>
        <v>100</v>
      </c>
    </row>
    <row r="220" spans="2:10" ht="15" x14ac:dyDescent="0.2">
      <c r="B220" s="17" t="s">
        <v>283</v>
      </c>
      <c r="C220" s="18" t="s">
        <v>13</v>
      </c>
      <c r="D220" s="18" t="s">
        <v>85</v>
      </c>
      <c r="E220" s="18" t="s">
        <v>15</v>
      </c>
      <c r="F220" s="9" t="s">
        <v>284</v>
      </c>
      <c r="G220" s="19"/>
      <c r="H220" s="20">
        <f>H221</f>
        <v>648.70000000000005</v>
      </c>
      <c r="I220" s="20">
        <f>I221</f>
        <v>648.70000000000005</v>
      </c>
      <c r="J220" s="21">
        <f t="shared" si="14"/>
        <v>100</v>
      </c>
    </row>
    <row r="221" spans="2:10" ht="15" x14ac:dyDescent="0.2">
      <c r="B221" s="17" t="s">
        <v>41</v>
      </c>
      <c r="C221" s="18" t="s">
        <v>13</v>
      </c>
      <c r="D221" s="18" t="s">
        <v>85</v>
      </c>
      <c r="E221" s="18" t="s">
        <v>15</v>
      </c>
      <c r="F221" s="9" t="s">
        <v>284</v>
      </c>
      <c r="G221" s="19" t="s">
        <v>24</v>
      </c>
      <c r="H221" s="20">
        <f>650-1.3</f>
        <v>648.70000000000005</v>
      </c>
      <c r="I221" s="20">
        <v>648.70000000000005</v>
      </c>
      <c r="J221" s="21">
        <f t="shared" si="14"/>
        <v>100</v>
      </c>
    </row>
    <row r="222" spans="2:10" ht="25.5" hidden="1" x14ac:dyDescent="0.2">
      <c r="B222" s="17" t="s">
        <v>285</v>
      </c>
      <c r="C222" s="18" t="s">
        <v>13</v>
      </c>
      <c r="D222" s="18" t="s">
        <v>85</v>
      </c>
      <c r="E222" s="18" t="s">
        <v>15</v>
      </c>
      <c r="F222" s="9" t="s">
        <v>286</v>
      </c>
      <c r="G222" s="19"/>
      <c r="H222" s="20">
        <f>H223</f>
        <v>0</v>
      </c>
      <c r="I222" s="20">
        <f>I223</f>
        <v>0</v>
      </c>
      <c r="J222" s="21" t="e">
        <f t="shared" si="14"/>
        <v>#DIV/0!</v>
      </c>
    </row>
    <row r="223" spans="2:10" ht="38.25" hidden="1" x14ac:dyDescent="0.2">
      <c r="B223" s="17" t="s">
        <v>287</v>
      </c>
      <c r="C223" s="18" t="s">
        <v>13</v>
      </c>
      <c r="D223" s="18" t="s">
        <v>85</v>
      </c>
      <c r="E223" s="18" t="s">
        <v>15</v>
      </c>
      <c r="F223" s="9" t="s">
        <v>288</v>
      </c>
      <c r="G223" s="19"/>
      <c r="H223" s="20">
        <f>H224</f>
        <v>0</v>
      </c>
      <c r="I223" s="20">
        <f>I224</f>
        <v>0</v>
      </c>
      <c r="J223" s="21" t="e">
        <f t="shared" si="14"/>
        <v>#DIV/0!</v>
      </c>
    </row>
    <row r="224" spans="2:10" ht="15" hidden="1" x14ac:dyDescent="0.2">
      <c r="B224" s="17" t="s">
        <v>289</v>
      </c>
      <c r="C224" s="18" t="s">
        <v>13</v>
      </c>
      <c r="D224" s="18" t="s">
        <v>85</v>
      </c>
      <c r="E224" s="18" t="s">
        <v>15</v>
      </c>
      <c r="F224" s="9" t="s">
        <v>288</v>
      </c>
      <c r="G224" s="19" t="s">
        <v>290</v>
      </c>
      <c r="H224" s="20">
        <v>0</v>
      </c>
      <c r="I224" s="20">
        <v>0</v>
      </c>
      <c r="J224" s="21" t="e">
        <f t="shared" si="14"/>
        <v>#DIV/0!</v>
      </c>
    </row>
    <row r="225" spans="2:10" s="45" customFormat="1" x14ac:dyDescent="0.25">
      <c r="B225" s="12" t="s">
        <v>291</v>
      </c>
      <c r="C225" s="13" t="s">
        <v>13</v>
      </c>
      <c r="D225" s="13" t="s">
        <v>85</v>
      </c>
      <c r="E225" s="13" t="s">
        <v>292</v>
      </c>
      <c r="F225" s="8"/>
      <c r="G225" s="13"/>
      <c r="H225" s="14">
        <f>H226+H229+H246</f>
        <v>7080.6</v>
      </c>
      <c r="I225" s="14">
        <f>I226+I229+I246</f>
        <v>6671.3</v>
      </c>
      <c r="J225" s="15">
        <f t="shared" si="14"/>
        <v>94.219416433635558</v>
      </c>
    </row>
    <row r="226" spans="2:10" s="45" customFormat="1" x14ac:dyDescent="0.25">
      <c r="B226" s="24" t="s">
        <v>97</v>
      </c>
      <c r="C226" s="18" t="s">
        <v>13</v>
      </c>
      <c r="D226" s="18" t="s">
        <v>85</v>
      </c>
      <c r="E226" s="18" t="s">
        <v>292</v>
      </c>
      <c r="F226" s="9" t="s">
        <v>98</v>
      </c>
      <c r="G226" s="18"/>
      <c r="H226" s="20">
        <f>H227</f>
        <v>2065.6999999999998</v>
      </c>
      <c r="I226" s="20">
        <f>I227</f>
        <v>2065.6999999999998</v>
      </c>
      <c r="J226" s="21">
        <f t="shared" si="14"/>
        <v>100</v>
      </c>
    </row>
    <row r="227" spans="2:10" s="45" customFormat="1" x14ac:dyDescent="0.25">
      <c r="B227" s="17" t="s">
        <v>293</v>
      </c>
      <c r="C227" s="18" t="s">
        <v>13</v>
      </c>
      <c r="D227" s="18" t="s">
        <v>85</v>
      </c>
      <c r="E227" s="18" t="s">
        <v>292</v>
      </c>
      <c r="F227" s="9" t="s">
        <v>294</v>
      </c>
      <c r="G227" s="18"/>
      <c r="H227" s="20">
        <f>H228</f>
        <v>2065.6999999999998</v>
      </c>
      <c r="I227" s="20">
        <f>I228</f>
        <v>2065.6999999999998</v>
      </c>
      <c r="J227" s="21">
        <f t="shared" si="14"/>
        <v>100</v>
      </c>
    </row>
    <row r="228" spans="2:10" s="45" customFormat="1" ht="25.5" x14ac:dyDescent="0.25">
      <c r="B228" s="17" t="s">
        <v>295</v>
      </c>
      <c r="C228" s="18" t="s">
        <v>13</v>
      </c>
      <c r="D228" s="18" t="s">
        <v>85</v>
      </c>
      <c r="E228" s="18" t="s">
        <v>292</v>
      </c>
      <c r="F228" s="9" t="s">
        <v>294</v>
      </c>
      <c r="G228" s="18" t="s">
        <v>296</v>
      </c>
      <c r="H228" s="20">
        <f>1388.5+369.1+308.1</f>
        <v>2065.6999999999998</v>
      </c>
      <c r="I228" s="20">
        <v>2065.6999999999998</v>
      </c>
      <c r="J228" s="21">
        <f t="shared" si="14"/>
        <v>100</v>
      </c>
    </row>
    <row r="229" spans="2:10" s="45" customFormat="1" ht="25.5" x14ac:dyDescent="0.25">
      <c r="B229" s="17" t="s">
        <v>271</v>
      </c>
      <c r="C229" s="18" t="s">
        <v>13</v>
      </c>
      <c r="D229" s="18" t="s">
        <v>85</v>
      </c>
      <c r="E229" s="18" t="s">
        <v>292</v>
      </c>
      <c r="F229" s="9" t="s">
        <v>272</v>
      </c>
      <c r="G229" s="18"/>
      <c r="H229" s="20">
        <f>H230+H242</f>
        <v>5014.9000000000005</v>
      </c>
      <c r="I229" s="20">
        <f>I230+I242</f>
        <v>4605.6000000000004</v>
      </c>
      <c r="J229" s="21">
        <f t="shared" si="14"/>
        <v>91.838321801032919</v>
      </c>
    </row>
    <row r="230" spans="2:10" s="45" customFormat="1" ht="25.5" x14ac:dyDescent="0.25">
      <c r="B230" s="17" t="s">
        <v>273</v>
      </c>
      <c r="C230" s="18" t="s">
        <v>13</v>
      </c>
      <c r="D230" s="18" t="s">
        <v>85</v>
      </c>
      <c r="E230" s="18" t="s">
        <v>292</v>
      </c>
      <c r="F230" s="9" t="s">
        <v>274</v>
      </c>
      <c r="G230" s="18"/>
      <c r="H230" s="20">
        <f>H231+H236+H239</f>
        <v>5014.9000000000005</v>
      </c>
      <c r="I230" s="20">
        <f>I231+I236+I239</f>
        <v>4605.6000000000004</v>
      </c>
      <c r="J230" s="21">
        <f t="shared" si="14"/>
        <v>91.838321801032919</v>
      </c>
    </row>
    <row r="231" spans="2:10" s="45" customFormat="1" x14ac:dyDescent="0.25">
      <c r="B231" s="17" t="s">
        <v>275</v>
      </c>
      <c r="C231" s="18" t="s">
        <v>13</v>
      </c>
      <c r="D231" s="18" t="s">
        <v>85</v>
      </c>
      <c r="E231" s="18" t="s">
        <v>292</v>
      </c>
      <c r="F231" s="9" t="s">
        <v>276</v>
      </c>
      <c r="G231" s="18"/>
      <c r="H231" s="20">
        <f>H232</f>
        <v>3126.4000000000005</v>
      </c>
      <c r="I231" s="20">
        <f>I232</f>
        <v>3048.6</v>
      </c>
      <c r="J231" s="21">
        <f t="shared" si="14"/>
        <v>97.511514841351058</v>
      </c>
    </row>
    <row r="232" spans="2:10" s="45" customFormat="1" x14ac:dyDescent="0.25">
      <c r="B232" s="17" t="s">
        <v>277</v>
      </c>
      <c r="C232" s="18" t="s">
        <v>13</v>
      </c>
      <c r="D232" s="18" t="s">
        <v>85</v>
      </c>
      <c r="E232" s="18" t="s">
        <v>292</v>
      </c>
      <c r="F232" s="9" t="s">
        <v>278</v>
      </c>
      <c r="G232" s="18"/>
      <c r="H232" s="20">
        <f>H233+H235+H234</f>
        <v>3126.4000000000005</v>
      </c>
      <c r="I232" s="20">
        <f>I233+I235+I234</f>
        <v>3048.6</v>
      </c>
      <c r="J232" s="21">
        <f t="shared" si="14"/>
        <v>97.511514841351058</v>
      </c>
    </row>
    <row r="233" spans="2:10" s="45" customFormat="1" x14ac:dyDescent="0.25">
      <c r="B233" s="17" t="s">
        <v>41</v>
      </c>
      <c r="C233" s="18" t="s">
        <v>13</v>
      </c>
      <c r="D233" s="18" t="s">
        <v>85</v>
      </c>
      <c r="E233" s="18" t="s">
        <v>292</v>
      </c>
      <c r="F233" s="9" t="s">
        <v>278</v>
      </c>
      <c r="G233" s="18" t="s">
        <v>24</v>
      </c>
      <c r="H233" s="20">
        <f>2683.3+1.8+208.5+192.4+1.9</f>
        <v>3087.9000000000005</v>
      </c>
      <c r="I233" s="20">
        <v>3010.1</v>
      </c>
      <c r="J233" s="21">
        <f t="shared" si="14"/>
        <v>97.480488357783585</v>
      </c>
    </row>
    <row r="234" spans="2:10" s="45" customFormat="1" ht="16.5" hidden="1" customHeight="1" x14ac:dyDescent="0.25">
      <c r="B234" s="17" t="s">
        <v>297</v>
      </c>
      <c r="C234" s="18" t="s">
        <v>13</v>
      </c>
      <c r="D234" s="18" t="s">
        <v>85</v>
      </c>
      <c r="E234" s="18" t="s">
        <v>292</v>
      </c>
      <c r="F234" s="9" t="s">
        <v>278</v>
      </c>
      <c r="G234" s="18" t="s">
        <v>290</v>
      </c>
      <c r="H234" s="20">
        <v>0</v>
      </c>
      <c r="I234" s="20"/>
      <c r="J234" s="21" t="e">
        <f t="shared" si="14"/>
        <v>#DIV/0!</v>
      </c>
    </row>
    <row r="235" spans="2:10" s="45" customFormat="1" x14ac:dyDescent="0.25">
      <c r="B235" s="17" t="s">
        <v>50</v>
      </c>
      <c r="C235" s="18" t="s">
        <v>13</v>
      </c>
      <c r="D235" s="18" t="s">
        <v>85</v>
      </c>
      <c r="E235" s="18" t="s">
        <v>292</v>
      </c>
      <c r="F235" s="9" t="s">
        <v>278</v>
      </c>
      <c r="G235" s="18" t="s">
        <v>51</v>
      </c>
      <c r="H235" s="20">
        <f>1+37.5</f>
        <v>38.5</v>
      </c>
      <c r="I235" s="20">
        <v>38.5</v>
      </c>
      <c r="J235" s="21">
        <f t="shared" si="14"/>
        <v>100</v>
      </c>
    </row>
    <row r="236" spans="2:10" s="45" customFormat="1" ht="25.5" hidden="1" customHeight="1" x14ac:dyDescent="0.25">
      <c r="B236" s="23" t="s">
        <v>298</v>
      </c>
      <c r="C236" s="18" t="s">
        <v>13</v>
      </c>
      <c r="D236" s="18" t="s">
        <v>85</v>
      </c>
      <c r="E236" s="18" t="s">
        <v>292</v>
      </c>
      <c r="F236" s="9" t="s">
        <v>299</v>
      </c>
      <c r="G236" s="18"/>
      <c r="H236" s="20">
        <f>H237</f>
        <v>0</v>
      </c>
      <c r="I236" s="20">
        <f>I237</f>
        <v>0</v>
      </c>
      <c r="J236" s="21" t="e">
        <f t="shared" si="14"/>
        <v>#DIV/0!</v>
      </c>
    </row>
    <row r="237" spans="2:10" s="45" customFormat="1" ht="12.75" hidden="1" customHeight="1" x14ac:dyDescent="0.25">
      <c r="B237" s="17" t="s">
        <v>277</v>
      </c>
      <c r="C237" s="18" t="s">
        <v>13</v>
      </c>
      <c r="D237" s="18" t="s">
        <v>85</v>
      </c>
      <c r="E237" s="18" t="s">
        <v>292</v>
      </c>
      <c r="F237" s="9" t="s">
        <v>300</v>
      </c>
      <c r="G237" s="18"/>
      <c r="H237" s="20">
        <f>H238</f>
        <v>0</v>
      </c>
      <c r="I237" s="20">
        <f>I238</f>
        <v>0</v>
      </c>
      <c r="J237" s="21" t="e">
        <f t="shared" si="14"/>
        <v>#DIV/0!</v>
      </c>
    </row>
    <row r="238" spans="2:10" s="45" customFormat="1" ht="25.5" hidden="1" customHeight="1" x14ac:dyDescent="0.25">
      <c r="B238" s="17" t="s">
        <v>23</v>
      </c>
      <c r="C238" s="18" t="s">
        <v>13</v>
      </c>
      <c r="D238" s="18" t="s">
        <v>85</v>
      </c>
      <c r="E238" s="18" t="s">
        <v>292</v>
      </c>
      <c r="F238" s="9" t="s">
        <v>300</v>
      </c>
      <c r="G238" s="18" t="s">
        <v>24</v>
      </c>
      <c r="H238" s="20">
        <v>0</v>
      </c>
      <c r="I238" s="20">
        <v>0</v>
      </c>
      <c r="J238" s="21" t="e">
        <f t="shared" si="14"/>
        <v>#DIV/0!</v>
      </c>
    </row>
    <row r="239" spans="2:10" s="45" customFormat="1" x14ac:dyDescent="0.25">
      <c r="B239" s="23" t="s">
        <v>301</v>
      </c>
      <c r="C239" s="18" t="s">
        <v>13</v>
      </c>
      <c r="D239" s="18" t="s">
        <v>85</v>
      </c>
      <c r="E239" s="18" t="s">
        <v>292</v>
      </c>
      <c r="F239" s="9" t="s">
        <v>302</v>
      </c>
      <c r="G239" s="18"/>
      <c r="H239" s="20">
        <f>H240</f>
        <v>1888.5</v>
      </c>
      <c r="I239" s="20">
        <f>I240</f>
        <v>1557</v>
      </c>
      <c r="J239" s="21">
        <f t="shared" si="14"/>
        <v>82.446386020651303</v>
      </c>
    </row>
    <row r="240" spans="2:10" s="45" customFormat="1" x14ac:dyDescent="0.25">
      <c r="B240" s="30" t="s">
        <v>303</v>
      </c>
      <c r="C240" s="18" t="s">
        <v>13</v>
      </c>
      <c r="D240" s="18" t="s">
        <v>85</v>
      </c>
      <c r="E240" s="18" t="s">
        <v>292</v>
      </c>
      <c r="F240" s="9" t="s">
        <v>304</v>
      </c>
      <c r="G240" s="18"/>
      <c r="H240" s="20">
        <f>H241</f>
        <v>1888.5</v>
      </c>
      <c r="I240" s="20">
        <f>I241</f>
        <v>1557</v>
      </c>
      <c r="J240" s="21">
        <f t="shared" si="14"/>
        <v>82.446386020651303</v>
      </c>
    </row>
    <row r="241" spans="2:10" s="45" customFormat="1" x14ac:dyDescent="0.25">
      <c r="B241" s="17" t="s">
        <v>41</v>
      </c>
      <c r="C241" s="18" t="s">
        <v>13</v>
      </c>
      <c r="D241" s="18" t="s">
        <v>85</v>
      </c>
      <c r="E241" s="18" t="s">
        <v>292</v>
      </c>
      <c r="F241" s="9" t="s">
        <v>304</v>
      </c>
      <c r="G241" s="18" t="s">
        <v>24</v>
      </c>
      <c r="H241" s="20">
        <f>2008.8-97.6-22.7</f>
        <v>1888.5</v>
      </c>
      <c r="I241" s="20">
        <v>1557</v>
      </c>
      <c r="J241" s="21">
        <f t="shared" si="14"/>
        <v>82.446386020651303</v>
      </c>
    </row>
    <row r="242" spans="2:10" s="45" customFormat="1" ht="25.5" hidden="1" customHeight="1" x14ac:dyDescent="0.25">
      <c r="B242" s="23" t="s">
        <v>305</v>
      </c>
      <c r="C242" s="18" t="s">
        <v>13</v>
      </c>
      <c r="D242" s="18" t="s">
        <v>85</v>
      </c>
      <c r="E242" s="18" t="s">
        <v>292</v>
      </c>
      <c r="F242" s="9" t="s">
        <v>306</v>
      </c>
      <c r="G242" s="18"/>
      <c r="H242" s="20">
        <f t="shared" ref="H242:I244" si="17">H243</f>
        <v>0</v>
      </c>
      <c r="I242" s="20">
        <f t="shared" si="17"/>
        <v>0</v>
      </c>
      <c r="J242" s="21" t="e">
        <f t="shared" si="14"/>
        <v>#DIV/0!</v>
      </c>
    </row>
    <row r="243" spans="2:10" s="45" customFormat="1" ht="28.5" hidden="1" customHeight="1" x14ac:dyDescent="0.25">
      <c r="B243" s="17" t="s">
        <v>307</v>
      </c>
      <c r="C243" s="18" t="s">
        <v>13</v>
      </c>
      <c r="D243" s="18" t="s">
        <v>85</v>
      </c>
      <c r="E243" s="18" t="s">
        <v>292</v>
      </c>
      <c r="F243" s="9" t="s">
        <v>308</v>
      </c>
      <c r="G243" s="18"/>
      <c r="H243" s="20">
        <f t="shared" si="17"/>
        <v>0</v>
      </c>
      <c r="I243" s="20">
        <f t="shared" si="17"/>
        <v>0</v>
      </c>
      <c r="J243" s="21" t="e">
        <f t="shared" si="14"/>
        <v>#DIV/0!</v>
      </c>
    </row>
    <row r="244" spans="2:10" s="45" customFormat="1" ht="12.75" hidden="1" customHeight="1" x14ac:dyDescent="0.25">
      <c r="B244" s="17" t="s">
        <v>277</v>
      </c>
      <c r="C244" s="18" t="s">
        <v>13</v>
      </c>
      <c r="D244" s="18" t="s">
        <v>85</v>
      </c>
      <c r="E244" s="18" t="s">
        <v>292</v>
      </c>
      <c r="F244" s="9" t="s">
        <v>309</v>
      </c>
      <c r="G244" s="18"/>
      <c r="H244" s="20">
        <f t="shared" si="17"/>
        <v>0</v>
      </c>
      <c r="I244" s="20">
        <f t="shared" si="17"/>
        <v>0</v>
      </c>
      <c r="J244" s="21" t="e">
        <f t="shared" si="14"/>
        <v>#DIV/0!</v>
      </c>
    </row>
    <row r="245" spans="2:10" s="45" customFormat="1" ht="12.75" hidden="1" customHeight="1" x14ac:dyDescent="0.25">
      <c r="B245" s="30" t="s">
        <v>289</v>
      </c>
      <c r="C245" s="18" t="s">
        <v>13</v>
      </c>
      <c r="D245" s="18" t="s">
        <v>85</v>
      </c>
      <c r="E245" s="18" t="s">
        <v>292</v>
      </c>
      <c r="F245" s="9" t="s">
        <v>309</v>
      </c>
      <c r="G245" s="18" t="s">
        <v>290</v>
      </c>
      <c r="H245" s="20">
        <v>0</v>
      </c>
      <c r="I245" s="20">
        <v>0</v>
      </c>
      <c r="J245" s="21" t="e">
        <f t="shared" si="14"/>
        <v>#DIV/0!</v>
      </c>
    </row>
    <row r="246" spans="2:10" s="45" customFormat="1" ht="28.5" hidden="1" customHeight="1" x14ac:dyDescent="0.25">
      <c r="B246" s="30" t="s">
        <v>310</v>
      </c>
      <c r="C246" s="18" t="s">
        <v>13</v>
      </c>
      <c r="D246" s="18" t="s">
        <v>85</v>
      </c>
      <c r="E246" s="18" t="s">
        <v>292</v>
      </c>
      <c r="F246" s="9" t="s">
        <v>311</v>
      </c>
      <c r="G246" s="18"/>
      <c r="H246" s="20">
        <f t="shared" ref="H246:I248" si="18">H247</f>
        <v>0</v>
      </c>
      <c r="I246" s="20">
        <f t="shared" si="18"/>
        <v>0</v>
      </c>
      <c r="J246" s="21" t="e">
        <f t="shared" si="14"/>
        <v>#DIV/0!</v>
      </c>
    </row>
    <row r="247" spans="2:10" s="45" customFormat="1" ht="25.5" hidden="1" customHeight="1" x14ac:dyDescent="0.25">
      <c r="B247" s="30" t="s">
        <v>312</v>
      </c>
      <c r="C247" s="18" t="s">
        <v>13</v>
      </c>
      <c r="D247" s="18" t="s">
        <v>85</v>
      </c>
      <c r="E247" s="18" t="s">
        <v>292</v>
      </c>
      <c r="F247" s="9" t="s">
        <v>313</v>
      </c>
      <c r="G247" s="18"/>
      <c r="H247" s="20">
        <f t="shared" si="18"/>
        <v>0</v>
      </c>
      <c r="I247" s="20">
        <f t="shared" si="18"/>
        <v>0</v>
      </c>
      <c r="J247" s="21" t="e">
        <f t="shared" si="14"/>
        <v>#DIV/0!</v>
      </c>
    </row>
    <row r="248" spans="2:10" s="45" customFormat="1" ht="15.75" hidden="1" customHeight="1" x14ac:dyDescent="0.25">
      <c r="B248" s="46" t="s">
        <v>314</v>
      </c>
      <c r="C248" s="18" t="s">
        <v>13</v>
      </c>
      <c r="D248" s="18" t="s">
        <v>85</v>
      </c>
      <c r="E248" s="18" t="s">
        <v>292</v>
      </c>
      <c r="F248" s="9" t="s">
        <v>315</v>
      </c>
      <c r="G248" s="18"/>
      <c r="H248" s="20">
        <f t="shared" si="18"/>
        <v>0</v>
      </c>
      <c r="I248" s="20">
        <f t="shared" si="18"/>
        <v>0</v>
      </c>
      <c r="J248" s="21" t="e">
        <f t="shared" si="14"/>
        <v>#DIV/0!</v>
      </c>
    </row>
    <row r="249" spans="2:10" s="45" customFormat="1" ht="12.75" hidden="1" customHeight="1" x14ac:dyDescent="0.25">
      <c r="B249" s="30" t="s">
        <v>289</v>
      </c>
      <c r="C249" s="18" t="s">
        <v>13</v>
      </c>
      <c r="D249" s="18" t="s">
        <v>85</v>
      </c>
      <c r="E249" s="18" t="s">
        <v>292</v>
      </c>
      <c r="F249" s="9" t="s">
        <v>315</v>
      </c>
      <c r="G249" s="18" t="s">
        <v>290</v>
      </c>
      <c r="H249" s="20">
        <v>0</v>
      </c>
      <c r="I249" s="20">
        <v>0</v>
      </c>
      <c r="J249" s="21" t="e">
        <f t="shared" si="14"/>
        <v>#DIV/0!</v>
      </c>
    </row>
    <row r="250" spans="2:10" s="45" customFormat="1" x14ac:dyDescent="0.25">
      <c r="B250" s="12" t="s">
        <v>316</v>
      </c>
      <c r="C250" s="13" t="s">
        <v>13</v>
      </c>
      <c r="D250" s="13" t="s">
        <v>85</v>
      </c>
      <c r="E250" s="13" t="s">
        <v>184</v>
      </c>
      <c r="F250" s="8"/>
      <c r="G250" s="13"/>
      <c r="H250" s="14">
        <f>H251</f>
        <v>1190</v>
      </c>
      <c r="I250" s="14">
        <f>I251</f>
        <v>1190</v>
      </c>
      <c r="J250" s="15">
        <f t="shared" si="14"/>
        <v>100</v>
      </c>
    </row>
    <row r="251" spans="2:10" s="45" customFormat="1" ht="25.5" x14ac:dyDescent="0.25">
      <c r="B251" s="17" t="s">
        <v>317</v>
      </c>
      <c r="C251" s="18" t="s">
        <v>13</v>
      </c>
      <c r="D251" s="18" t="s">
        <v>85</v>
      </c>
      <c r="E251" s="18" t="s">
        <v>184</v>
      </c>
      <c r="F251" s="9" t="s">
        <v>318</v>
      </c>
      <c r="G251" s="18"/>
      <c r="H251" s="20">
        <f>H256+H252</f>
        <v>1190</v>
      </c>
      <c r="I251" s="20">
        <f>I256+I252</f>
        <v>1190</v>
      </c>
      <c r="J251" s="21">
        <f t="shared" si="14"/>
        <v>100</v>
      </c>
    </row>
    <row r="252" spans="2:10" s="45" customFormat="1" x14ac:dyDescent="0.25">
      <c r="B252" s="30" t="s">
        <v>319</v>
      </c>
      <c r="C252" s="18" t="s">
        <v>13</v>
      </c>
      <c r="D252" s="18" t="s">
        <v>85</v>
      </c>
      <c r="E252" s="18" t="s">
        <v>184</v>
      </c>
      <c r="F252" s="9" t="s">
        <v>320</v>
      </c>
      <c r="G252" s="18"/>
      <c r="H252" s="20">
        <f t="shared" ref="H252:I254" si="19">H253</f>
        <v>399.70000000000005</v>
      </c>
      <c r="I252" s="20">
        <f t="shared" si="19"/>
        <v>399.7</v>
      </c>
      <c r="J252" s="21">
        <f t="shared" si="14"/>
        <v>99.999999999999986</v>
      </c>
    </row>
    <row r="253" spans="2:10" s="45" customFormat="1" ht="25.5" x14ac:dyDescent="0.25">
      <c r="B253" s="30" t="s">
        <v>321</v>
      </c>
      <c r="C253" s="18" t="s">
        <v>13</v>
      </c>
      <c r="D253" s="18" t="s">
        <v>85</v>
      </c>
      <c r="E253" s="18" t="s">
        <v>184</v>
      </c>
      <c r="F253" s="9" t="s">
        <v>322</v>
      </c>
      <c r="G253" s="18"/>
      <c r="H253" s="20">
        <f t="shared" si="19"/>
        <v>399.70000000000005</v>
      </c>
      <c r="I253" s="20">
        <f t="shared" si="19"/>
        <v>399.7</v>
      </c>
      <c r="J253" s="21">
        <f t="shared" si="14"/>
        <v>99.999999999999986</v>
      </c>
    </row>
    <row r="254" spans="2:10" s="45" customFormat="1" x14ac:dyDescent="0.25">
      <c r="B254" s="30" t="s">
        <v>323</v>
      </c>
      <c r="C254" s="18" t="s">
        <v>13</v>
      </c>
      <c r="D254" s="18" t="s">
        <v>85</v>
      </c>
      <c r="E254" s="18" t="s">
        <v>184</v>
      </c>
      <c r="F254" s="9" t="s">
        <v>324</v>
      </c>
      <c r="G254" s="18"/>
      <c r="H254" s="20">
        <f t="shared" si="19"/>
        <v>399.70000000000005</v>
      </c>
      <c r="I254" s="20">
        <f t="shared" si="19"/>
        <v>399.7</v>
      </c>
      <c r="J254" s="21">
        <f t="shared" si="14"/>
        <v>99.999999999999986</v>
      </c>
    </row>
    <row r="255" spans="2:10" s="45" customFormat="1" x14ac:dyDescent="0.25">
      <c r="B255" s="17" t="s">
        <v>41</v>
      </c>
      <c r="C255" s="18" t="s">
        <v>13</v>
      </c>
      <c r="D255" s="18" t="s">
        <v>85</v>
      </c>
      <c r="E255" s="18" t="s">
        <v>184</v>
      </c>
      <c r="F255" s="9" t="s">
        <v>324</v>
      </c>
      <c r="G255" s="18" t="s">
        <v>24</v>
      </c>
      <c r="H255" s="20">
        <f>400.6-0.9</f>
        <v>399.70000000000005</v>
      </c>
      <c r="I255" s="20">
        <v>399.7</v>
      </c>
      <c r="J255" s="21">
        <f t="shared" si="14"/>
        <v>99.999999999999986</v>
      </c>
    </row>
    <row r="256" spans="2:10" s="45" customFormat="1" x14ac:dyDescent="0.25">
      <c r="B256" s="30" t="s">
        <v>325</v>
      </c>
      <c r="C256" s="18" t="s">
        <v>13</v>
      </c>
      <c r="D256" s="18" t="s">
        <v>85</v>
      </c>
      <c r="E256" s="18" t="s">
        <v>184</v>
      </c>
      <c r="F256" s="9" t="s">
        <v>326</v>
      </c>
      <c r="G256" s="18"/>
      <c r="H256" s="20">
        <f t="shared" ref="H256:I258" si="20">H257</f>
        <v>790.30000000000007</v>
      </c>
      <c r="I256" s="20">
        <f t="shared" si="20"/>
        <v>790.3</v>
      </c>
      <c r="J256" s="21">
        <f t="shared" si="14"/>
        <v>99.999999999999986</v>
      </c>
    </row>
    <row r="257" spans="2:10" s="45" customFormat="1" ht="25.5" x14ac:dyDescent="0.25">
      <c r="B257" s="30" t="s">
        <v>327</v>
      </c>
      <c r="C257" s="18" t="s">
        <v>13</v>
      </c>
      <c r="D257" s="18" t="s">
        <v>85</v>
      </c>
      <c r="E257" s="18" t="s">
        <v>184</v>
      </c>
      <c r="F257" s="9" t="s">
        <v>328</v>
      </c>
      <c r="G257" s="18"/>
      <c r="H257" s="20">
        <f t="shared" si="20"/>
        <v>790.30000000000007</v>
      </c>
      <c r="I257" s="20">
        <f t="shared" si="20"/>
        <v>790.3</v>
      </c>
      <c r="J257" s="21">
        <f t="shared" si="14"/>
        <v>99.999999999999986</v>
      </c>
    </row>
    <row r="258" spans="2:10" s="45" customFormat="1" x14ac:dyDescent="0.25">
      <c r="B258" s="30" t="s">
        <v>329</v>
      </c>
      <c r="C258" s="18" t="s">
        <v>13</v>
      </c>
      <c r="D258" s="18" t="s">
        <v>85</v>
      </c>
      <c r="E258" s="18" t="s">
        <v>184</v>
      </c>
      <c r="F258" s="9" t="s">
        <v>330</v>
      </c>
      <c r="G258" s="18"/>
      <c r="H258" s="20">
        <f t="shared" si="20"/>
        <v>790.30000000000007</v>
      </c>
      <c r="I258" s="20">
        <f t="shared" si="20"/>
        <v>790.3</v>
      </c>
      <c r="J258" s="21">
        <f t="shared" si="14"/>
        <v>99.999999999999986</v>
      </c>
    </row>
    <row r="259" spans="2:10" s="45" customFormat="1" x14ac:dyDescent="0.25">
      <c r="B259" s="17" t="s">
        <v>41</v>
      </c>
      <c r="C259" s="18" t="s">
        <v>13</v>
      </c>
      <c r="D259" s="18" t="s">
        <v>85</v>
      </c>
      <c r="E259" s="18" t="s">
        <v>184</v>
      </c>
      <c r="F259" s="9" t="s">
        <v>330</v>
      </c>
      <c r="G259" s="18" t="s">
        <v>24</v>
      </c>
      <c r="H259" s="20">
        <f>765.7+23.7+0.9</f>
        <v>790.30000000000007</v>
      </c>
      <c r="I259" s="20">
        <v>790.3</v>
      </c>
      <c r="J259" s="21">
        <f t="shared" si="14"/>
        <v>99.999999999999986</v>
      </c>
    </row>
    <row r="260" spans="2:10" s="16" customFormat="1" x14ac:dyDescent="0.25">
      <c r="B260" s="40" t="s">
        <v>331</v>
      </c>
      <c r="C260" s="13" t="s">
        <v>13</v>
      </c>
      <c r="D260" s="13" t="s">
        <v>332</v>
      </c>
      <c r="E260" s="13"/>
      <c r="F260" s="8"/>
      <c r="G260" s="13"/>
      <c r="H260" s="14">
        <f>H261</f>
        <v>923.6</v>
      </c>
      <c r="I260" s="14">
        <f>I261</f>
        <v>923.6</v>
      </c>
      <c r="J260" s="15">
        <f t="shared" si="14"/>
        <v>100</v>
      </c>
    </row>
    <row r="261" spans="2:10" s="16" customFormat="1" x14ac:dyDescent="0.25">
      <c r="B261" s="40" t="s">
        <v>333</v>
      </c>
      <c r="C261" s="13" t="s">
        <v>13</v>
      </c>
      <c r="D261" s="13" t="s">
        <v>332</v>
      </c>
      <c r="E261" s="13" t="s">
        <v>85</v>
      </c>
      <c r="F261" s="8"/>
      <c r="G261" s="13"/>
      <c r="H261" s="14">
        <f>H265</f>
        <v>923.6</v>
      </c>
      <c r="I261" s="14">
        <f>I265</f>
        <v>923.6</v>
      </c>
      <c r="J261" s="15">
        <f t="shared" si="14"/>
        <v>100</v>
      </c>
    </row>
    <row r="262" spans="2:10" ht="15" hidden="1" x14ac:dyDescent="0.2">
      <c r="B262" s="30" t="s">
        <v>334</v>
      </c>
      <c r="C262" s="18" t="s">
        <v>13</v>
      </c>
      <c r="D262" s="18" t="s">
        <v>332</v>
      </c>
      <c r="E262" s="18" t="s">
        <v>85</v>
      </c>
      <c r="F262" s="9" t="s">
        <v>335</v>
      </c>
      <c r="G262" s="18"/>
      <c r="H262" s="20">
        <f>H263</f>
        <v>0</v>
      </c>
      <c r="I262" s="20">
        <f>I263</f>
        <v>0</v>
      </c>
      <c r="J262" s="21" t="e">
        <f t="shared" si="14"/>
        <v>#DIV/0!</v>
      </c>
    </row>
    <row r="263" spans="2:10" ht="15" hidden="1" x14ac:dyDescent="0.2">
      <c r="B263" s="24" t="s">
        <v>336</v>
      </c>
      <c r="C263" s="18" t="s">
        <v>13</v>
      </c>
      <c r="D263" s="18" t="s">
        <v>332</v>
      </c>
      <c r="E263" s="18" t="s">
        <v>85</v>
      </c>
      <c r="F263" s="9" t="s">
        <v>337</v>
      </c>
      <c r="G263" s="18"/>
      <c r="H263" s="20">
        <f>H264</f>
        <v>0</v>
      </c>
      <c r="I263" s="20">
        <f>I264</f>
        <v>0</v>
      </c>
      <c r="J263" s="21" t="e">
        <f t="shared" si="14"/>
        <v>#DIV/0!</v>
      </c>
    </row>
    <row r="264" spans="2:10" ht="15" hidden="1" x14ac:dyDescent="0.2">
      <c r="B264" s="17" t="s">
        <v>23</v>
      </c>
      <c r="C264" s="18" t="s">
        <v>13</v>
      </c>
      <c r="D264" s="18" t="s">
        <v>332</v>
      </c>
      <c r="E264" s="18" t="s">
        <v>85</v>
      </c>
      <c r="F264" s="9" t="s">
        <v>337</v>
      </c>
      <c r="G264" s="18" t="s">
        <v>24</v>
      </c>
      <c r="H264" s="20"/>
      <c r="I264" s="20"/>
      <c r="J264" s="21" t="e">
        <f t="shared" si="14"/>
        <v>#DIV/0!</v>
      </c>
    </row>
    <row r="265" spans="2:10" ht="25.5" x14ac:dyDescent="0.2">
      <c r="B265" s="17" t="s">
        <v>68</v>
      </c>
      <c r="C265" s="18" t="s">
        <v>13</v>
      </c>
      <c r="D265" s="18" t="s">
        <v>332</v>
      </c>
      <c r="E265" s="18" t="s">
        <v>85</v>
      </c>
      <c r="F265" s="9" t="s">
        <v>69</v>
      </c>
      <c r="G265" s="18"/>
      <c r="H265" s="20">
        <f>H266+H269+H275+H279</f>
        <v>923.6</v>
      </c>
      <c r="I265" s="20">
        <f>I266+I269+I275+I279</f>
        <v>923.6</v>
      </c>
      <c r="J265" s="21">
        <f t="shared" ref="J265:J328" si="21">I265/H265*100</f>
        <v>100</v>
      </c>
    </row>
    <row r="266" spans="2:10" ht="15" x14ac:dyDescent="0.2">
      <c r="B266" s="17" t="s">
        <v>338</v>
      </c>
      <c r="C266" s="18" t="s">
        <v>13</v>
      </c>
      <c r="D266" s="18" t="s">
        <v>332</v>
      </c>
      <c r="E266" s="18" t="s">
        <v>85</v>
      </c>
      <c r="F266" s="9" t="s">
        <v>339</v>
      </c>
      <c r="G266" s="18"/>
      <c r="H266" s="20">
        <f>H267</f>
        <v>343.09999999999997</v>
      </c>
      <c r="I266" s="20">
        <f>I267</f>
        <v>343.1</v>
      </c>
      <c r="J266" s="21">
        <f t="shared" si="21"/>
        <v>100.00000000000003</v>
      </c>
    </row>
    <row r="267" spans="2:10" ht="15" x14ac:dyDescent="0.2">
      <c r="B267" s="24" t="s">
        <v>336</v>
      </c>
      <c r="C267" s="18" t="s">
        <v>13</v>
      </c>
      <c r="D267" s="18" t="s">
        <v>332</v>
      </c>
      <c r="E267" s="18" t="s">
        <v>85</v>
      </c>
      <c r="F267" s="9" t="s">
        <v>340</v>
      </c>
      <c r="G267" s="18"/>
      <c r="H267" s="20">
        <f>H268</f>
        <v>343.09999999999997</v>
      </c>
      <c r="I267" s="20">
        <f>I268</f>
        <v>343.1</v>
      </c>
      <c r="J267" s="21">
        <f t="shared" si="21"/>
        <v>100.00000000000003</v>
      </c>
    </row>
    <row r="268" spans="2:10" ht="15" x14ac:dyDescent="0.2">
      <c r="B268" s="17" t="s">
        <v>41</v>
      </c>
      <c r="C268" s="18" t="s">
        <v>13</v>
      </c>
      <c r="D268" s="18" t="s">
        <v>332</v>
      </c>
      <c r="E268" s="18" t="s">
        <v>85</v>
      </c>
      <c r="F268" s="9" t="s">
        <v>340</v>
      </c>
      <c r="G268" s="18" t="s">
        <v>24</v>
      </c>
      <c r="H268" s="20">
        <f>343.2-0.1</f>
        <v>343.09999999999997</v>
      </c>
      <c r="I268" s="20">
        <v>343.1</v>
      </c>
      <c r="J268" s="21">
        <f t="shared" si="21"/>
        <v>100.00000000000003</v>
      </c>
    </row>
    <row r="269" spans="2:10" ht="25.5" x14ac:dyDescent="0.2">
      <c r="B269" s="17" t="s">
        <v>70</v>
      </c>
      <c r="C269" s="18" t="s">
        <v>13</v>
      </c>
      <c r="D269" s="18" t="s">
        <v>332</v>
      </c>
      <c r="E269" s="18" t="s">
        <v>85</v>
      </c>
      <c r="F269" s="9" t="s">
        <v>71</v>
      </c>
      <c r="G269" s="18"/>
      <c r="H269" s="20">
        <f>H270+H272</f>
        <v>511.6</v>
      </c>
      <c r="I269" s="20">
        <f>I270+I272</f>
        <v>511.6</v>
      </c>
      <c r="J269" s="21">
        <f t="shared" si="21"/>
        <v>100</v>
      </c>
    </row>
    <row r="270" spans="2:10" ht="15" x14ac:dyDescent="0.2">
      <c r="B270" s="24" t="s">
        <v>336</v>
      </c>
      <c r="C270" s="18" t="s">
        <v>13</v>
      </c>
      <c r="D270" s="18" t="s">
        <v>332</v>
      </c>
      <c r="E270" s="18" t="s">
        <v>85</v>
      </c>
      <c r="F270" s="9" t="s">
        <v>341</v>
      </c>
      <c r="G270" s="18"/>
      <c r="H270" s="20">
        <f>H271</f>
        <v>511.6</v>
      </c>
      <c r="I270" s="20">
        <f>I271</f>
        <v>511.6</v>
      </c>
      <c r="J270" s="21">
        <f t="shared" si="21"/>
        <v>100</v>
      </c>
    </row>
    <row r="271" spans="2:10" ht="15" x14ac:dyDescent="0.2">
      <c r="B271" s="17" t="s">
        <v>41</v>
      </c>
      <c r="C271" s="18" t="s">
        <v>13</v>
      </c>
      <c r="D271" s="18" t="s">
        <v>332</v>
      </c>
      <c r="E271" s="18" t="s">
        <v>85</v>
      </c>
      <c r="F271" s="9" t="s">
        <v>341</v>
      </c>
      <c r="G271" s="18" t="s">
        <v>24</v>
      </c>
      <c r="H271" s="20">
        <f>512.6-1</f>
        <v>511.6</v>
      </c>
      <c r="I271" s="20">
        <v>511.6</v>
      </c>
      <c r="J271" s="21">
        <f t="shared" si="21"/>
        <v>100</v>
      </c>
    </row>
    <row r="272" spans="2:10" ht="25.5" hidden="1" x14ac:dyDescent="0.2">
      <c r="B272" s="27" t="s">
        <v>342</v>
      </c>
      <c r="C272" s="18" t="s">
        <v>13</v>
      </c>
      <c r="D272" s="18" t="s">
        <v>332</v>
      </c>
      <c r="E272" s="18" t="s">
        <v>85</v>
      </c>
      <c r="F272" s="9" t="s">
        <v>343</v>
      </c>
      <c r="G272" s="18"/>
      <c r="H272" s="20">
        <f>H273</f>
        <v>0</v>
      </c>
      <c r="I272" s="20">
        <f>I273+I274</f>
        <v>0</v>
      </c>
      <c r="J272" s="21" t="e">
        <f t="shared" si="21"/>
        <v>#DIV/0!</v>
      </c>
    </row>
    <row r="273" spans="2:10" ht="15" hidden="1" x14ac:dyDescent="0.2">
      <c r="B273" s="17" t="s">
        <v>23</v>
      </c>
      <c r="C273" s="18" t="s">
        <v>13</v>
      </c>
      <c r="D273" s="18" t="s">
        <v>332</v>
      </c>
      <c r="E273" s="18" t="s">
        <v>85</v>
      </c>
      <c r="F273" s="9" t="s">
        <v>344</v>
      </c>
      <c r="G273" s="18" t="s">
        <v>30</v>
      </c>
      <c r="H273" s="20">
        <v>0</v>
      </c>
      <c r="I273" s="20">
        <v>0</v>
      </c>
      <c r="J273" s="21" t="e">
        <f t="shared" si="21"/>
        <v>#DIV/0!</v>
      </c>
    </row>
    <row r="274" spans="2:10" ht="15" hidden="1" x14ac:dyDescent="0.2">
      <c r="B274" s="17" t="s">
        <v>41</v>
      </c>
      <c r="C274" s="18" t="s">
        <v>13</v>
      </c>
      <c r="D274" s="18" t="s">
        <v>332</v>
      </c>
      <c r="E274" s="18" t="s">
        <v>85</v>
      </c>
      <c r="F274" s="9" t="s">
        <v>343</v>
      </c>
      <c r="G274" s="18" t="s">
        <v>24</v>
      </c>
      <c r="H274" s="20">
        <v>0</v>
      </c>
      <c r="I274" s="20">
        <v>0</v>
      </c>
      <c r="J274" s="21" t="e">
        <f t="shared" si="21"/>
        <v>#DIV/0!</v>
      </c>
    </row>
    <row r="275" spans="2:10" ht="15" x14ac:dyDescent="0.2">
      <c r="B275" s="30" t="s">
        <v>345</v>
      </c>
      <c r="C275" s="18" t="s">
        <v>13</v>
      </c>
      <c r="D275" s="18" t="s">
        <v>332</v>
      </c>
      <c r="E275" s="18" t="s">
        <v>85</v>
      </c>
      <c r="F275" s="9" t="s">
        <v>346</v>
      </c>
      <c r="G275" s="18"/>
      <c r="H275" s="20">
        <f>H276</f>
        <v>12</v>
      </c>
      <c r="I275" s="20">
        <f>I276</f>
        <v>12</v>
      </c>
      <c r="J275" s="21">
        <f t="shared" si="21"/>
        <v>100</v>
      </c>
    </row>
    <row r="276" spans="2:10" ht="15" x14ac:dyDescent="0.2">
      <c r="B276" s="24" t="s">
        <v>336</v>
      </c>
      <c r="C276" s="18" t="s">
        <v>13</v>
      </c>
      <c r="D276" s="18" t="s">
        <v>332</v>
      </c>
      <c r="E276" s="18" t="s">
        <v>85</v>
      </c>
      <c r="F276" s="9" t="s">
        <v>347</v>
      </c>
      <c r="G276" s="18"/>
      <c r="H276" s="20">
        <f>H277+H278</f>
        <v>12</v>
      </c>
      <c r="I276" s="20">
        <f>I277+I278</f>
        <v>12</v>
      </c>
      <c r="J276" s="21">
        <f t="shared" si="21"/>
        <v>100</v>
      </c>
    </row>
    <row r="277" spans="2:10" ht="15" x14ac:dyDescent="0.2">
      <c r="B277" s="17" t="s">
        <v>41</v>
      </c>
      <c r="C277" s="18" t="s">
        <v>13</v>
      </c>
      <c r="D277" s="18" t="s">
        <v>332</v>
      </c>
      <c r="E277" s="18" t="s">
        <v>85</v>
      </c>
      <c r="F277" s="9" t="s">
        <v>347</v>
      </c>
      <c r="G277" s="18" t="s">
        <v>24</v>
      </c>
      <c r="H277" s="20">
        <f>16.5-10.5</f>
        <v>6</v>
      </c>
      <c r="I277" s="20">
        <v>6</v>
      </c>
      <c r="J277" s="21">
        <f t="shared" si="21"/>
        <v>100</v>
      </c>
    </row>
    <row r="278" spans="2:10" ht="15" x14ac:dyDescent="0.2">
      <c r="B278" s="30" t="s">
        <v>127</v>
      </c>
      <c r="C278" s="18" t="s">
        <v>13</v>
      </c>
      <c r="D278" s="18" t="s">
        <v>332</v>
      </c>
      <c r="E278" s="18" t="s">
        <v>85</v>
      </c>
      <c r="F278" s="9" t="s">
        <v>347</v>
      </c>
      <c r="G278" s="18" t="s">
        <v>128</v>
      </c>
      <c r="H278" s="20">
        <v>6</v>
      </c>
      <c r="I278" s="20">
        <v>6</v>
      </c>
      <c r="J278" s="21">
        <f t="shared" si="21"/>
        <v>100</v>
      </c>
    </row>
    <row r="279" spans="2:10" ht="15" x14ac:dyDescent="0.2">
      <c r="B279" s="30" t="s">
        <v>334</v>
      </c>
      <c r="C279" s="18" t="s">
        <v>13</v>
      </c>
      <c r="D279" s="18" t="s">
        <v>332</v>
      </c>
      <c r="E279" s="18" t="s">
        <v>85</v>
      </c>
      <c r="F279" s="9" t="s">
        <v>348</v>
      </c>
      <c r="G279" s="18"/>
      <c r="H279" s="20">
        <f>H280</f>
        <v>56.9</v>
      </c>
      <c r="I279" s="20">
        <f>I280</f>
        <v>56.9</v>
      </c>
      <c r="J279" s="21">
        <f t="shared" si="21"/>
        <v>100</v>
      </c>
    </row>
    <row r="280" spans="2:10" ht="15" x14ac:dyDescent="0.2">
      <c r="B280" s="24" t="s">
        <v>336</v>
      </c>
      <c r="C280" s="18" t="s">
        <v>13</v>
      </c>
      <c r="D280" s="18" t="s">
        <v>332</v>
      </c>
      <c r="E280" s="18" t="s">
        <v>85</v>
      </c>
      <c r="F280" s="9" t="s">
        <v>349</v>
      </c>
      <c r="G280" s="18"/>
      <c r="H280" s="20">
        <f>H281</f>
        <v>56.9</v>
      </c>
      <c r="I280" s="20">
        <f>I281</f>
        <v>56.9</v>
      </c>
      <c r="J280" s="21">
        <f t="shared" si="21"/>
        <v>100</v>
      </c>
    </row>
    <row r="281" spans="2:10" ht="15" x14ac:dyDescent="0.2">
      <c r="B281" s="17" t="s">
        <v>41</v>
      </c>
      <c r="C281" s="18" t="s">
        <v>13</v>
      </c>
      <c r="D281" s="18" t="s">
        <v>332</v>
      </c>
      <c r="E281" s="18" t="s">
        <v>85</v>
      </c>
      <c r="F281" s="9" t="s">
        <v>349</v>
      </c>
      <c r="G281" s="18" t="s">
        <v>24</v>
      </c>
      <c r="H281" s="20">
        <v>56.9</v>
      </c>
      <c r="I281" s="20">
        <v>56.9</v>
      </c>
      <c r="J281" s="21">
        <f t="shared" si="21"/>
        <v>100</v>
      </c>
    </row>
    <row r="282" spans="2:10" s="16" customFormat="1" x14ac:dyDescent="0.25">
      <c r="B282" s="47" t="s">
        <v>350</v>
      </c>
      <c r="C282" s="13" t="s">
        <v>13</v>
      </c>
      <c r="D282" s="13" t="s">
        <v>351</v>
      </c>
      <c r="E282" s="13"/>
      <c r="F282" s="8"/>
      <c r="G282" s="13"/>
      <c r="H282" s="14">
        <f>H296+H289+H305+H283</f>
        <v>4506.7999999999993</v>
      </c>
      <c r="I282" s="14">
        <f>I296+I289+I305+I283</f>
        <v>4506.8</v>
      </c>
      <c r="J282" s="15">
        <f t="shared" si="21"/>
        <v>100.00000000000003</v>
      </c>
    </row>
    <row r="283" spans="2:10" s="16" customFormat="1" hidden="1" x14ac:dyDescent="0.25">
      <c r="B283" s="47" t="s">
        <v>352</v>
      </c>
      <c r="C283" s="13" t="s">
        <v>13</v>
      </c>
      <c r="D283" s="13" t="s">
        <v>351</v>
      </c>
      <c r="E283" s="13" t="s">
        <v>292</v>
      </c>
      <c r="F283" s="8"/>
      <c r="G283" s="13"/>
      <c r="H283" s="20">
        <f t="shared" ref="H283:I287" si="22">H284</f>
        <v>0</v>
      </c>
      <c r="I283" s="20">
        <f t="shared" si="22"/>
        <v>0</v>
      </c>
      <c r="J283" s="21" t="e">
        <f t="shared" si="21"/>
        <v>#DIV/0!</v>
      </c>
    </row>
    <row r="284" spans="2:10" s="16" customFormat="1" ht="25.5" hidden="1" x14ac:dyDescent="0.25">
      <c r="B284" s="30" t="s">
        <v>353</v>
      </c>
      <c r="C284" s="18" t="s">
        <v>13</v>
      </c>
      <c r="D284" s="18" t="s">
        <v>351</v>
      </c>
      <c r="E284" s="18" t="s">
        <v>292</v>
      </c>
      <c r="F284" s="9" t="s">
        <v>354</v>
      </c>
      <c r="G284" s="13"/>
      <c r="H284" s="20">
        <f t="shared" si="22"/>
        <v>0</v>
      </c>
      <c r="I284" s="20">
        <f t="shared" si="22"/>
        <v>0</v>
      </c>
      <c r="J284" s="21" t="e">
        <f t="shared" si="21"/>
        <v>#DIV/0!</v>
      </c>
    </row>
    <row r="285" spans="2:10" s="16" customFormat="1" hidden="1" x14ac:dyDescent="0.25">
      <c r="B285" s="30" t="s">
        <v>355</v>
      </c>
      <c r="C285" s="18" t="s">
        <v>13</v>
      </c>
      <c r="D285" s="18" t="s">
        <v>351</v>
      </c>
      <c r="E285" s="18" t="s">
        <v>292</v>
      </c>
      <c r="F285" s="9" t="s">
        <v>356</v>
      </c>
      <c r="G285" s="18"/>
      <c r="H285" s="20">
        <f t="shared" si="22"/>
        <v>0</v>
      </c>
      <c r="I285" s="20">
        <f t="shared" si="22"/>
        <v>0</v>
      </c>
      <c r="J285" s="21" t="e">
        <f t="shared" si="21"/>
        <v>#DIV/0!</v>
      </c>
    </row>
    <row r="286" spans="2:10" s="16" customFormat="1" ht="25.5" hidden="1" x14ac:dyDescent="0.25">
      <c r="B286" s="30" t="s">
        <v>357</v>
      </c>
      <c r="C286" s="18" t="s">
        <v>13</v>
      </c>
      <c r="D286" s="18" t="s">
        <v>351</v>
      </c>
      <c r="E286" s="18" t="s">
        <v>292</v>
      </c>
      <c r="F286" s="9" t="s">
        <v>358</v>
      </c>
      <c r="G286" s="18"/>
      <c r="H286" s="20">
        <f t="shared" si="22"/>
        <v>0</v>
      </c>
      <c r="I286" s="20">
        <f t="shared" si="22"/>
        <v>0</v>
      </c>
      <c r="J286" s="21" t="e">
        <f t="shared" si="21"/>
        <v>#DIV/0!</v>
      </c>
    </row>
    <row r="287" spans="2:10" s="16" customFormat="1" ht="25.5" hidden="1" x14ac:dyDescent="0.25">
      <c r="B287" s="30" t="s">
        <v>359</v>
      </c>
      <c r="C287" s="18" t="s">
        <v>13</v>
      </c>
      <c r="D287" s="18" t="s">
        <v>351</v>
      </c>
      <c r="E287" s="18" t="s">
        <v>292</v>
      </c>
      <c r="F287" s="9" t="s">
        <v>360</v>
      </c>
      <c r="G287" s="18"/>
      <c r="H287" s="20">
        <f t="shared" si="22"/>
        <v>0</v>
      </c>
      <c r="I287" s="20">
        <f t="shared" si="22"/>
        <v>0</v>
      </c>
      <c r="J287" s="21" t="e">
        <f t="shared" si="21"/>
        <v>#DIV/0!</v>
      </c>
    </row>
    <row r="288" spans="2:10" s="16" customFormat="1" ht="15.75" hidden="1" customHeight="1" x14ac:dyDescent="0.25">
      <c r="B288" s="30" t="s">
        <v>297</v>
      </c>
      <c r="C288" s="18" t="s">
        <v>13</v>
      </c>
      <c r="D288" s="18" t="s">
        <v>351</v>
      </c>
      <c r="E288" s="18" t="s">
        <v>292</v>
      </c>
      <c r="F288" s="9" t="s">
        <v>360</v>
      </c>
      <c r="G288" s="18" t="s">
        <v>290</v>
      </c>
      <c r="H288" s="20">
        <v>0</v>
      </c>
      <c r="I288" s="20">
        <v>0</v>
      </c>
      <c r="J288" s="21" t="e">
        <f t="shared" si="21"/>
        <v>#DIV/0!</v>
      </c>
    </row>
    <row r="289" spans="2:10" s="16" customFormat="1" x14ac:dyDescent="0.25">
      <c r="B289" s="12" t="s">
        <v>361</v>
      </c>
      <c r="C289" s="13" t="s">
        <v>13</v>
      </c>
      <c r="D289" s="13" t="s">
        <v>351</v>
      </c>
      <c r="E289" s="13" t="s">
        <v>184</v>
      </c>
      <c r="F289" s="8"/>
      <c r="G289" s="13"/>
      <c r="H289" s="14">
        <f t="shared" ref="H289:I292" si="23">H290</f>
        <v>4384.7999999999993</v>
      </c>
      <c r="I289" s="14">
        <f t="shared" si="23"/>
        <v>4384.8</v>
      </c>
      <c r="J289" s="15">
        <f t="shared" si="21"/>
        <v>100.00000000000003</v>
      </c>
    </row>
    <row r="290" spans="2:10" s="16" customFormat="1" ht="25.5" x14ac:dyDescent="0.25">
      <c r="B290" s="30" t="s">
        <v>165</v>
      </c>
      <c r="C290" s="18" t="s">
        <v>13</v>
      </c>
      <c r="D290" s="18" t="s">
        <v>351</v>
      </c>
      <c r="E290" s="18" t="s">
        <v>184</v>
      </c>
      <c r="F290" s="9" t="s">
        <v>166</v>
      </c>
      <c r="G290" s="18"/>
      <c r="H290" s="20">
        <f t="shared" si="23"/>
        <v>4384.7999999999993</v>
      </c>
      <c r="I290" s="20">
        <f t="shared" si="23"/>
        <v>4384.8</v>
      </c>
      <c r="J290" s="21">
        <f t="shared" si="21"/>
        <v>100.00000000000003</v>
      </c>
    </row>
    <row r="291" spans="2:10" s="16" customFormat="1" x14ac:dyDescent="0.25">
      <c r="B291" s="17" t="s">
        <v>362</v>
      </c>
      <c r="C291" s="18" t="s">
        <v>13</v>
      </c>
      <c r="D291" s="18" t="s">
        <v>351</v>
      </c>
      <c r="E291" s="18" t="s">
        <v>184</v>
      </c>
      <c r="F291" s="9" t="s">
        <v>335</v>
      </c>
      <c r="G291" s="18"/>
      <c r="H291" s="20">
        <f>H292+H294</f>
        <v>4384.7999999999993</v>
      </c>
      <c r="I291" s="20">
        <f>I292+I294</f>
        <v>4384.8</v>
      </c>
      <c r="J291" s="21">
        <f t="shared" si="21"/>
        <v>100.00000000000003</v>
      </c>
    </row>
    <row r="292" spans="2:10" s="16" customFormat="1" x14ac:dyDescent="0.25">
      <c r="B292" s="17" t="s">
        <v>363</v>
      </c>
      <c r="C292" s="18" t="s">
        <v>13</v>
      </c>
      <c r="D292" s="18" t="s">
        <v>351</v>
      </c>
      <c r="E292" s="18" t="s">
        <v>184</v>
      </c>
      <c r="F292" s="9" t="s">
        <v>364</v>
      </c>
      <c r="G292" s="18"/>
      <c r="H292" s="20">
        <f t="shared" si="23"/>
        <v>4384.7999999999993</v>
      </c>
      <c r="I292" s="20">
        <f t="shared" si="23"/>
        <v>4384.8</v>
      </c>
      <c r="J292" s="21">
        <f t="shared" si="21"/>
        <v>100.00000000000003</v>
      </c>
    </row>
    <row r="293" spans="2:10" s="16" customFormat="1" x14ac:dyDescent="0.25">
      <c r="B293" s="30" t="s">
        <v>127</v>
      </c>
      <c r="C293" s="18" t="s">
        <v>13</v>
      </c>
      <c r="D293" s="18" t="s">
        <v>351</v>
      </c>
      <c r="E293" s="18" t="s">
        <v>184</v>
      </c>
      <c r="F293" s="9" t="s">
        <v>364</v>
      </c>
      <c r="G293" s="18" t="s">
        <v>128</v>
      </c>
      <c r="H293" s="20">
        <f>4244.9+34.9+105</f>
        <v>4384.7999999999993</v>
      </c>
      <c r="I293" s="20">
        <v>4384.8</v>
      </c>
      <c r="J293" s="21">
        <f t="shared" si="21"/>
        <v>100.00000000000003</v>
      </c>
    </row>
    <row r="294" spans="2:10" s="16" customFormat="1" ht="25.5" hidden="1" customHeight="1" x14ac:dyDescent="0.25">
      <c r="B294" s="30" t="s">
        <v>56</v>
      </c>
      <c r="C294" s="18" t="s">
        <v>13</v>
      </c>
      <c r="D294" s="18" t="s">
        <v>351</v>
      </c>
      <c r="E294" s="18" t="s">
        <v>184</v>
      </c>
      <c r="F294" s="9" t="s">
        <v>365</v>
      </c>
      <c r="G294" s="18"/>
      <c r="H294" s="20">
        <f>H295</f>
        <v>0</v>
      </c>
      <c r="I294" s="20">
        <f>I295</f>
        <v>0</v>
      </c>
      <c r="J294" s="21" t="e">
        <f t="shared" si="21"/>
        <v>#DIV/0!</v>
      </c>
    </row>
    <row r="295" spans="2:10" s="16" customFormat="1" ht="16.5" hidden="1" customHeight="1" x14ac:dyDescent="0.25">
      <c r="B295" s="30" t="s">
        <v>171</v>
      </c>
      <c r="C295" s="18" t="s">
        <v>13</v>
      </c>
      <c r="D295" s="18" t="s">
        <v>351</v>
      </c>
      <c r="E295" s="18" t="s">
        <v>184</v>
      </c>
      <c r="F295" s="9" t="s">
        <v>365</v>
      </c>
      <c r="G295" s="18" t="s">
        <v>128</v>
      </c>
      <c r="H295" s="20">
        <v>0</v>
      </c>
      <c r="I295" s="20">
        <v>0</v>
      </c>
      <c r="J295" s="21" t="e">
        <f t="shared" si="21"/>
        <v>#DIV/0!</v>
      </c>
    </row>
    <row r="296" spans="2:10" s="16" customFormat="1" x14ac:dyDescent="0.25">
      <c r="B296" s="40" t="s">
        <v>366</v>
      </c>
      <c r="C296" s="13" t="s">
        <v>13</v>
      </c>
      <c r="D296" s="13" t="s">
        <v>351</v>
      </c>
      <c r="E296" s="13" t="s">
        <v>351</v>
      </c>
      <c r="F296" s="8"/>
      <c r="G296" s="13"/>
      <c r="H296" s="14">
        <f>H297</f>
        <v>122</v>
      </c>
      <c r="I296" s="14">
        <f>I297</f>
        <v>122</v>
      </c>
      <c r="J296" s="15">
        <f t="shared" si="21"/>
        <v>100</v>
      </c>
    </row>
    <row r="297" spans="2:10" ht="25.5" x14ac:dyDescent="0.2">
      <c r="B297" s="30" t="s">
        <v>367</v>
      </c>
      <c r="C297" s="18" t="s">
        <v>13</v>
      </c>
      <c r="D297" s="18" t="s">
        <v>351</v>
      </c>
      <c r="E297" s="18" t="s">
        <v>351</v>
      </c>
      <c r="F297" s="9" t="s">
        <v>368</v>
      </c>
      <c r="G297" s="18"/>
      <c r="H297" s="20">
        <f>H298+H302</f>
        <v>122</v>
      </c>
      <c r="I297" s="20">
        <f>I298+I302</f>
        <v>122</v>
      </c>
      <c r="J297" s="21">
        <f t="shared" si="21"/>
        <v>100</v>
      </c>
    </row>
    <row r="298" spans="2:10" ht="25.5" x14ac:dyDescent="0.2">
      <c r="B298" s="17" t="s">
        <v>369</v>
      </c>
      <c r="C298" s="18" t="s">
        <v>13</v>
      </c>
      <c r="D298" s="18" t="s">
        <v>351</v>
      </c>
      <c r="E298" s="18" t="s">
        <v>351</v>
      </c>
      <c r="F298" s="9" t="s">
        <v>370</v>
      </c>
      <c r="G298" s="18"/>
      <c r="H298" s="20">
        <f>H299</f>
        <v>106.1</v>
      </c>
      <c r="I298" s="20">
        <f>I299</f>
        <v>106.1</v>
      </c>
      <c r="J298" s="21">
        <f t="shared" si="21"/>
        <v>100</v>
      </c>
    </row>
    <row r="299" spans="2:10" ht="15" x14ac:dyDescent="0.2">
      <c r="B299" s="17" t="s">
        <v>371</v>
      </c>
      <c r="C299" s="18" t="s">
        <v>13</v>
      </c>
      <c r="D299" s="18" t="s">
        <v>351</v>
      </c>
      <c r="E299" s="18" t="s">
        <v>351</v>
      </c>
      <c r="F299" s="9" t="s">
        <v>372</v>
      </c>
      <c r="G299" s="18"/>
      <c r="H299" s="20">
        <f>H301+H300</f>
        <v>106.1</v>
      </c>
      <c r="I299" s="20">
        <f>I301+I300</f>
        <v>106.1</v>
      </c>
      <c r="J299" s="21">
        <f t="shared" si="21"/>
        <v>100</v>
      </c>
    </row>
    <row r="300" spans="2:10" ht="15" x14ac:dyDescent="0.2">
      <c r="B300" s="17" t="s">
        <v>29</v>
      </c>
      <c r="C300" s="18" t="s">
        <v>13</v>
      </c>
      <c r="D300" s="18" t="s">
        <v>351</v>
      </c>
      <c r="E300" s="18" t="s">
        <v>351</v>
      </c>
      <c r="F300" s="9" t="s">
        <v>372</v>
      </c>
      <c r="G300" s="18" t="s">
        <v>30</v>
      </c>
      <c r="H300" s="20">
        <f>50-20.4</f>
        <v>29.6</v>
      </c>
      <c r="I300" s="20">
        <v>29.6</v>
      </c>
      <c r="J300" s="21">
        <f t="shared" si="21"/>
        <v>100</v>
      </c>
    </row>
    <row r="301" spans="2:10" ht="15" x14ac:dyDescent="0.2">
      <c r="B301" s="17" t="s">
        <v>41</v>
      </c>
      <c r="C301" s="18" t="s">
        <v>13</v>
      </c>
      <c r="D301" s="18" t="s">
        <v>351</v>
      </c>
      <c r="E301" s="18" t="s">
        <v>351</v>
      </c>
      <c r="F301" s="9" t="s">
        <v>372</v>
      </c>
      <c r="G301" s="18" t="s">
        <v>24</v>
      </c>
      <c r="H301" s="20">
        <f>122-45.5</f>
        <v>76.5</v>
      </c>
      <c r="I301" s="20">
        <v>76.5</v>
      </c>
      <c r="J301" s="21">
        <f t="shared" si="21"/>
        <v>100</v>
      </c>
    </row>
    <row r="302" spans="2:10" ht="25.5" x14ac:dyDescent="0.2">
      <c r="B302" s="17" t="s">
        <v>373</v>
      </c>
      <c r="C302" s="18" t="s">
        <v>13</v>
      </c>
      <c r="D302" s="18" t="s">
        <v>351</v>
      </c>
      <c r="E302" s="18" t="s">
        <v>351</v>
      </c>
      <c r="F302" s="9" t="s">
        <v>374</v>
      </c>
      <c r="G302" s="18"/>
      <c r="H302" s="20">
        <f>H303</f>
        <v>15.899999999999999</v>
      </c>
      <c r="I302" s="20">
        <f>I303</f>
        <v>15.9</v>
      </c>
      <c r="J302" s="21">
        <f t="shared" si="21"/>
        <v>100.00000000000003</v>
      </c>
    </row>
    <row r="303" spans="2:10" ht="15" x14ac:dyDescent="0.2">
      <c r="B303" s="17" t="s">
        <v>371</v>
      </c>
      <c r="C303" s="18" t="s">
        <v>13</v>
      </c>
      <c r="D303" s="18" t="s">
        <v>351</v>
      </c>
      <c r="E303" s="18" t="s">
        <v>351</v>
      </c>
      <c r="F303" s="9" t="s">
        <v>375</v>
      </c>
      <c r="G303" s="18"/>
      <c r="H303" s="20">
        <f>H304</f>
        <v>15.899999999999999</v>
      </c>
      <c r="I303" s="20">
        <f>I304</f>
        <v>15.9</v>
      </c>
      <c r="J303" s="21">
        <f t="shared" si="21"/>
        <v>100.00000000000003</v>
      </c>
    </row>
    <row r="304" spans="2:10" ht="15" x14ac:dyDescent="0.2">
      <c r="B304" s="17" t="s">
        <v>41</v>
      </c>
      <c r="C304" s="18" t="s">
        <v>13</v>
      </c>
      <c r="D304" s="18" t="s">
        <v>351</v>
      </c>
      <c r="E304" s="18" t="s">
        <v>351</v>
      </c>
      <c r="F304" s="9" t="s">
        <v>375</v>
      </c>
      <c r="G304" s="18" t="s">
        <v>24</v>
      </c>
      <c r="H304" s="20">
        <f>50-34.1</f>
        <v>15.899999999999999</v>
      </c>
      <c r="I304" s="20">
        <v>15.9</v>
      </c>
      <c r="J304" s="21">
        <f t="shared" si="21"/>
        <v>100.00000000000003</v>
      </c>
    </row>
    <row r="305" spans="2:10" ht="15" hidden="1" x14ac:dyDescent="0.2">
      <c r="B305" s="47" t="s">
        <v>376</v>
      </c>
      <c r="C305" s="13" t="s">
        <v>13</v>
      </c>
      <c r="D305" s="13" t="s">
        <v>351</v>
      </c>
      <c r="E305" s="13" t="s">
        <v>186</v>
      </c>
      <c r="F305" s="8"/>
      <c r="G305" s="13"/>
      <c r="H305" s="20">
        <f t="shared" ref="H305:I307" si="24">H306</f>
        <v>0</v>
      </c>
      <c r="I305" s="20">
        <f t="shared" si="24"/>
        <v>0</v>
      </c>
      <c r="J305" s="21" t="e">
        <f t="shared" si="21"/>
        <v>#DIV/0!</v>
      </c>
    </row>
    <row r="306" spans="2:10" ht="15" hidden="1" x14ac:dyDescent="0.2">
      <c r="B306" s="47"/>
      <c r="C306" s="18" t="s">
        <v>13</v>
      </c>
      <c r="D306" s="18" t="s">
        <v>351</v>
      </c>
      <c r="E306" s="18" t="s">
        <v>186</v>
      </c>
      <c r="F306" s="8"/>
      <c r="G306" s="13"/>
      <c r="H306" s="20">
        <f t="shared" si="24"/>
        <v>0</v>
      </c>
      <c r="I306" s="20">
        <f t="shared" si="24"/>
        <v>0</v>
      </c>
      <c r="J306" s="21" t="e">
        <f t="shared" si="21"/>
        <v>#DIV/0!</v>
      </c>
    </row>
    <row r="307" spans="2:10" ht="15" hidden="1" x14ac:dyDescent="0.2">
      <c r="B307" s="47"/>
      <c r="C307" s="18" t="s">
        <v>13</v>
      </c>
      <c r="D307" s="18" t="s">
        <v>351</v>
      </c>
      <c r="E307" s="18" t="s">
        <v>186</v>
      </c>
      <c r="F307" s="8"/>
      <c r="G307" s="13"/>
      <c r="H307" s="20">
        <f t="shared" si="24"/>
        <v>0</v>
      </c>
      <c r="I307" s="20">
        <f t="shared" si="24"/>
        <v>0</v>
      </c>
      <c r="J307" s="21" t="e">
        <f t="shared" si="21"/>
        <v>#DIV/0!</v>
      </c>
    </row>
    <row r="308" spans="2:10" ht="15" hidden="1" x14ac:dyDescent="0.2">
      <c r="B308" s="47"/>
      <c r="C308" s="18" t="s">
        <v>13</v>
      </c>
      <c r="D308" s="18" t="s">
        <v>351</v>
      </c>
      <c r="E308" s="18" t="s">
        <v>186</v>
      </c>
      <c r="F308" s="8"/>
      <c r="G308" s="18" t="s">
        <v>24</v>
      </c>
      <c r="H308" s="20">
        <v>0</v>
      </c>
      <c r="I308" s="20">
        <v>0</v>
      </c>
      <c r="J308" s="21" t="e">
        <f t="shared" si="21"/>
        <v>#DIV/0!</v>
      </c>
    </row>
    <row r="309" spans="2:10" s="16" customFormat="1" x14ac:dyDescent="0.25">
      <c r="B309" s="47" t="s">
        <v>377</v>
      </c>
      <c r="C309" s="13" t="s">
        <v>13</v>
      </c>
      <c r="D309" s="13" t="s">
        <v>230</v>
      </c>
      <c r="E309" s="13"/>
      <c r="F309" s="8"/>
      <c r="G309" s="13"/>
      <c r="H309" s="14">
        <f>H310+H346</f>
        <v>206297.30000000005</v>
      </c>
      <c r="I309" s="14">
        <f>I310+I346</f>
        <v>52916.700000000004</v>
      </c>
      <c r="J309" s="15">
        <f t="shared" si="21"/>
        <v>25.650699257818687</v>
      </c>
    </row>
    <row r="310" spans="2:10" s="16" customFormat="1" x14ac:dyDescent="0.25">
      <c r="B310" s="47" t="s">
        <v>378</v>
      </c>
      <c r="C310" s="13" t="s">
        <v>13</v>
      </c>
      <c r="D310" s="13" t="s">
        <v>230</v>
      </c>
      <c r="E310" s="13" t="s">
        <v>15</v>
      </c>
      <c r="F310" s="8"/>
      <c r="G310" s="13"/>
      <c r="H310" s="14">
        <f>H311</f>
        <v>48137.700000000004</v>
      </c>
      <c r="I310" s="14">
        <f>I311</f>
        <v>48137.700000000004</v>
      </c>
      <c r="J310" s="15">
        <f t="shared" si="21"/>
        <v>100</v>
      </c>
    </row>
    <row r="311" spans="2:10" ht="25.5" x14ac:dyDescent="0.2">
      <c r="B311" s="30" t="s">
        <v>165</v>
      </c>
      <c r="C311" s="18" t="s">
        <v>13</v>
      </c>
      <c r="D311" s="18" t="s">
        <v>230</v>
      </c>
      <c r="E311" s="18" t="s">
        <v>15</v>
      </c>
      <c r="F311" s="9" t="s">
        <v>166</v>
      </c>
      <c r="G311" s="18"/>
      <c r="H311" s="20">
        <f>H312+H319+H324+H335+H343</f>
        <v>48137.700000000004</v>
      </c>
      <c r="I311" s="20">
        <f>I312+I319+I324+I335+I343</f>
        <v>48137.700000000004</v>
      </c>
      <c r="J311" s="21">
        <f t="shared" si="21"/>
        <v>100</v>
      </c>
    </row>
    <row r="312" spans="2:10" ht="25.5" x14ac:dyDescent="0.2">
      <c r="B312" s="30" t="s">
        <v>379</v>
      </c>
      <c r="C312" s="18" t="s">
        <v>13</v>
      </c>
      <c r="D312" s="18" t="s">
        <v>230</v>
      </c>
      <c r="E312" s="18" t="s">
        <v>15</v>
      </c>
      <c r="F312" s="9" t="s">
        <v>380</v>
      </c>
      <c r="G312" s="18"/>
      <c r="H312" s="20">
        <f>H313+H315+H317</f>
        <v>3751.7</v>
      </c>
      <c r="I312" s="20">
        <f>I313+I315+I317</f>
        <v>3751.7</v>
      </c>
      <c r="J312" s="21">
        <f t="shared" si="21"/>
        <v>100</v>
      </c>
    </row>
    <row r="313" spans="2:10" ht="15" x14ac:dyDescent="0.2">
      <c r="B313" s="30" t="s">
        <v>169</v>
      </c>
      <c r="C313" s="18" t="s">
        <v>13</v>
      </c>
      <c r="D313" s="18" t="s">
        <v>230</v>
      </c>
      <c r="E313" s="18" t="s">
        <v>15</v>
      </c>
      <c r="F313" s="9" t="s">
        <v>381</v>
      </c>
      <c r="G313" s="18"/>
      <c r="H313" s="20">
        <f>H314</f>
        <v>2467.7999999999997</v>
      </c>
      <c r="I313" s="20">
        <f>I314</f>
        <v>2467.8000000000002</v>
      </c>
      <c r="J313" s="21">
        <f t="shared" si="21"/>
        <v>100.00000000000003</v>
      </c>
    </row>
    <row r="314" spans="2:10" ht="15" x14ac:dyDescent="0.2">
      <c r="B314" s="30" t="s">
        <v>171</v>
      </c>
      <c r="C314" s="18" t="s">
        <v>13</v>
      </c>
      <c r="D314" s="18" t="s">
        <v>230</v>
      </c>
      <c r="E314" s="18" t="s">
        <v>15</v>
      </c>
      <c r="F314" s="9" t="s">
        <v>381</v>
      </c>
      <c r="G314" s="18" t="s">
        <v>128</v>
      </c>
      <c r="H314" s="20">
        <f>2596.1-128.3</f>
        <v>2467.7999999999997</v>
      </c>
      <c r="I314" s="20">
        <v>2467.8000000000002</v>
      </c>
      <c r="J314" s="21">
        <f t="shared" si="21"/>
        <v>100.00000000000003</v>
      </c>
    </row>
    <row r="315" spans="2:10" ht="25.5" x14ac:dyDescent="0.2">
      <c r="B315" s="30" t="s">
        <v>56</v>
      </c>
      <c r="C315" s="18" t="s">
        <v>13</v>
      </c>
      <c r="D315" s="18" t="s">
        <v>230</v>
      </c>
      <c r="E315" s="18" t="s">
        <v>15</v>
      </c>
      <c r="F315" s="9" t="s">
        <v>382</v>
      </c>
      <c r="G315" s="18"/>
      <c r="H315" s="20">
        <f>H316</f>
        <v>1179.7</v>
      </c>
      <c r="I315" s="20">
        <f>I316</f>
        <v>1179.7</v>
      </c>
      <c r="J315" s="21">
        <f t="shared" si="21"/>
        <v>100</v>
      </c>
    </row>
    <row r="316" spans="2:10" ht="15" x14ac:dyDescent="0.2">
      <c r="B316" s="30" t="s">
        <v>171</v>
      </c>
      <c r="C316" s="18" t="s">
        <v>13</v>
      </c>
      <c r="D316" s="18" t="s">
        <v>230</v>
      </c>
      <c r="E316" s="18" t="s">
        <v>15</v>
      </c>
      <c r="F316" s="9" t="s">
        <v>382</v>
      </c>
      <c r="G316" s="18" t="s">
        <v>128</v>
      </c>
      <c r="H316" s="20">
        <f>1035.5+144.2</f>
        <v>1179.7</v>
      </c>
      <c r="I316" s="20">
        <v>1179.7</v>
      </c>
      <c r="J316" s="21">
        <f t="shared" si="21"/>
        <v>100</v>
      </c>
    </row>
    <row r="317" spans="2:10" ht="25.5" x14ac:dyDescent="0.2">
      <c r="B317" s="30" t="s">
        <v>383</v>
      </c>
      <c r="C317" s="18" t="s">
        <v>13</v>
      </c>
      <c r="D317" s="18" t="s">
        <v>230</v>
      </c>
      <c r="E317" s="18" t="s">
        <v>15</v>
      </c>
      <c r="F317" s="9" t="s">
        <v>384</v>
      </c>
      <c r="G317" s="18"/>
      <c r="H317" s="20">
        <f>H318</f>
        <v>104.2</v>
      </c>
      <c r="I317" s="20">
        <f>I318</f>
        <v>104.2</v>
      </c>
      <c r="J317" s="21">
        <f t="shared" si="21"/>
        <v>100</v>
      </c>
    </row>
    <row r="318" spans="2:10" ht="15" x14ac:dyDescent="0.2">
      <c r="B318" s="30" t="s">
        <v>171</v>
      </c>
      <c r="C318" s="18" t="s">
        <v>13</v>
      </c>
      <c r="D318" s="18" t="s">
        <v>230</v>
      </c>
      <c r="E318" s="18" t="s">
        <v>15</v>
      </c>
      <c r="F318" s="9" t="s">
        <v>385</v>
      </c>
      <c r="G318" s="18" t="s">
        <v>128</v>
      </c>
      <c r="H318" s="20">
        <v>104.2</v>
      </c>
      <c r="I318" s="20">
        <v>104.2</v>
      </c>
      <c r="J318" s="21">
        <f t="shared" si="21"/>
        <v>100</v>
      </c>
    </row>
    <row r="319" spans="2:10" ht="38.25" x14ac:dyDescent="0.2">
      <c r="B319" s="39" t="s">
        <v>386</v>
      </c>
      <c r="C319" s="18" t="s">
        <v>13</v>
      </c>
      <c r="D319" s="18" t="s">
        <v>230</v>
      </c>
      <c r="E319" s="18" t="s">
        <v>15</v>
      </c>
      <c r="F319" s="9" t="s">
        <v>387</v>
      </c>
      <c r="G319" s="18"/>
      <c r="H319" s="20">
        <f>H320+H322</f>
        <v>10522.2</v>
      </c>
      <c r="I319" s="20">
        <f>I320+I322</f>
        <v>10522.2</v>
      </c>
      <c r="J319" s="21">
        <f t="shared" si="21"/>
        <v>100</v>
      </c>
    </row>
    <row r="320" spans="2:10" ht="15" x14ac:dyDescent="0.2">
      <c r="B320" s="30" t="s">
        <v>169</v>
      </c>
      <c r="C320" s="18" t="s">
        <v>13</v>
      </c>
      <c r="D320" s="18" t="s">
        <v>230</v>
      </c>
      <c r="E320" s="18" t="s">
        <v>15</v>
      </c>
      <c r="F320" s="9" t="s">
        <v>388</v>
      </c>
      <c r="G320" s="18"/>
      <c r="H320" s="20">
        <f>H321</f>
        <v>7037.5</v>
      </c>
      <c r="I320" s="20">
        <f>I321</f>
        <v>7037.5</v>
      </c>
      <c r="J320" s="21">
        <f t="shared" si="21"/>
        <v>100</v>
      </c>
    </row>
    <row r="321" spans="2:10" ht="15" x14ac:dyDescent="0.2">
      <c r="B321" s="30" t="s">
        <v>171</v>
      </c>
      <c r="C321" s="18" t="s">
        <v>13</v>
      </c>
      <c r="D321" s="18" t="s">
        <v>230</v>
      </c>
      <c r="E321" s="18" t="s">
        <v>15</v>
      </c>
      <c r="F321" s="9" t="s">
        <v>388</v>
      </c>
      <c r="G321" s="18" t="s">
        <v>128</v>
      </c>
      <c r="H321" s="20">
        <f>7093.7-56.2</f>
        <v>7037.5</v>
      </c>
      <c r="I321" s="20">
        <v>7037.5</v>
      </c>
      <c r="J321" s="21">
        <f t="shared" si="21"/>
        <v>100</v>
      </c>
    </row>
    <row r="322" spans="2:10" ht="25.5" x14ac:dyDescent="0.2">
      <c r="B322" s="30" t="s">
        <v>56</v>
      </c>
      <c r="C322" s="18" t="s">
        <v>13</v>
      </c>
      <c r="D322" s="18" t="s">
        <v>230</v>
      </c>
      <c r="E322" s="18" t="s">
        <v>15</v>
      </c>
      <c r="F322" s="9" t="s">
        <v>389</v>
      </c>
      <c r="G322" s="18"/>
      <c r="H322" s="20">
        <f>H323</f>
        <v>3484.7000000000003</v>
      </c>
      <c r="I322" s="20">
        <f>I323</f>
        <v>3484.7</v>
      </c>
      <c r="J322" s="21">
        <f t="shared" si="21"/>
        <v>99.999999999999986</v>
      </c>
    </row>
    <row r="323" spans="2:10" ht="15" x14ac:dyDescent="0.2">
      <c r="B323" s="30" t="s">
        <v>171</v>
      </c>
      <c r="C323" s="18" t="s">
        <v>13</v>
      </c>
      <c r="D323" s="18" t="s">
        <v>230</v>
      </c>
      <c r="E323" s="18" t="s">
        <v>15</v>
      </c>
      <c r="F323" s="9" t="s">
        <v>389</v>
      </c>
      <c r="G323" s="18" t="s">
        <v>128</v>
      </c>
      <c r="H323" s="20">
        <f>3106.4+378.3</f>
        <v>3484.7000000000003</v>
      </c>
      <c r="I323" s="20">
        <v>3484.7</v>
      </c>
      <c r="J323" s="21">
        <f t="shared" si="21"/>
        <v>99.999999999999986</v>
      </c>
    </row>
    <row r="324" spans="2:10" ht="15" x14ac:dyDescent="0.2">
      <c r="B324" s="17" t="s">
        <v>390</v>
      </c>
      <c r="C324" s="18" t="s">
        <v>13</v>
      </c>
      <c r="D324" s="18" t="s">
        <v>230</v>
      </c>
      <c r="E324" s="18" t="s">
        <v>15</v>
      </c>
      <c r="F324" s="9" t="s">
        <v>391</v>
      </c>
      <c r="G324" s="18"/>
      <c r="H324" s="20">
        <f>H325+H333+H331+H329</f>
        <v>14827.9</v>
      </c>
      <c r="I324" s="20">
        <f>I325+I333+I331+I329</f>
        <v>14827.900000000001</v>
      </c>
      <c r="J324" s="21">
        <f t="shared" si="21"/>
        <v>100.00000000000003</v>
      </c>
    </row>
    <row r="325" spans="2:10" ht="15" x14ac:dyDescent="0.2">
      <c r="B325" s="30" t="s">
        <v>169</v>
      </c>
      <c r="C325" s="18" t="s">
        <v>13</v>
      </c>
      <c r="D325" s="18" t="s">
        <v>230</v>
      </c>
      <c r="E325" s="18" t="s">
        <v>15</v>
      </c>
      <c r="F325" s="9" t="s">
        <v>392</v>
      </c>
      <c r="G325" s="18"/>
      <c r="H325" s="20">
        <f>H326+H327+H328</f>
        <v>6605.7</v>
      </c>
      <c r="I325" s="20">
        <f>I326+I327+I328</f>
        <v>6605.7000000000007</v>
      </c>
      <c r="J325" s="21">
        <f t="shared" si="21"/>
        <v>100.00000000000003</v>
      </c>
    </row>
    <row r="326" spans="2:10" ht="15" x14ac:dyDescent="0.2">
      <c r="B326" s="17" t="s">
        <v>157</v>
      </c>
      <c r="C326" s="18" t="s">
        <v>13</v>
      </c>
      <c r="D326" s="18" t="s">
        <v>230</v>
      </c>
      <c r="E326" s="18" t="s">
        <v>15</v>
      </c>
      <c r="F326" s="9" t="s">
        <v>392</v>
      </c>
      <c r="G326" s="18" t="s">
        <v>158</v>
      </c>
      <c r="H326" s="20">
        <f>3791.9+0.4</f>
        <v>3792.3</v>
      </c>
      <c r="I326" s="20">
        <v>3792.3</v>
      </c>
      <c r="J326" s="21">
        <f t="shared" si="21"/>
        <v>100</v>
      </c>
    </row>
    <row r="327" spans="2:10" ht="15" x14ac:dyDescent="0.2">
      <c r="B327" s="17" t="s">
        <v>41</v>
      </c>
      <c r="C327" s="18" t="s">
        <v>13</v>
      </c>
      <c r="D327" s="18" t="s">
        <v>230</v>
      </c>
      <c r="E327" s="18" t="s">
        <v>15</v>
      </c>
      <c r="F327" s="9" t="s">
        <v>392</v>
      </c>
      <c r="G327" s="18" t="s">
        <v>24</v>
      </c>
      <c r="H327" s="20">
        <f>2811.2-0.3</f>
        <v>2810.8999999999996</v>
      </c>
      <c r="I327" s="20">
        <v>2810.9</v>
      </c>
      <c r="J327" s="21">
        <f t="shared" si="21"/>
        <v>100.00000000000003</v>
      </c>
    </row>
    <row r="328" spans="2:10" ht="15" x14ac:dyDescent="0.2">
      <c r="B328" s="17" t="s">
        <v>50</v>
      </c>
      <c r="C328" s="18" t="s">
        <v>13</v>
      </c>
      <c r="D328" s="18" t="s">
        <v>230</v>
      </c>
      <c r="E328" s="18" t="s">
        <v>15</v>
      </c>
      <c r="F328" s="9" t="s">
        <v>392</v>
      </c>
      <c r="G328" s="18" t="s">
        <v>51</v>
      </c>
      <c r="H328" s="20">
        <f>13-5-5-0.5</f>
        <v>2.5</v>
      </c>
      <c r="I328" s="20">
        <v>2.5</v>
      </c>
      <c r="J328" s="21">
        <f t="shared" si="21"/>
        <v>100</v>
      </c>
    </row>
    <row r="329" spans="2:10" ht="25.5" x14ac:dyDescent="0.2">
      <c r="B329" s="30" t="s">
        <v>56</v>
      </c>
      <c r="C329" s="18" t="s">
        <v>13</v>
      </c>
      <c r="D329" s="18" t="s">
        <v>230</v>
      </c>
      <c r="E329" s="18" t="s">
        <v>15</v>
      </c>
      <c r="F329" s="9" t="s">
        <v>393</v>
      </c>
      <c r="G329" s="18"/>
      <c r="H329" s="20">
        <f>H330</f>
        <v>6451.6</v>
      </c>
      <c r="I329" s="20">
        <f>I330</f>
        <v>6451.6</v>
      </c>
      <c r="J329" s="21">
        <f t="shared" ref="J329:J392" si="25">I329/H329*100</f>
        <v>100</v>
      </c>
    </row>
    <row r="330" spans="2:10" ht="15" x14ac:dyDescent="0.2">
      <c r="B330" s="17" t="s">
        <v>157</v>
      </c>
      <c r="C330" s="18" t="s">
        <v>13</v>
      </c>
      <c r="D330" s="18" t="s">
        <v>230</v>
      </c>
      <c r="E330" s="18" t="s">
        <v>15</v>
      </c>
      <c r="F330" s="9" t="s">
        <v>393</v>
      </c>
      <c r="G330" s="18" t="s">
        <v>158</v>
      </c>
      <c r="H330" s="20">
        <f>6451.6</f>
        <v>6451.6</v>
      </c>
      <c r="I330" s="20">
        <v>6451.6</v>
      </c>
      <c r="J330" s="21">
        <f t="shared" si="25"/>
        <v>100</v>
      </c>
    </row>
    <row r="331" spans="2:10" ht="15" x14ac:dyDescent="0.2">
      <c r="B331" s="17" t="s">
        <v>394</v>
      </c>
      <c r="C331" s="18" t="s">
        <v>13</v>
      </c>
      <c r="D331" s="18" t="s">
        <v>230</v>
      </c>
      <c r="E331" s="18" t="s">
        <v>15</v>
      </c>
      <c r="F331" s="9" t="s">
        <v>395</v>
      </c>
      <c r="G331" s="18"/>
      <c r="H331" s="35">
        <f>H332</f>
        <v>340</v>
      </c>
      <c r="I331" s="35">
        <f>I332</f>
        <v>340</v>
      </c>
      <c r="J331" s="21">
        <f t="shared" si="25"/>
        <v>100</v>
      </c>
    </row>
    <row r="332" spans="2:10" ht="15" x14ac:dyDescent="0.2">
      <c r="B332" s="17" t="s">
        <v>41</v>
      </c>
      <c r="C332" s="18" t="s">
        <v>13</v>
      </c>
      <c r="D332" s="18" t="s">
        <v>230</v>
      </c>
      <c r="E332" s="18" t="s">
        <v>15</v>
      </c>
      <c r="F332" s="9" t="s">
        <v>395</v>
      </c>
      <c r="G332" s="18" t="s">
        <v>24</v>
      </c>
      <c r="H332" s="35">
        <v>340</v>
      </c>
      <c r="I332" s="35">
        <v>340</v>
      </c>
      <c r="J332" s="21">
        <f t="shared" si="25"/>
        <v>100</v>
      </c>
    </row>
    <row r="333" spans="2:10" ht="25.5" x14ac:dyDescent="0.2">
      <c r="B333" s="30" t="s">
        <v>396</v>
      </c>
      <c r="C333" s="18" t="s">
        <v>13</v>
      </c>
      <c r="D333" s="18" t="s">
        <v>230</v>
      </c>
      <c r="E333" s="18" t="s">
        <v>15</v>
      </c>
      <c r="F333" s="9" t="s">
        <v>397</v>
      </c>
      <c r="G333" s="18"/>
      <c r="H333" s="20">
        <f>H334</f>
        <v>1430.6000000000001</v>
      </c>
      <c r="I333" s="20">
        <f>I334</f>
        <v>1430.6</v>
      </c>
      <c r="J333" s="21">
        <f t="shared" si="25"/>
        <v>99.999999999999986</v>
      </c>
    </row>
    <row r="334" spans="2:10" ht="15" x14ac:dyDescent="0.2">
      <c r="B334" s="17" t="s">
        <v>41</v>
      </c>
      <c r="C334" s="18" t="s">
        <v>13</v>
      </c>
      <c r="D334" s="18" t="s">
        <v>230</v>
      </c>
      <c r="E334" s="18" t="s">
        <v>15</v>
      </c>
      <c r="F334" s="9" t="s">
        <v>397</v>
      </c>
      <c r="G334" s="18" t="s">
        <v>24</v>
      </c>
      <c r="H334" s="20">
        <f>1648.9-218.3</f>
        <v>1430.6000000000001</v>
      </c>
      <c r="I334" s="20">
        <v>1430.6</v>
      </c>
      <c r="J334" s="21">
        <f t="shared" si="25"/>
        <v>99.999999999999986</v>
      </c>
    </row>
    <row r="335" spans="2:10" ht="25.5" x14ac:dyDescent="0.2">
      <c r="B335" s="30" t="s">
        <v>398</v>
      </c>
      <c r="C335" s="18" t="s">
        <v>13</v>
      </c>
      <c r="D335" s="18" t="s">
        <v>230</v>
      </c>
      <c r="E335" s="18" t="s">
        <v>15</v>
      </c>
      <c r="F335" s="9" t="s">
        <v>399</v>
      </c>
      <c r="G335" s="18"/>
      <c r="H335" s="20">
        <f>H336+H339+H341</f>
        <v>16831.3</v>
      </c>
      <c r="I335" s="20">
        <f>I336+I339+I341</f>
        <v>16831.3</v>
      </c>
      <c r="J335" s="21">
        <f t="shared" si="25"/>
        <v>100</v>
      </c>
    </row>
    <row r="336" spans="2:10" ht="15" hidden="1" x14ac:dyDescent="0.2">
      <c r="B336" s="30" t="s">
        <v>400</v>
      </c>
      <c r="C336" s="18" t="s">
        <v>13</v>
      </c>
      <c r="D336" s="18" t="s">
        <v>230</v>
      </c>
      <c r="E336" s="18" t="s">
        <v>15</v>
      </c>
      <c r="F336" s="9" t="s">
        <v>401</v>
      </c>
      <c r="G336" s="18"/>
      <c r="H336" s="20">
        <f>H338+H337</f>
        <v>0</v>
      </c>
      <c r="I336" s="20">
        <f>I338+I337</f>
        <v>0</v>
      </c>
      <c r="J336" s="21" t="e">
        <f t="shared" si="25"/>
        <v>#DIV/0!</v>
      </c>
    </row>
    <row r="337" spans="2:10" ht="15" hidden="1" x14ac:dyDescent="0.2">
      <c r="B337" s="17" t="s">
        <v>41</v>
      </c>
      <c r="C337" s="18" t="s">
        <v>13</v>
      </c>
      <c r="D337" s="18" t="s">
        <v>230</v>
      </c>
      <c r="E337" s="18" t="s">
        <v>15</v>
      </c>
      <c r="F337" s="9" t="s">
        <v>401</v>
      </c>
      <c r="G337" s="18" t="s">
        <v>24</v>
      </c>
      <c r="H337" s="20">
        <f>140-140</f>
        <v>0</v>
      </c>
      <c r="I337" s="20"/>
      <c r="J337" s="21" t="e">
        <f t="shared" si="25"/>
        <v>#DIV/0!</v>
      </c>
    </row>
    <row r="338" spans="2:10" ht="15" hidden="1" x14ac:dyDescent="0.2">
      <c r="B338" s="30" t="s">
        <v>171</v>
      </c>
      <c r="C338" s="18" t="s">
        <v>13</v>
      </c>
      <c r="D338" s="18" t="s">
        <v>230</v>
      </c>
      <c r="E338" s="18" t="s">
        <v>15</v>
      </c>
      <c r="F338" s="9" t="s">
        <v>401</v>
      </c>
      <c r="G338" s="18" t="s">
        <v>128</v>
      </c>
      <c r="H338" s="20">
        <f>73-73</f>
        <v>0</v>
      </c>
      <c r="I338" s="20"/>
      <c r="J338" s="21" t="e">
        <f t="shared" si="25"/>
        <v>#DIV/0!</v>
      </c>
    </row>
    <row r="339" spans="2:10" ht="15" x14ac:dyDescent="0.2">
      <c r="B339" s="30" t="s">
        <v>169</v>
      </c>
      <c r="C339" s="18" t="s">
        <v>13</v>
      </c>
      <c r="D339" s="18" t="s">
        <v>230</v>
      </c>
      <c r="E339" s="18" t="s">
        <v>15</v>
      </c>
      <c r="F339" s="9" t="s">
        <v>402</v>
      </c>
      <c r="G339" s="18"/>
      <c r="H339" s="20">
        <f>H340</f>
        <v>9974.6</v>
      </c>
      <c r="I339" s="20">
        <f>I340</f>
        <v>9974.6</v>
      </c>
      <c r="J339" s="21">
        <f t="shared" si="25"/>
        <v>100</v>
      </c>
    </row>
    <row r="340" spans="2:10" ht="15" x14ac:dyDescent="0.2">
      <c r="B340" s="30" t="s">
        <v>171</v>
      </c>
      <c r="C340" s="18" t="s">
        <v>13</v>
      </c>
      <c r="D340" s="18" t="s">
        <v>230</v>
      </c>
      <c r="E340" s="18" t="s">
        <v>15</v>
      </c>
      <c r="F340" s="9" t="s">
        <v>402</v>
      </c>
      <c r="G340" s="18" t="s">
        <v>128</v>
      </c>
      <c r="H340" s="20">
        <f>10967.6-992.9-0.1</f>
        <v>9974.6</v>
      </c>
      <c r="I340" s="20">
        <v>9974.6</v>
      </c>
      <c r="J340" s="21">
        <f t="shared" si="25"/>
        <v>100</v>
      </c>
    </row>
    <row r="341" spans="2:10" ht="25.5" x14ac:dyDescent="0.2">
      <c r="B341" s="30" t="s">
        <v>56</v>
      </c>
      <c r="C341" s="18" t="s">
        <v>13</v>
      </c>
      <c r="D341" s="18" t="s">
        <v>230</v>
      </c>
      <c r="E341" s="18" t="s">
        <v>15</v>
      </c>
      <c r="F341" s="9" t="s">
        <v>403</v>
      </c>
      <c r="G341" s="18"/>
      <c r="H341" s="20">
        <f>H342</f>
        <v>6856.7</v>
      </c>
      <c r="I341" s="20">
        <f>I342</f>
        <v>6856.7</v>
      </c>
      <c r="J341" s="21">
        <f t="shared" si="25"/>
        <v>100</v>
      </c>
    </row>
    <row r="342" spans="2:10" ht="15" x14ac:dyDescent="0.2">
      <c r="B342" s="30" t="s">
        <v>171</v>
      </c>
      <c r="C342" s="18" t="s">
        <v>13</v>
      </c>
      <c r="D342" s="18" t="s">
        <v>230</v>
      </c>
      <c r="E342" s="18" t="s">
        <v>15</v>
      </c>
      <c r="F342" s="9" t="s">
        <v>403</v>
      </c>
      <c r="G342" s="18" t="s">
        <v>128</v>
      </c>
      <c r="H342" s="20">
        <f>6856.7</f>
        <v>6856.7</v>
      </c>
      <c r="I342" s="20">
        <v>6856.7</v>
      </c>
      <c r="J342" s="21">
        <f t="shared" si="25"/>
        <v>100</v>
      </c>
    </row>
    <row r="343" spans="2:10" ht="25.5" x14ac:dyDescent="0.2">
      <c r="B343" s="30" t="s">
        <v>404</v>
      </c>
      <c r="C343" s="18" t="s">
        <v>13</v>
      </c>
      <c r="D343" s="18" t="s">
        <v>230</v>
      </c>
      <c r="E343" s="18" t="s">
        <v>15</v>
      </c>
      <c r="F343" s="9" t="s">
        <v>405</v>
      </c>
      <c r="G343" s="18"/>
      <c r="H343" s="20">
        <f>H344</f>
        <v>2204.6</v>
      </c>
      <c r="I343" s="20">
        <f>I344</f>
        <v>2204.6</v>
      </c>
      <c r="J343" s="21">
        <f t="shared" si="25"/>
        <v>100</v>
      </c>
    </row>
    <row r="344" spans="2:10" ht="38.25" x14ac:dyDescent="0.2">
      <c r="B344" s="30" t="s">
        <v>406</v>
      </c>
      <c r="C344" s="18" t="s">
        <v>13</v>
      </c>
      <c r="D344" s="18" t="s">
        <v>230</v>
      </c>
      <c r="E344" s="18" t="s">
        <v>15</v>
      </c>
      <c r="F344" s="9" t="s">
        <v>407</v>
      </c>
      <c r="G344" s="18"/>
      <c r="H344" s="20">
        <f>H345</f>
        <v>2204.6</v>
      </c>
      <c r="I344" s="20">
        <f>I345</f>
        <v>2204.6</v>
      </c>
      <c r="J344" s="21">
        <f t="shared" si="25"/>
        <v>100</v>
      </c>
    </row>
    <row r="345" spans="2:10" ht="15" x14ac:dyDescent="0.2">
      <c r="B345" s="30" t="s">
        <v>171</v>
      </c>
      <c r="C345" s="18" t="s">
        <v>13</v>
      </c>
      <c r="D345" s="18" t="s">
        <v>230</v>
      </c>
      <c r="E345" s="18" t="s">
        <v>15</v>
      </c>
      <c r="F345" s="9" t="s">
        <v>408</v>
      </c>
      <c r="G345" s="18" t="s">
        <v>128</v>
      </c>
      <c r="H345" s="20">
        <f>2252.7-48.1</f>
        <v>2204.6</v>
      </c>
      <c r="I345" s="20">
        <v>2204.6</v>
      </c>
      <c r="J345" s="21">
        <f t="shared" si="25"/>
        <v>100</v>
      </c>
    </row>
    <row r="346" spans="2:10" s="16" customFormat="1" x14ac:dyDescent="0.25">
      <c r="B346" s="12" t="s">
        <v>409</v>
      </c>
      <c r="C346" s="13" t="s">
        <v>13</v>
      </c>
      <c r="D346" s="13" t="s">
        <v>230</v>
      </c>
      <c r="E346" s="13" t="s">
        <v>18</v>
      </c>
      <c r="F346" s="13"/>
      <c r="G346" s="13"/>
      <c r="H346" s="14">
        <f>H347</f>
        <v>158159.60000000003</v>
      </c>
      <c r="I346" s="14">
        <f>I347</f>
        <v>4779</v>
      </c>
      <c r="J346" s="15">
        <f t="shared" si="25"/>
        <v>3.0216313141914872</v>
      </c>
    </row>
    <row r="347" spans="2:10" ht="25.5" x14ac:dyDescent="0.2">
      <c r="B347" s="24" t="s">
        <v>165</v>
      </c>
      <c r="C347" s="18" t="s">
        <v>13</v>
      </c>
      <c r="D347" s="18" t="s">
        <v>230</v>
      </c>
      <c r="E347" s="18" t="s">
        <v>18</v>
      </c>
      <c r="F347" s="48" t="s">
        <v>166</v>
      </c>
      <c r="G347" s="18"/>
      <c r="H347" s="20">
        <f>H348</f>
        <v>158159.60000000003</v>
      </c>
      <c r="I347" s="20">
        <f>I348</f>
        <v>4779</v>
      </c>
      <c r="J347" s="21">
        <f t="shared" si="25"/>
        <v>3.0216313141914872</v>
      </c>
    </row>
    <row r="348" spans="2:10" ht="15" x14ac:dyDescent="0.2">
      <c r="B348" s="30" t="s">
        <v>410</v>
      </c>
      <c r="C348" s="18" t="s">
        <v>13</v>
      </c>
      <c r="D348" s="18" t="s">
        <v>230</v>
      </c>
      <c r="E348" s="18" t="s">
        <v>18</v>
      </c>
      <c r="F348" s="9" t="s">
        <v>411</v>
      </c>
      <c r="G348" s="18"/>
      <c r="H348" s="20">
        <f>H351+H349</f>
        <v>158159.60000000003</v>
      </c>
      <c r="I348" s="20">
        <f>I351+I349</f>
        <v>4779</v>
      </c>
      <c r="J348" s="21">
        <f t="shared" si="25"/>
        <v>3.0216313141914872</v>
      </c>
    </row>
    <row r="349" spans="2:10" ht="15" x14ac:dyDescent="0.2">
      <c r="B349" s="30" t="s">
        <v>400</v>
      </c>
      <c r="C349" s="18" t="s">
        <v>13</v>
      </c>
      <c r="D349" s="18" t="s">
        <v>230</v>
      </c>
      <c r="E349" s="18" t="s">
        <v>18</v>
      </c>
      <c r="F349" s="9" t="s">
        <v>412</v>
      </c>
      <c r="G349" s="18"/>
      <c r="H349" s="20">
        <f>H350</f>
        <v>775.7</v>
      </c>
      <c r="I349" s="20">
        <f>I350</f>
        <v>775.7</v>
      </c>
      <c r="J349" s="21">
        <f t="shared" si="25"/>
        <v>100</v>
      </c>
    </row>
    <row r="350" spans="2:10" ht="15" x14ac:dyDescent="0.2">
      <c r="B350" s="17" t="s">
        <v>23</v>
      </c>
      <c r="C350" s="18" t="s">
        <v>13</v>
      </c>
      <c r="D350" s="18" t="s">
        <v>230</v>
      </c>
      <c r="E350" s="18" t="s">
        <v>18</v>
      </c>
      <c r="F350" s="9" t="s">
        <v>412</v>
      </c>
      <c r="G350" s="18" t="s">
        <v>290</v>
      </c>
      <c r="H350" s="20">
        <f>750+25.7</f>
        <v>775.7</v>
      </c>
      <c r="I350" s="20">
        <v>775.7</v>
      </c>
      <c r="J350" s="21">
        <f t="shared" si="25"/>
        <v>100</v>
      </c>
    </row>
    <row r="351" spans="2:10" ht="15" x14ac:dyDescent="0.2">
      <c r="B351" s="30" t="s">
        <v>413</v>
      </c>
      <c r="C351" s="18" t="s">
        <v>13</v>
      </c>
      <c r="D351" s="18" t="s">
        <v>230</v>
      </c>
      <c r="E351" s="18" t="s">
        <v>18</v>
      </c>
      <c r="F351" s="9" t="s">
        <v>414</v>
      </c>
      <c r="G351" s="18"/>
      <c r="H351" s="20">
        <f>H352</f>
        <v>157383.90000000002</v>
      </c>
      <c r="I351" s="20">
        <f>I352</f>
        <v>4003.3</v>
      </c>
      <c r="J351" s="21">
        <f t="shared" si="25"/>
        <v>2.5436528132801386</v>
      </c>
    </row>
    <row r="352" spans="2:10" ht="15" x14ac:dyDescent="0.2">
      <c r="B352" s="30" t="s">
        <v>289</v>
      </c>
      <c r="C352" s="18" t="s">
        <v>13</v>
      </c>
      <c r="D352" s="18" t="s">
        <v>230</v>
      </c>
      <c r="E352" s="18" t="s">
        <v>18</v>
      </c>
      <c r="F352" s="9" t="s">
        <v>414</v>
      </c>
      <c r="G352" s="18" t="s">
        <v>290</v>
      </c>
      <c r="H352" s="20">
        <f>157242.2+89.2+52.5</f>
        <v>157383.90000000002</v>
      </c>
      <c r="I352" s="20">
        <v>4003.3</v>
      </c>
      <c r="J352" s="21">
        <f t="shared" si="25"/>
        <v>2.5436528132801386</v>
      </c>
    </row>
    <row r="353" spans="2:10" ht="15" hidden="1" x14ac:dyDescent="0.2">
      <c r="B353" s="30" t="s">
        <v>400</v>
      </c>
      <c r="C353" s="18" t="s">
        <v>13</v>
      </c>
      <c r="D353" s="18" t="s">
        <v>230</v>
      </c>
      <c r="E353" s="18" t="s">
        <v>18</v>
      </c>
      <c r="F353" s="9" t="s">
        <v>415</v>
      </c>
      <c r="G353" s="18"/>
      <c r="H353" s="20">
        <f>H354</f>
        <v>0</v>
      </c>
      <c r="I353" s="20">
        <f>I354</f>
        <v>0</v>
      </c>
      <c r="J353" s="21" t="e">
        <f t="shared" si="25"/>
        <v>#DIV/0!</v>
      </c>
    </row>
    <row r="354" spans="2:10" ht="15" hidden="1" x14ac:dyDescent="0.2">
      <c r="B354" s="17" t="s">
        <v>23</v>
      </c>
      <c r="C354" s="18" t="s">
        <v>13</v>
      </c>
      <c r="D354" s="18" t="s">
        <v>230</v>
      </c>
      <c r="E354" s="18" t="s">
        <v>18</v>
      </c>
      <c r="F354" s="9" t="s">
        <v>415</v>
      </c>
      <c r="G354" s="18" t="s">
        <v>24</v>
      </c>
      <c r="H354" s="20">
        <v>0</v>
      </c>
      <c r="I354" s="20">
        <v>0</v>
      </c>
      <c r="J354" s="21" t="e">
        <f t="shared" si="25"/>
        <v>#DIV/0!</v>
      </c>
    </row>
    <row r="355" spans="2:10" s="16" customFormat="1" x14ac:dyDescent="0.25">
      <c r="B355" s="47" t="s">
        <v>416</v>
      </c>
      <c r="C355" s="13" t="s">
        <v>13</v>
      </c>
      <c r="D355" s="13" t="s">
        <v>186</v>
      </c>
      <c r="E355" s="13"/>
      <c r="F355" s="13"/>
      <c r="G355" s="13"/>
      <c r="H355" s="14">
        <f>H356</f>
        <v>143.39999999999998</v>
      </c>
      <c r="I355" s="14">
        <f>I356</f>
        <v>143.4</v>
      </c>
      <c r="J355" s="15">
        <f t="shared" si="25"/>
        <v>100.00000000000003</v>
      </c>
    </row>
    <row r="356" spans="2:10" s="16" customFormat="1" x14ac:dyDescent="0.25">
      <c r="B356" s="47" t="s">
        <v>417</v>
      </c>
      <c r="C356" s="13" t="s">
        <v>13</v>
      </c>
      <c r="D356" s="13" t="s">
        <v>186</v>
      </c>
      <c r="E356" s="13" t="s">
        <v>351</v>
      </c>
      <c r="F356" s="13"/>
      <c r="G356" s="13"/>
      <c r="H356" s="14">
        <f t="shared" ref="H356:I358" si="26">H357</f>
        <v>143.39999999999998</v>
      </c>
      <c r="I356" s="14">
        <f t="shared" si="26"/>
        <v>143.4</v>
      </c>
      <c r="J356" s="15">
        <f t="shared" si="25"/>
        <v>100.00000000000003</v>
      </c>
    </row>
    <row r="357" spans="2:10" ht="15" x14ac:dyDescent="0.2">
      <c r="B357" s="30" t="s">
        <v>86</v>
      </c>
      <c r="C357" s="18" t="s">
        <v>13</v>
      </c>
      <c r="D357" s="18" t="s">
        <v>186</v>
      </c>
      <c r="E357" s="18" t="s">
        <v>351</v>
      </c>
      <c r="F357" s="18" t="s">
        <v>87</v>
      </c>
      <c r="G357" s="18"/>
      <c r="H357" s="20">
        <f t="shared" si="26"/>
        <v>143.39999999999998</v>
      </c>
      <c r="I357" s="20">
        <f t="shared" si="26"/>
        <v>143.4</v>
      </c>
      <c r="J357" s="21">
        <f t="shared" si="25"/>
        <v>100.00000000000003</v>
      </c>
    </row>
    <row r="358" spans="2:10" ht="51" x14ac:dyDescent="0.2">
      <c r="B358" s="28" t="s">
        <v>418</v>
      </c>
      <c r="C358" s="18" t="s">
        <v>13</v>
      </c>
      <c r="D358" s="18" t="s">
        <v>186</v>
      </c>
      <c r="E358" s="18" t="s">
        <v>351</v>
      </c>
      <c r="F358" s="9" t="s">
        <v>419</v>
      </c>
      <c r="G358" s="18"/>
      <c r="H358" s="20">
        <f t="shared" si="26"/>
        <v>143.39999999999998</v>
      </c>
      <c r="I358" s="20">
        <f t="shared" si="26"/>
        <v>143.4</v>
      </c>
      <c r="J358" s="21">
        <f t="shared" si="25"/>
        <v>100.00000000000003</v>
      </c>
    </row>
    <row r="359" spans="2:10" ht="15" x14ac:dyDescent="0.2">
      <c r="B359" s="17" t="s">
        <v>41</v>
      </c>
      <c r="C359" s="18" t="s">
        <v>13</v>
      </c>
      <c r="D359" s="18" t="s">
        <v>186</v>
      </c>
      <c r="E359" s="18" t="s">
        <v>351</v>
      </c>
      <c r="F359" s="9" t="s">
        <v>419</v>
      </c>
      <c r="G359" s="18" t="s">
        <v>24</v>
      </c>
      <c r="H359" s="20">
        <f>253.7-110.3</f>
        <v>143.39999999999998</v>
      </c>
      <c r="I359" s="20">
        <v>143.4</v>
      </c>
      <c r="J359" s="21">
        <f t="shared" si="25"/>
        <v>100.00000000000003</v>
      </c>
    </row>
    <row r="360" spans="2:10" s="16" customFormat="1" x14ac:dyDescent="0.25">
      <c r="B360" s="44" t="s">
        <v>420</v>
      </c>
      <c r="C360" s="13" t="s">
        <v>13</v>
      </c>
      <c r="D360" s="13" t="s">
        <v>421</v>
      </c>
      <c r="E360" s="13"/>
      <c r="F360" s="13"/>
      <c r="G360" s="13"/>
      <c r="H360" s="14">
        <f>H366+H386+H361</f>
        <v>6155.5</v>
      </c>
      <c r="I360" s="14">
        <f>I366+I386+I361</f>
        <v>6155.5</v>
      </c>
      <c r="J360" s="15">
        <f t="shared" si="25"/>
        <v>100</v>
      </c>
    </row>
    <row r="361" spans="2:10" s="16" customFormat="1" x14ac:dyDescent="0.25">
      <c r="B361" s="12" t="s">
        <v>422</v>
      </c>
      <c r="C361" s="13" t="s">
        <v>13</v>
      </c>
      <c r="D361" s="13" t="s">
        <v>421</v>
      </c>
      <c r="E361" s="13" t="s">
        <v>15</v>
      </c>
      <c r="F361" s="13"/>
      <c r="G361" s="13"/>
      <c r="H361" s="14">
        <f>H362</f>
        <v>1041.8</v>
      </c>
      <c r="I361" s="14">
        <f>I362</f>
        <v>1041.8</v>
      </c>
      <c r="J361" s="15">
        <f t="shared" si="25"/>
        <v>100</v>
      </c>
    </row>
    <row r="362" spans="2:10" ht="15" x14ac:dyDescent="0.2">
      <c r="B362" s="17" t="s">
        <v>423</v>
      </c>
      <c r="C362" s="18" t="s">
        <v>13</v>
      </c>
      <c r="D362" s="18" t="s">
        <v>421</v>
      </c>
      <c r="E362" s="18" t="s">
        <v>15</v>
      </c>
      <c r="F362" s="18" t="s">
        <v>424</v>
      </c>
      <c r="G362" s="18"/>
      <c r="H362" s="20">
        <f>H363</f>
        <v>1041.8</v>
      </c>
      <c r="I362" s="20">
        <f>I363</f>
        <v>1041.8</v>
      </c>
      <c r="J362" s="21">
        <f t="shared" si="25"/>
        <v>100</v>
      </c>
    </row>
    <row r="363" spans="2:10" ht="15" x14ac:dyDescent="0.2">
      <c r="B363" s="17" t="s">
        <v>425</v>
      </c>
      <c r="C363" s="18" t="s">
        <v>13</v>
      </c>
      <c r="D363" s="18" t="s">
        <v>421</v>
      </c>
      <c r="E363" s="18" t="s">
        <v>15</v>
      </c>
      <c r="F363" s="18" t="s">
        <v>426</v>
      </c>
      <c r="G363" s="18"/>
      <c r="H363" s="20">
        <f>H365+H364</f>
        <v>1041.8</v>
      </c>
      <c r="I363" s="20">
        <f>I365+I364</f>
        <v>1041.8</v>
      </c>
      <c r="J363" s="21">
        <f t="shared" si="25"/>
        <v>100</v>
      </c>
    </row>
    <row r="364" spans="2:10" ht="15" hidden="1" x14ac:dyDescent="0.2">
      <c r="B364" s="17" t="s">
        <v>41</v>
      </c>
      <c r="C364" s="18" t="s">
        <v>13</v>
      </c>
      <c r="D364" s="18" t="s">
        <v>421</v>
      </c>
      <c r="E364" s="18" t="s">
        <v>15</v>
      </c>
      <c r="F364" s="18" t="s">
        <v>426</v>
      </c>
      <c r="G364" s="18" t="s">
        <v>24</v>
      </c>
      <c r="H364" s="20">
        <f>8.5-8.5</f>
        <v>0</v>
      </c>
      <c r="I364" s="20"/>
      <c r="J364" s="21" t="e">
        <f t="shared" si="25"/>
        <v>#DIV/0!</v>
      </c>
    </row>
    <row r="365" spans="2:10" ht="15" x14ac:dyDescent="0.2">
      <c r="B365" s="17" t="s">
        <v>427</v>
      </c>
      <c r="C365" s="18" t="s">
        <v>13</v>
      </c>
      <c r="D365" s="18" t="s">
        <v>421</v>
      </c>
      <c r="E365" s="18" t="s">
        <v>15</v>
      </c>
      <c r="F365" s="18" t="s">
        <v>426</v>
      </c>
      <c r="G365" s="18" t="s">
        <v>428</v>
      </c>
      <c r="H365" s="20">
        <f>1091.1-49.3</f>
        <v>1041.8</v>
      </c>
      <c r="I365" s="20">
        <v>1041.8</v>
      </c>
      <c r="J365" s="21">
        <f t="shared" si="25"/>
        <v>100</v>
      </c>
    </row>
    <row r="366" spans="2:10" s="16" customFormat="1" x14ac:dyDescent="0.25">
      <c r="B366" s="44" t="s">
        <v>429</v>
      </c>
      <c r="C366" s="13" t="s">
        <v>13</v>
      </c>
      <c r="D366" s="13" t="s">
        <v>421</v>
      </c>
      <c r="E366" s="13" t="s">
        <v>184</v>
      </c>
      <c r="F366" s="13"/>
      <c r="G366" s="13"/>
      <c r="H366" s="14">
        <f>H367+H382+H370+H378</f>
        <v>5113.7</v>
      </c>
      <c r="I366" s="14">
        <f>I367+I382+I370+I378</f>
        <v>5113.7</v>
      </c>
      <c r="J366" s="15">
        <f t="shared" si="25"/>
        <v>100</v>
      </c>
    </row>
    <row r="367" spans="2:10" s="50" customFormat="1" ht="15.75" hidden="1" customHeight="1" x14ac:dyDescent="0.2">
      <c r="B367" s="30" t="s">
        <v>86</v>
      </c>
      <c r="C367" s="18" t="s">
        <v>13</v>
      </c>
      <c r="D367" s="18" t="s">
        <v>421</v>
      </c>
      <c r="E367" s="18" t="s">
        <v>184</v>
      </c>
      <c r="F367" s="19" t="s">
        <v>87</v>
      </c>
      <c r="G367" s="18"/>
      <c r="H367" s="49">
        <f>H368</f>
        <v>0</v>
      </c>
      <c r="I367" s="49">
        <f>I368</f>
        <v>0</v>
      </c>
      <c r="J367" s="21" t="e">
        <f t="shared" si="25"/>
        <v>#DIV/0!</v>
      </c>
    </row>
    <row r="368" spans="2:10" s="50" customFormat="1" ht="39.75" hidden="1" customHeight="1" x14ac:dyDescent="0.2">
      <c r="B368" s="30" t="s">
        <v>430</v>
      </c>
      <c r="C368" s="18" t="s">
        <v>13</v>
      </c>
      <c r="D368" s="18" t="s">
        <v>421</v>
      </c>
      <c r="E368" s="18" t="s">
        <v>184</v>
      </c>
      <c r="F368" s="19" t="s">
        <v>431</v>
      </c>
      <c r="G368" s="18"/>
      <c r="H368" s="49">
        <f>H369</f>
        <v>0</v>
      </c>
      <c r="I368" s="49">
        <f>I369</f>
        <v>0</v>
      </c>
      <c r="J368" s="21" t="e">
        <f t="shared" si="25"/>
        <v>#DIV/0!</v>
      </c>
    </row>
    <row r="369" spans="2:10" s="50" customFormat="1" ht="28.5" hidden="1" customHeight="1" x14ac:dyDescent="0.2">
      <c r="B369" s="30" t="s">
        <v>432</v>
      </c>
      <c r="C369" s="18" t="s">
        <v>13</v>
      </c>
      <c r="D369" s="18" t="s">
        <v>421</v>
      </c>
      <c r="E369" s="18" t="s">
        <v>184</v>
      </c>
      <c r="F369" s="19" t="s">
        <v>431</v>
      </c>
      <c r="G369" s="18" t="s">
        <v>433</v>
      </c>
      <c r="H369" s="49">
        <v>0</v>
      </c>
      <c r="I369" s="49">
        <v>0</v>
      </c>
      <c r="J369" s="21" t="e">
        <f t="shared" si="25"/>
        <v>#DIV/0!</v>
      </c>
    </row>
    <row r="370" spans="2:10" s="50" customFormat="1" ht="25.5" x14ac:dyDescent="0.2">
      <c r="B370" s="17" t="s">
        <v>33</v>
      </c>
      <c r="C370" s="18" t="s">
        <v>13</v>
      </c>
      <c r="D370" s="18" t="s">
        <v>421</v>
      </c>
      <c r="E370" s="18" t="s">
        <v>184</v>
      </c>
      <c r="F370" s="19" t="s">
        <v>34</v>
      </c>
      <c r="G370" s="18"/>
      <c r="H370" s="49">
        <f>H372</f>
        <v>2392.3999999999996</v>
      </c>
      <c r="I370" s="49">
        <f>I372</f>
        <v>2392.3999999999996</v>
      </c>
      <c r="J370" s="21">
        <f t="shared" si="25"/>
        <v>100</v>
      </c>
    </row>
    <row r="371" spans="2:10" s="50" customFormat="1" ht="25.5" x14ac:dyDescent="0.2">
      <c r="B371" s="23" t="s">
        <v>35</v>
      </c>
      <c r="C371" s="18" t="s">
        <v>13</v>
      </c>
      <c r="D371" s="18" t="s">
        <v>421</v>
      </c>
      <c r="E371" s="18" t="s">
        <v>184</v>
      </c>
      <c r="F371" s="19" t="s">
        <v>36</v>
      </c>
      <c r="G371" s="18"/>
      <c r="H371" s="49">
        <f>H372</f>
        <v>2392.3999999999996</v>
      </c>
      <c r="I371" s="49">
        <f>I372</f>
        <v>2392.3999999999996</v>
      </c>
      <c r="J371" s="21">
        <f t="shared" si="25"/>
        <v>100</v>
      </c>
    </row>
    <row r="372" spans="2:10" s="50" customFormat="1" ht="15" x14ac:dyDescent="0.2">
      <c r="B372" s="37" t="s">
        <v>434</v>
      </c>
      <c r="C372" s="18" t="s">
        <v>13</v>
      </c>
      <c r="D372" s="18" t="s">
        <v>421</v>
      </c>
      <c r="E372" s="18" t="s">
        <v>184</v>
      </c>
      <c r="F372" s="25" t="s">
        <v>435</v>
      </c>
      <c r="G372" s="18"/>
      <c r="H372" s="49">
        <f>H373</f>
        <v>2392.3999999999996</v>
      </c>
      <c r="I372" s="49">
        <f>I373</f>
        <v>2392.3999999999996</v>
      </c>
      <c r="J372" s="21">
        <f t="shared" si="25"/>
        <v>100</v>
      </c>
    </row>
    <row r="373" spans="2:10" s="50" customFormat="1" ht="15" x14ac:dyDescent="0.2">
      <c r="B373" s="29" t="s">
        <v>436</v>
      </c>
      <c r="C373" s="18" t="s">
        <v>13</v>
      </c>
      <c r="D373" s="18" t="s">
        <v>421</v>
      </c>
      <c r="E373" s="18" t="s">
        <v>184</v>
      </c>
      <c r="F373" s="25" t="s">
        <v>437</v>
      </c>
      <c r="G373" s="18"/>
      <c r="H373" s="49">
        <f>H376+H377+H374+H375</f>
        <v>2392.3999999999996</v>
      </c>
      <c r="I373" s="49">
        <f>I376+I377+I374+I375</f>
        <v>2392.3999999999996</v>
      </c>
      <c r="J373" s="21">
        <f t="shared" si="25"/>
        <v>100</v>
      </c>
    </row>
    <row r="374" spans="2:10" s="50" customFormat="1" ht="15" x14ac:dyDescent="0.2">
      <c r="B374" s="38" t="s">
        <v>157</v>
      </c>
      <c r="C374" s="18" t="s">
        <v>13</v>
      </c>
      <c r="D374" s="18" t="s">
        <v>421</v>
      </c>
      <c r="E374" s="18" t="s">
        <v>184</v>
      </c>
      <c r="F374" s="25" t="s">
        <v>437</v>
      </c>
      <c r="G374" s="18" t="s">
        <v>158</v>
      </c>
      <c r="H374" s="35">
        <f>397.9-3.3</f>
        <v>394.59999999999997</v>
      </c>
      <c r="I374" s="35">
        <v>394.6</v>
      </c>
      <c r="J374" s="21">
        <f t="shared" si="25"/>
        <v>100.00000000000003</v>
      </c>
    </row>
    <row r="375" spans="2:10" s="50" customFormat="1" ht="15" x14ac:dyDescent="0.2">
      <c r="B375" s="17" t="s">
        <v>41</v>
      </c>
      <c r="C375" s="18" t="s">
        <v>13</v>
      </c>
      <c r="D375" s="18" t="s">
        <v>421</v>
      </c>
      <c r="E375" s="18" t="s">
        <v>184</v>
      </c>
      <c r="F375" s="25" t="s">
        <v>437</v>
      </c>
      <c r="G375" s="18" t="s">
        <v>24</v>
      </c>
      <c r="H375" s="20">
        <f>10.4-8.3+0.1</f>
        <v>2.1999999999999997</v>
      </c>
      <c r="I375" s="20">
        <v>2.2000000000000002</v>
      </c>
      <c r="J375" s="21">
        <f t="shared" si="25"/>
        <v>100.00000000000003</v>
      </c>
    </row>
    <row r="376" spans="2:10" s="50" customFormat="1" ht="15" x14ac:dyDescent="0.2">
      <c r="B376" s="30" t="s">
        <v>432</v>
      </c>
      <c r="C376" s="18" t="s">
        <v>13</v>
      </c>
      <c r="D376" s="18" t="s">
        <v>421</v>
      </c>
      <c r="E376" s="18" t="s">
        <v>184</v>
      </c>
      <c r="F376" s="25" t="s">
        <v>437</v>
      </c>
      <c r="G376" s="18" t="s">
        <v>433</v>
      </c>
      <c r="H376" s="20">
        <f>1288.6+16</f>
        <v>1304.5999999999999</v>
      </c>
      <c r="I376" s="20">
        <v>1304.5999999999999</v>
      </c>
      <c r="J376" s="21">
        <f t="shared" si="25"/>
        <v>100</v>
      </c>
    </row>
    <row r="377" spans="2:10" s="50" customFormat="1" ht="15" x14ac:dyDescent="0.2">
      <c r="B377" s="30" t="s">
        <v>127</v>
      </c>
      <c r="C377" s="18" t="s">
        <v>13</v>
      </c>
      <c r="D377" s="18" t="s">
        <v>421</v>
      </c>
      <c r="E377" s="18" t="s">
        <v>184</v>
      </c>
      <c r="F377" s="25" t="s">
        <v>437</v>
      </c>
      <c r="G377" s="18" t="s">
        <v>128</v>
      </c>
      <c r="H377" s="20">
        <f>714.6-7.6-16</f>
        <v>691</v>
      </c>
      <c r="I377" s="20">
        <v>691</v>
      </c>
      <c r="J377" s="21">
        <f t="shared" si="25"/>
        <v>100</v>
      </c>
    </row>
    <row r="378" spans="2:10" s="36" customFormat="1" ht="25.5" x14ac:dyDescent="0.2">
      <c r="B378" s="30" t="s">
        <v>279</v>
      </c>
      <c r="C378" s="18" t="s">
        <v>13</v>
      </c>
      <c r="D378" s="18" t="s">
        <v>421</v>
      </c>
      <c r="E378" s="18" t="s">
        <v>184</v>
      </c>
      <c r="F378" s="9" t="s">
        <v>280</v>
      </c>
      <c r="G378" s="18"/>
      <c r="H378" s="20">
        <f t="shared" ref="H378:I380" si="27">H379</f>
        <v>1007.7</v>
      </c>
      <c r="I378" s="20">
        <f t="shared" si="27"/>
        <v>1007.7</v>
      </c>
      <c r="J378" s="21">
        <f t="shared" si="25"/>
        <v>100</v>
      </c>
    </row>
    <row r="379" spans="2:10" s="36" customFormat="1" ht="25.5" x14ac:dyDescent="0.2">
      <c r="B379" s="17" t="s">
        <v>438</v>
      </c>
      <c r="C379" s="18" t="s">
        <v>13</v>
      </c>
      <c r="D379" s="18" t="s">
        <v>421</v>
      </c>
      <c r="E379" s="18" t="s">
        <v>184</v>
      </c>
      <c r="F379" s="9" t="s">
        <v>439</v>
      </c>
      <c r="G379" s="18"/>
      <c r="H379" s="20">
        <f t="shared" si="27"/>
        <v>1007.7</v>
      </c>
      <c r="I379" s="20">
        <f t="shared" si="27"/>
        <v>1007.7</v>
      </c>
      <c r="J379" s="21">
        <f t="shared" si="25"/>
        <v>100</v>
      </c>
    </row>
    <row r="380" spans="2:10" s="36" customFormat="1" ht="76.5" x14ac:dyDescent="0.2">
      <c r="B380" s="17" t="s">
        <v>440</v>
      </c>
      <c r="C380" s="18" t="s">
        <v>13</v>
      </c>
      <c r="D380" s="18" t="s">
        <v>421</v>
      </c>
      <c r="E380" s="18" t="s">
        <v>184</v>
      </c>
      <c r="F380" s="9" t="s">
        <v>441</v>
      </c>
      <c r="G380" s="18"/>
      <c r="H380" s="20">
        <f t="shared" si="27"/>
        <v>1007.7</v>
      </c>
      <c r="I380" s="20">
        <f t="shared" si="27"/>
        <v>1007.7</v>
      </c>
      <c r="J380" s="21">
        <f t="shared" si="25"/>
        <v>100</v>
      </c>
    </row>
    <row r="381" spans="2:10" s="36" customFormat="1" ht="15" x14ac:dyDescent="0.2">
      <c r="B381" s="30" t="s">
        <v>432</v>
      </c>
      <c r="C381" s="18" t="s">
        <v>13</v>
      </c>
      <c r="D381" s="18" t="s">
        <v>421</v>
      </c>
      <c r="E381" s="18" t="s">
        <v>184</v>
      </c>
      <c r="F381" s="9" t="s">
        <v>441</v>
      </c>
      <c r="G381" s="18" t="s">
        <v>433</v>
      </c>
      <c r="H381" s="20">
        <f>1183.4-122.4-53.3</f>
        <v>1007.7</v>
      </c>
      <c r="I381" s="35">
        <v>1007.7</v>
      </c>
      <c r="J381" s="21">
        <f t="shared" si="25"/>
        <v>100</v>
      </c>
    </row>
    <row r="382" spans="2:10" ht="25.5" x14ac:dyDescent="0.2">
      <c r="B382" s="17" t="s">
        <v>310</v>
      </c>
      <c r="C382" s="18" t="s">
        <v>13</v>
      </c>
      <c r="D382" s="18" t="s">
        <v>421</v>
      </c>
      <c r="E382" s="18" t="s">
        <v>184</v>
      </c>
      <c r="F382" s="18" t="s">
        <v>311</v>
      </c>
      <c r="G382" s="18"/>
      <c r="H382" s="20">
        <f t="shared" ref="H382:I384" si="28">H383</f>
        <v>1713.6</v>
      </c>
      <c r="I382" s="20">
        <f t="shared" si="28"/>
        <v>1713.6</v>
      </c>
      <c r="J382" s="21">
        <f t="shared" si="25"/>
        <v>100</v>
      </c>
    </row>
    <row r="383" spans="2:10" ht="25.5" x14ac:dyDescent="0.2">
      <c r="B383" s="17" t="s">
        <v>442</v>
      </c>
      <c r="C383" s="18" t="s">
        <v>13</v>
      </c>
      <c r="D383" s="18" t="s">
        <v>421</v>
      </c>
      <c r="E383" s="18" t="s">
        <v>184</v>
      </c>
      <c r="F383" s="9" t="s">
        <v>443</v>
      </c>
      <c r="G383" s="18"/>
      <c r="H383" s="20">
        <f t="shared" si="28"/>
        <v>1713.6</v>
      </c>
      <c r="I383" s="20">
        <f t="shared" si="28"/>
        <v>1713.6</v>
      </c>
      <c r="J383" s="21">
        <f t="shared" si="25"/>
        <v>100</v>
      </c>
    </row>
    <row r="384" spans="2:10" ht="15" x14ac:dyDescent="0.2">
      <c r="B384" s="37" t="s">
        <v>444</v>
      </c>
      <c r="C384" s="18" t="s">
        <v>13</v>
      </c>
      <c r="D384" s="18" t="s">
        <v>421</v>
      </c>
      <c r="E384" s="18" t="s">
        <v>184</v>
      </c>
      <c r="F384" s="9" t="s">
        <v>445</v>
      </c>
      <c r="G384" s="18"/>
      <c r="H384" s="20">
        <f t="shared" si="28"/>
        <v>1713.6</v>
      </c>
      <c r="I384" s="20">
        <f t="shared" si="28"/>
        <v>1713.6</v>
      </c>
      <c r="J384" s="21">
        <f t="shared" si="25"/>
        <v>100</v>
      </c>
    </row>
    <row r="385" spans="2:10" ht="15" x14ac:dyDescent="0.2">
      <c r="B385" s="30" t="s">
        <v>432</v>
      </c>
      <c r="C385" s="18" t="s">
        <v>13</v>
      </c>
      <c r="D385" s="18" t="s">
        <v>421</v>
      </c>
      <c r="E385" s="18" t="s">
        <v>184</v>
      </c>
      <c r="F385" s="9" t="s">
        <v>445</v>
      </c>
      <c r="G385" s="18" t="s">
        <v>433</v>
      </c>
      <c r="H385" s="20">
        <f>1578.1+126+9.5</f>
        <v>1713.6</v>
      </c>
      <c r="I385" s="20">
        <v>1713.6</v>
      </c>
      <c r="J385" s="21">
        <f t="shared" si="25"/>
        <v>100</v>
      </c>
    </row>
    <row r="386" spans="2:10" s="16" customFormat="1" ht="13.5" hidden="1" customHeight="1" x14ac:dyDescent="0.25">
      <c r="B386" s="44" t="s">
        <v>446</v>
      </c>
      <c r="C386" s="13" t="s">
        <v>13</v>
      </c>
      <c r="D386" s="13" t="s">
        <v>421</v>
      </c>
      <c r="E386" s="13" t="s">
        <v>332</v>
      </c>
      <c r="F386" s="13"/>
      <c r="G386" s="13"/>
      <c r="H386" s="14">
        <f>H387</f>
        <v>0</v>
      </c>
      <c r="I386" s="14">
        <f>I387</f>
        <v>0</v>
      </c>
      <c r="J386" s="21" t="e">
        <f t="shared" si="25"/>
        <v>#DIV/0!</v>
      </c>
    </row>
    <row r="387" spans="2:10" ht="26.25" hidden="1" customHeight="1" x14ac:dyDescent="0.2">
      <c r="B387" s="17" t="s">
        <v>447</v>
      </c>
      <c r="C387" s="18" t="s">
        <v>13</v>
      </c>
      <c r="D387" s="18" t="s">
        <v>421</v>
      </c>
      <c r="E387" s="18" t="s">
        <v>332</v>
      </c>
      <c r="F387" s="18" t="s">
        <v>61</v>
      </c>
      <c r="G387" s="18"/>
      <c r="H387" s="20">
        <f>H388+H391</f>
        <v>0</v>
      </c>
      <c r="I387" s="20">
        <f>I388+I391</f>
        <v>0</v>
      </c>
      <c r="J387" s="21" t="e">
        <f t="shared" si="25"/>
        <v>#DIV/0!</v>
      </c>
    </row>
    <row r="388" spans="2:10" ht="27" hidden="1" customHeight="1" x14ac:dyDescent="0.2">
      <c r="B388" s="29" t="s">
        <v>448</v>
      </c>
      <c r="C388" s="18" t="s">
        <v>13</v>
      </c>
      <c r="D388" s="18" t="s">
        <v>421</v>
      </c>
      <c r="E388" s="18" t="s">
        <v>332</v>
      </c>
      <c r="F388" s="25" t="s">
        <v>188</v>
      </c>
      <c r="G388" s="18"/>
      <c r="H388" s="20">
        <f>H389</f>
        <v>0</v>
      </c>
      <c r="I388" s="20">
        <f>I389</f>
        <v>0</v>
      </c>
      <c r="J388" s="21" t="e">
        <f t="shared" si="25"/>
        <v>#DIV/0!</v>
      </c>
    </row>
    <row r="389" spans="2:10" ht="14.25" hidden="1" customHeight="1" x14ac:dyDescent="0.2">
      <c r="B389" s="29" t="s">
        <v>436</v>
      </c>
      <c r="C389" s="18" t="s">
        <v>13</v>
      </c>
      <c r="D389" s="18" t="s">
        <v>421</v>
      </c>
      <c r="E389" s="18" t="s">
        <v>332</v>
      </c>
      <c r="F389" s="25" t="s">
        <v>449</v>
      </c>
      <c r="G389" s="18"/>
      <c r="H389" s="20">
        <f>H390</f>
        <v>0</v>
      </c>
      <c r="I389" s="20">
        <f>I390</f>
        <v>0</v>
      </c>
      <c r="J389" s="21" t="e">
        <f t="shared" si="25"/>
        <v>#DIV/0!</v>
      </c>
    </row>
    <row r="390" spans="2:10" ht="25.5" hidden="1" customHeight="1" x14ac:dyDescent="0.2">
      <c r="B390" s="29" t="s">
        <v>23</v>
      </c>
      <c r="C390" s="18" t="s">
        <v>13</v>
      </c>
      <c r="D390" s="18" t="s">
        <v>421</v>
      </c>
      <c r="E390" s="18" t="s">
        <v>332</v>
      </c>
      <c r="F390" s="25" t="s">
        <v>449</v>
      </c>
      <c r="G390" s="18" t="s">
        <v>24</v>
      </c>
      <c r="H390" s="20"/>
      <c r="I390" s="20"/>
      <c r="J390" s="21" t="e">
        <f t="shared" si="25"/>
        <v>#DIV/0!</v>
      </c>
    </row>
    <row r="391" spans="2:10" ht="39.75" hidden="1" customHeight="1" x14ac:dyDescent="0.2">
      <c r="B391" s="29" t="s">
        <v>450</v>
      </c>
      <c r="C391" s="18" t="s">
        <v>13</v>
      </c>
      <c r="D391" s="18" t="s">
        <v>421</v>
      </c>
      <c r="E391" s="18" t="s">
        <v>332</v>
      </c>
      <c r="F391" s="25" t="s">
        <v>173</v>
      </c>
      <c r="G391" s="18"/>
      <c r="H391" s="20">
        <f>H392</f>
        <v>0</v>
      </c>
      <c r="I391" s="20">
        <f>I392</f>
        <v>0</v>
      </c>
      <c r="J391" s="21" t="e">
        <f t="shared" si="25"/>
        <v>#DIV/0!</v>
      </c>
    </row>
    <row r="392" spans="2:10" ht="13.5" hidden="1" customHeight="1" x14ac:dyDescent="0.2">
      <c r="B392" s="29" t="s">
        <v>436</v>
      </c>
      <c r="C392" s="18" t="s">
        <v>13</v>
      </c>
      <c r="D392" s="18" t="s">
        <v>421</v>
      </c>
      <c r="E392" s="18" t="s">
        <v>332</v>
      </c>
      <c r="F392" s="25" t="s">
        <v>451</v>
      </c>
      <c r="G392" s="18"/>
      <c r="H392" s="20">
        <f>H393</f>
        <v>0</v>
      </c>
      <c r="I392" s="20">
        <f>I393</f>
        <v>0</v>
      </c>
      <c r="J392" s="21" t="e">
        <f t="shared" si="25"/>
        <v>#DIV/0!</v>
      </c>
    </row>
    <row r="393" spans="2:10" ht="27" hidden="1" customHeight="1" x14ac:dyDescent="0.2">
      <c r="B393" s="29" t="s">
        <v>23</v>
      </c>
      <c r="C393" s="18" t="s">
        <v>13</v>
      </c>
      <c r="D393" s="18" t="s">
        <v>421</v>
      </c>
      <c r="E393" s="18" t="s">
        <v>332</v>
      </c>
      <c r="F393" s="25" t="s">
        <v>451</v>
      </c>
      <c r="G393" s="18" t="s">
        <v>24</v>
      </c>
      <c r="H393" s="20"/>
      <c r="I393" s="20"/>
      <c r="J393" s="21" t="e">
        <f t="shared" ref="J393:J456" si="29">I393/H393*100</f>
        <v>#DIV/0!</v>
      </c>
    </row>
    <row r="394" spans="2:10" s="16" customFormat="1" x14ac:dyDescent="0.25">
      <c r="B394" s="51" t="s">
        <v>452</v>
      </c>
      <c r="C394" s="13" t="s">
        <v>13</v>
      </c>
      <c r="D394" s="13" t="s">
        <v>90</v>
      </c>
      <c r="E394" s="13"/>
      <c r="F394" s="52"/>
      <c r="G394" s="13"/>
      <c r="H394" s="14">
        <f>H395+H408</f>
        <v>13691.5</v>
      </c>
      <c r="I394" s="14">
        <f>I395+I408</f>
        <v>13674.199999999999</v>
      </c>
      <c r="J394" s="15">
        <f t="shared" si="29"/>
        <v>99.873644231822652</v>
      </c>
    </row>
    <row r="395" spans="2:10" s="16" customFormat="1" x14ac:dyDescent="0.25">
      <c r="B395" s="12" t="s">
        <v>453</v>
      </c>
      <c r="C395" s="13" t="s">
        <v>13</v>
      </c>
      <c r="D395" s="13" t="s">
        <v>90</v>
      </c>
      <c r="E395" s="13" t="s">
        <v>15</v>
      </c>
      <c r="F395" s="13"/>
      <c r="G395" s="13"/>
      <c r="H395" s="14">
        <f>H396</f>
        <v>13691.5</v>
      </c>
      <c r="I395" s="14">
        <f>I396</f>
        <v>13674.199999999999</v>
      </c>
      <c r="J395" s="15">
        <f t="shared" si="29"/>
        <v>99.873644231822652</v>
      </c>
    </row>
    <row r="396" spans="2:10" ht="25.5" x14ac:dyDescent="0.2">
      <c r="B396" s="30" t="s">
        <v>454</v>
      </c>
      <c r="C396" s="18" t="s">
        <v>13</v>
      </c>
      <c r="D396" s="18" t="s">
        <v>90</v>
      </c>
      <c r="E396" s="18" t="s">
        <v>15</v>
      </c>
      <c r="F396" s="9" t="s">
        <v>455</v>
      </c>
      <c r="G396" s="18"/>
      <c r="H396" s="49">
        <f>H397</f>
        <v>13691.5</v>
      </c>
      <c r="I396" s="49">
        <f>I397</f>
        <v>13674.199999999999</v>
      </c>
      <c r="J396" s="21">
        <f t="shared" si="29"/>
        <v>99.873644231822652</v>
      </c>
    </row>
    <row r="397" spans="2:10" ht="25.5" x14ac:dyDescent="0.2">
      <c r="B397" s="17" t="s">
        <v>456</v>
      </c>
      <c r="C397" s="18" t="s">
        <v>13</v>
      </c>
      <c r="D397" s="18" t="s">
        <v>90</v>
      </c>
      <c r="E397" s="18" t="s">
        <v>15</v>
      </c>
      <c r="F397" s="9" t="s">
        <v>457</v>
      </c>
      <c r="G397" s="18"/>
      <c r="H397" s="49">
        <f>H398+H402+H406+H400</f>
        <v>13691.5</v>
      </c>
      <c r="I397" s="49">
        <f>I398+I402+I406+I400</f>
        <v>13674.199999999999</v>
      </c>
      <c r="J397" s="21">
        <f t="shared" si="29"/>
        <v>99.873644231822652</v>
      </c>
    </row>
    <row r="398" spans="2:10" ht="15" x14ac:dyDescent="0.2">
      <c r="B398" s="37" t="s">
        <v>155</v>
      </c>
      <c r="C398" s="18" t="s">
        <v>13</v>
      </c>
      <c r="D398" s="18" t="s">
        <v>90</v>
      </c>
      <c r="E398" s="18" t="s">
        <v>15</v>
      </c>
      <c r="F398" s="9" t="s">
        <v>458</v>
      </c>
      <c r="G398" s="18"/>
      <c r="H398" s="49">
        <f>H399</f>
        <v>11551.900000000001</v>
      </c>
      <c r="I398" s="49">
        <f>I399</f>
        <v>11551.9</v>
      </c>
      <c r="J398" s="21">
        <f t="shared" si="29"/>
        <v>99.999999999999986</v>
      </c>
    </row>
    <row r="399" spans="2:10" ht="15" x14ac:dyDescent="0.2">
      <c r="B399" s="30" t="s">
        <v>171</v>
      </c>
      <c r="C399" s="18" t="s">
        <v>13</v>
      </c>
      <c r="D399" s="18" t="s">
        <v>90</v>
      </c>
      <c r="E399" s="18" t="s">
        <v>15</v>
      </c>
      <c r="F399" s="9" t="s">
        <v>458</v>
      </c>
      <c r="G399" s="18" t="s">
        <v>128</v>
      </c>
      <c r="H399" s="20">
        <f>11778.7-226.8</f>
        <v>11551.900000000001</v>
      </c>
      <c r="I399" s="20">
        <v>11551.9</v>
      </c>
      <c r="J399" s="21">
        <f t="shared" si="29"/>
        <v>99.999999999999986</v>
      </c>
    </row>
    <row r="400" spans="2:10" ht="25.5" x14ac:dyDescent="0.2">
      <c r="B400" s="30" t="s">
        <v>56</v>
      </c>
      <c r="C400" s="18" t="s">
        <v>13</v>
      </c>
      <c r="D400" s="18" t="s">
        <v>90</v>
      </c>
      <c r="E400" s="18" t="s">
        <v>15</v>
      </c>
      <c r="F400" s="9" t="s">
        <v>459</v>
      </c>
      <c r="G400" s="18"/>
      <c r="H400" s="20">
        <f>H401</f>
        <v>1581.3</v>
      </c>
      <c r="I400" s="20">
        <f>I401</f>
        <v>1581.3</v>
      </c>
      <c r="J400" s="21">
        <f t="shared" si="29"/>
        <v>100</v>
      </c>
    </row>
    <row r="401" spans="2:10" ht="15" x14ac:dyDescent="0.2">
      <c r="B401" s="30" t="s">
        <v>171</v>
      </c>
      <c r="C401" s="18" t="s">
        <v>13</v>
      </c>
      <c r="D401" s="18" t="s">
        <v>90</v>
      </c>
      <c r="E401" s="18" t="s">
        <v>15</v>
      </c>
      <c r="F401" s="9" t="s">
        <v>459</v>
      </c>
      <c r="G401" s="18" t="s">
        <v>128</v>
      </c>
      <c r="H401" s="20">
        <f>300+1281.3</f>
        <v>1581.3</v>
      </c>
      <c r="I401" s="20">
        <v>1581.3</v>
      </c>
      <c r="J401" s="21">
        <f t="shared" si="29"/>
        <v>100</v>
      </c>
    </row>
    <row r="402" spans="2:10" ht="15" x14ac:dyDescent="0.2">
      <c r="B402" s="37" t="s">
        <v>460</v>
      </c>
      <c r="C402" s="18" t="s">
        <v>13</v>
      </c>
      <c r="D402" s="18" t="s">
        <v>90</v>
      </c>
      <c r="E402" s="18" t="s">
        <v>15</v>
      </c>
      <c r="F402" s="9" t="s">
        <v>461</v>
      </c>
      <c r="G402" s="18"/>
      <c r="H402" s="49">
        <f>H403+H404+H405</f>
        <v>225</v>
      </c>
      <c r="I402" s="49">
        <f>I403+I404+I405</f>
        <v>207.7</v>
      </c>
      <c r="J402" s="21">
        <f t="shared" si="29"/>
        <v>92.311111111111117</v>
      </c>
    </row>
    <row r="403" spans="2:10" ht="15" x14ac:dyDescent="0.2">
      <c r="B403" s="42" t="s">
        <v>29</v>
      </c>
      <c r="C403" s="18" t="s">
        <v>13</v>
      </c>
      <c r="D403" s="18" t="s">
        <v>90</v>
      </c>
      <c r="E403" s="18" t="s">
        <v>15</v>
      </c>
      <c r="F403" s="9" t="s">
        <v>461</v>
      </c>
      <c r="G403" s="18" t="s">
        <v>30</v>
      </c>
      <c r="H403" s="20">
        <f>50-13.4</f>
        <v>36.6</v>
      </c>
      <c r="I403" s="20">
        <v>36.6</v>
      </c>
      <c r="J403" s="21">
        <f t="shared" si="29"/>
        <v>100</v>
      </c>
    </row>
    <row r="404" spans="2:10" ht="15" x14ac:dyDescent="0.2">
      <c r="B404" s="17" t="s">
        <v>41</v>
      </c>
      <c r="C404" s="18" t="s">
        <v>13</v>
      </c>
      <c r="D404" s="18" t="s">
        <v>90</v>
      </c>
      <c r="E404" s="18" t="s">
        <v>15</v>
      </c>
      <c r="F404" s="9" t="s">
        <v>461</v>
      </c>
      <c r="G404" s="18" t="s">
        <v>24</v>
      </c>
      <c r="H404" s="20">
        <f>188.5-26.1</f>
        <v>162.4</v>
      </c>
      <c r="I404" s="20">
        <v>145.1</v>
      </c>
      <c r="J404" s="21">
        <f t="shared" si="29"/>
        <v>89.347290640394078</v>
      </c>
    </row>
    <row r="405" spans="2:10" ht="15" x14ac:dyDescent="0.2">
      <c r="B405" s="30" t="s">
        <v>171</v>
      </c>
      <c r="C405" s="18" t="s">
        <v>13</v>
      </c>
      <c r="D405" s="18" t="s">
        <v>90</v>
      </c>
      <c r="E405" s="18" t="s">
        <v>15</v>
      </c>
      <c r="F405" s="9" t="s">
        <v>461</v>
      </c>
      <c r="G405" s="18" t="s">
        <v>128</v>
      </c>
      <c r="H405" s="20">
        <f>71-45</f>
        <v>26</v>
      </c>
      <c r="I405" s="20">
        <v>26</v>
      </c>
      <c r="J405" s="21">
        <f t="shared" si="29"/>
        <v>100</v>
      </c>
    </row>
    <row r="406" spans="2:10" ht="25.5" x14ac:dyDescent="0.2">
      <c r="B406" s="30" t="s">
        <v>462</v>
      </c>
      <c r="C406" s="18" t="s">
        <v>13</v>
      </c>
      <c r="D406" s="18" t="s">
        <v>90</v>
      </c>
      <c r="E406" s="18" t="s">
        <v>15</v>
      </c>
      <c r="F406" s="9" t="s">
        <v>463</v>
      </c>
      <c r="G406" s="18"/>
      <c r="H406" s="49">
        <f>H407</f>
        <v>333.3</v>
      </c>
      <c r="I406" s="49">
        <f>I407</f>
        <v>333.3</v>
      </c>
      <c r="J406" s="21">
        <f t="shared" si="29"/>
        <v>100</v>
      </c>
    </row>
    <row r="407" spans="2:10" ht="15" x14ac:dyDescent="0.2">
      <c r="B407" s="17" t="s">
        <v>41</v>
      </c>
      <c r="C407" s="18" t="s">
        <v>13</v>
      </c>
      <c r="D407" s="18" t="s">
        <v>90</v>
      </c>
      <c r="E407" s="18" t="s">
        <v>15</v>
      </c>
      <c r="F407" s="9" t="s">
        <v>463</v>
      </c>
      <c r="G407" s="18" t="s">
        <v>24</v>
      </c>
      <c r="H407" s="20">
        <f>300+33.3</f>
        <v>333.3</v>
      </c>
      <c r="I407" s="20">
        <v>333.3</v>
      </c>
      <c r="J407" s="21">
        <f t="shared" si="29"/>
        <v>100</v>
      </c>
    </row>
    <row r="408" spans="2:10" s="16" customFormat="1" ht="17.25" hidden="1" customHeight="1" x14ac:dyDescent="0.25">
      <c r="B408" s="12" t="s">
        <v>464</v>
      </c>
      <c r="C408" s="13" t="s">
        <v>13</v>
      </c>
      <c r="D408" s="13" t="s">
        <v>90</v>
      </c>
      <c r="E408" s="13" t="s">
        <v>85</v>
      </c>
      <c r="F408" s="8"/>
      <c r="G408" s="13"/>
      <c r="H408" s="14">
        <f>H409+H416</f>
        <v>0</v>
      </c>
      <c r="I408" s="14">
        <f>I409+I416</f>
        <v>0</v>
      </c>
      <c r="J408" s="21" t="e">
        <f t="shared" si="29"/>
        <v>#DIV/0!</v>
      </c>
    </row>
    <row r="409" spans="2:10" ht="32.25" hidden="1" customHeight="1" x14ac:dyDescent="0.2">
      <c r="B409" s="17" t="s">
        <v>465</v>
      </c>
      <c r="C409" s="18" t="s">
        <v>13</v>
      </c>
      <c r="D409" s="18" t="s">
        <v>90</v>
      </c>
      <c r="E409" s="18" t="s">
        <v>85</v>
      </c>
      <c r="F409" s="9" t="s">
        <v>122</v>
      </c>
      <c r="G409" s="18"/>
      <c r="H409" s="20">
        <f>H410</f>
        <v>0</v>
      </c>
      <c r="I409" s="20">
        <f>I410</f>
        <v>0</v>
      </c>
      <c r="J409" s="21" t="e">
        <f t="shared" si="29"/>
        <v>#DIV/0!</v>
      </c>
    </row>
    <row r="410" spans="2:10" ht="18.75" hidden="1" customHeight="1" x14ac:dyDescent="0.2">
      <c r="B410" s="17" t="s">
        <v>466</v>
      </c>
      <c r="C410" s="18" t="s">
        <v>13</v>
      </c>
      <c r="D410" s="18" t="s">
        <v>90</v>
      </c>
      <c r="E410" s="18" t="s">
        <v>85</v>
      </c>
      <c r="F410" s="9" t="s">
        <v>124</v>
      </c>
      <c r="G410" s="18"/>
      <c r="H410" s="20">
        <f>H411</f>
        <v>0</v>
      </c>
      <c r="I410" s="20">
        <f>I411</f>
        <v>0</v>
      </c>
      <c r="J410" s="21" t="e">
        <f t="shared" si="29"/>
        <v>#DIV/0!</v>
      </c>
    </row>
    <row r="411" spans="2:10" ht="26.25" hidden="1" customHeight="1" x14ac:dyDescent="0.2">
      <c r="B411" s="30" t="s">
        <v>467</v>
      </c>
      <c r="C411" s="18" t="s">
        <v>13</v>
      </c>
      <c r="D411" s="18" t="s">
        <v>90</v>
      </c>
      <c r="E411" s="18" t="s">
        <v>85</v>
      </c>
      <c r="F411" s="9" t="s">
        <v>468</v>
      </c>
      <c r="G411" s="18"/>
      <c r="H411" s="20">
        <f>H412+H414</f>
        <v>0</v>
      </c>
      <c r="I411" s="20">
        <f>I412+I414</f>
        <v>0</v>
      </c>
      <c r="J411" s="21" t="e">
        <f t="shared" si="29"/>
        <v>#DIV/0!</v>
      </c>
    </row>
    <row r="412" spans="2:10" ht="17.25" hidden="1" customHeight="1" x14ac:dyDescent="0.2">
      <c r="B412" s="30" t="s">
        <v>469</v>
      </c>
      <c r="C412" s="18" t="s">
        <v>13</v>
      </c>
      <c r="D412" s="18" t="s">
        <v>90</v>
      </c>
      <c r="E412" s="18" t="s">
        <v>85</v>
      </c>
      <c r="F412" s="9" t="s">
        <v>470</v>
      </c>
      <c r="G412" s="18"/>
      <c r="H412" s="20">
        <f>H413</f>
        <v>0</v>
      </c>
      <c r="I412" s="20">
        <f>I413</f>
        <v>0</v>
      </c>
      <c r="J412" s="21" t="e">
        <f t="shared" si="29"/>
        <v>#DIV/0!</v>
      </c>
    </row>
    <row r="413" spans="2:10" ht="15.75" hidden="1" customHeight="1" x14ac:dyDescent="0.2">
      <c r="B413" s="30" t="s">
        <v>289</v>
      </c>
      <c r="C413" s="18" t="s">
        <v>13</v>
      </c>
      <c r="D413" s="18" t="s">
        <v>90</v>
      </c>
      <c r="E413" s="18" t="s">
        <v>85</v>
      </c>
      <c r="F413" s="9" t="s">
        <v>470</v>
      </c>
      <c r="G413" s="18" t="s">
        <v>290</v>
      </c>
      <c r="H413" s="20">
        <v>0</v>
      </c>
      <c r="I413" s="20">
        <v>0</v>
      </c>
      <c r="J413" s="21" t="e">
        <f t="shared" si="29"/>
        <v>#DIV/0!</v>
      </c>
    </row>
    <row r="414" spans="2:10" ht="24" hidden="1" customHeight="1" x14ac:dyDescent="0.2">
      <c r="B414" s="30" t="s">
        <v>471</v>
      </c>
      <c r="C414" s="18" t="s">
        <v>13</v>
      </c>
      <c r="D414" s="18" t="s">
        <v>90</v>
      </c>
      <c r="E414" s="18" t="s">
        <v>85</v>
      </c>
      <c r="F414" s="9" t="s">
        <v>472</v>
      </c>
      <c r="G414" s="18"/>
      <c r="H414" s="20">
        <f>H415</f>
        <v>0</v>
      </c>
      <c r="I414" s="20">
        <f>I415</f>
        <v>0</v>
      </c>
      <c r="J414" s="21" t="e">
        <f t="shared" si="29"/>
        <v>#DIV/0!</v>
      </c>
    </row>
    <row r="415" spans="2:10" ht="15.75" hidden="1" customHeight="1" x14ac:dyDescent="0.2">
      <c r="B415" s="30" t="s">
        <v>289</v>
      </c>
      <c r="C415" s="18" t="s">
        <v>13</v>
      </c>
      <c r="D415" s="18" t="s">
        <v>90</v>
      </c>
      <c r="E415" s="18" t="s">
        <v>85</v>
      </c>
      <c r="F415" s="9" t="s">
        <v>472</v>
      </c>
      <c r="G415" s="18" t="s">
        <v>290</v>
      </c>
      <c r="H415" s="20">
        <v>0</v>
      </c>
      <c r="I415" s="20">
        <v>0</v>
      </c>
      <c r="J415" s="21" t="e">
        <f t="shared" si="29"/>
        <v>#DIV/0!</v>
      </c>
    </row>
    <row r="416" spans="2:10" ht="27.75" hidden="1" customHeight="1" x14ac:dyDescent="0.2">
      <c r="B416" s="30" t="s">
        <v>454</v>
      </c>
      <c r="C416" s="18" t="s">
        <v>13</v>
      </c>
      <c r="D416" s="18" t="s">
        <v>90</v>
      </c>
      <c r="E416" s="18" t="s">
        <v>85</v>
      </c>
      <c r="F416" s="9" t="s">
        <v>455</v>
      </c>
      <c r="G416" s="18"/>
      <c r="H416" s="20">
        <f t="shared" ref="H416:I418" si="30">H417</f>
        <v>0</v>
      </c>
      <c r="I416" s="20">
        <f t="shared" si="30"/>
        <v>0</v>
      </c>
      <c r="J416" s="21" t="e">
        <f t="shared" si="29"/>
        <v>#DIV/0!</v>
      </c>
    </row>
    <row r="417" spans="2:10" ht="27.75" hidden="1" customHeight="1" x14ac:dyDescent="0.2">
      <c r="B417" s="30" t="s">
        <v>467</v>
      </c>
      <c r="C417" s="18" t="s">
        <v>13</v>
      </c>
      <c r="D417" s="18" t="s">
        <v>90</v>
      </c>
      <c r="E417" s="18" t="s">
        <v>85</v>
      </c>
      <c r="F417" s="9" t="s">
        <v>473</v>
      </c>
      <c r="G417" s="18"/>
      <c r="H417" s="20">
        <f t="shared" si="30"/>
        <v>0</v>
      </c>
      <c r="I417" s="20">
        <f t="shared" si="30"/>
        <v>0</v>
      </c>
      <c r="J417" s="21" t="e">
        <f t="shared" si="29"/>
        <v>#DIV/0!</v>
      </c>
    </row>
    <row r="418" spans="2:10" ht="30" hidden="1" customHeight="1" x14ac:dyDescent="0.2">
      <c r="B418" s="30" t="s">
        <v>471</v>
      </c>
      <c r="C418" s="18" t="s">
        <v>13</v>
      </c>
      <c r="D418" s="18" t="s">
        <v>90</v>
      </c>
      <c r="E418" s="18" t="s">
        <v>85</v>
      </c>
      <c r="F418" s="9" t="s">
        <v>474</v>
      </c>
      <c r="G418" s="18"/>
      <c r="H418" s="20">
        <f t="shared" si="30"/>
        <v>0</v>
      </c>
      <c r="I418" s="20">
        <f t="shared" si="30"/>
        <v>0</v>
      </c>
      <c r="J418" s="21" t="e">
        <f t="shared" si="29"/>
        <v>#DIV/0!</v>
      </c>
    </row>
    <row r="419" spans="2:10" ht="15.75" hidden="1" customHeight="1" x14ac:dyDescent="0.2">
      <c r="B419" s="30" t="s">
        <v>289</v>
      </c>
      <c r="C419" s="18" t="s">
        <v>13</v>
      </c>
      <c r="D419" s="18" t="s">
        <v>90</v>
      </c>
      <c r="E419" s="18" t="s">
        <v>85</v>
      </c>
      <c r="F419" s="9" t="s">
        <v>474</v>
      </c>
      <c r="G419" s="18" t="s">
        <v>290</v>
      </c>
      <c r="H419" s="20">
        <v>0</v>
      </c>
      <c r="I419" s="20">
        <v>0</v>
      </c>
      <c r="J419" s="21" t="e">
        <f t="shared" si="29"/>
        <v>#DIV/0!</v>
      </c>
    </row>
    <row r="420" spans="2:10" s="16" customFormat="1" x14ac:dyDescent="0.25">
      <c r="B420" s="44" t="s">
        <v>475</v>
      </c>
      <c r="C420" s="13" t="s">
        <v>476</v>
      </c>
      <c r="D420" s="13"/>
      <c r="E420" s="13"/>
      <c r="F420" s="13"/>
      <c r="G420" s="13"/>
      <c r="H420" s="14">
        <f>H421</f>
        <v>4154.2</v>
      </c>
      <c r="I420" s="14">
        <f>I421</f>
        <v>4154.2</v>
      </c>
      <c r="J420" s="15">
        <f t="shared" si="29"/>
        <v>100</v>
      </c>
    </row>
    <row r="421" spans="2:10" s="16" customFormat="1" x14ac:dyDescent="0.25">
      <c r="B421" s="44" t="s">
        <v>14</v>
      </c>
      <c r="C421" s="13" t="s">
        <v>476</v>
      </c>
      <c r="D421" s="13" t="s">
        <v>15</v>
      </c>
      <c r="E421" s="13"/>
      <c r="F421" s="13"/>
      <c r="G421" s="13"/>
      <c r="H421" s="14">
        <f>H434+H422</f>
        <v>4154.2</v>
      </c>
      <c r="I421" s="14">
        <f>I434+I422</f>
        <v>4154.2</v>
      </c>
      <c r="J421" s="15">
        <f t="shared" si="29"/>
        <v>100</v>
      </c>
    </row>
    <row r="422" spans="2:10" s="16" customFormat="1" ht="25.5" x14ac:dyDescent="0.25">
      <c r="B422" s="12" t="s">
        <v>477</v>
      </c>
      <c r="C422" s="13" t="s">
        <v>476</v>
      </c>
      <c r="D422" s="13" t="s">
        <v>15</v>
      </c>
      <c r="E422" s="13" t="s">
        <v>292</v>
      </c>
      <c r="F422" s="13"/>
      <c r="G422" s="13"/>
      <c r="H422" s="14">
        <f>H423+H429</f>
        <v>1811.5</v>
      </c>
      <c r="I422" s="14">
        <f>I423+I429</f>
        <v>1811.5</v>
      </c>
      <c r="J422" s="15">
        <f t="shared" si="29"/>
        <v>100</v>
      </c>
    </row>
    <row r="423" spans="2:10" ht="12.75" x14ac:dyDescent="0.2">
      <c r="B423" s="24" t="s">
        <v>478</v>
      </c>
      <c r="C423" s="18" t="s">
        <v>476</v>
      </c>
      <c r="D423" s="18" t="s">
        <v>15</v>
      </c>
      <c r="E423" s="18" t="s">
        <v>292</v>
      </c>
      <c r="F423" s="19" t="s">
        <v>479</v>
      </c>
      <c r="G423" s="18"/>
      <c r="H423" s="20">
        <f>H424</f>
        <v>1671.5</v>
      </c>
      <c r="I423" s="20">
        <f>I424</f>
        <v>1671.5</v>
      </c>
      <c r="J423" s="21">
        <f t="shared" si="29"/>
        <v>100</v>
      </c>
    </row>
    <row r="424" spans="2:10" ht="12.75" x14ac:dyDescent="0.2">
      <c r="B424" s="17" t="s">
        <v>480</v>
      </c>
      <c r="C424" s="18" t="s">
        <v>476</v>
      </c>
      <c r="D424" s="18" t="s">
        <v>15</v>
      </c>
      <c r="E424" s="18" t="s">
        <v>292</v>
      </c>
      <c r="F424" s="19" t="s">
        <v>481</v>
      </c>
      <c r="G424" s="18"/>
      <c r="H424" s="20">
        <f>H425+H427</f>
        <v>1671.5</v>
      </c>
      <c r="I424" s="20">
        <f>I425+I427</f>
        <v>1671.5</v>
      </c>
      <c r="J424" s="21">
        <f t="shared" si="29"/>
        <v>100</v>
      </c>
    </row>
    <row r="425" spans="2:10" ht="12.75" x14ac:dyDescent="0.2">
      <c r="B425" s="17" t="s">
        <v>48</v>
      </c>
      <c r="C425" s="18" t="s">
        <v>476</v>
      </c>
      <c r="D425" s="18" t="s">
        <v>15</v>
      </c>
      <c r="E425" s="18" t="s">
        <v>292</v>
      </c>
      <c r="F425" s="19" t="s">
        <v>482</v>
      </c>
      <c r="G425" s="18"/>
      <c r="H425" s="20">
        <f>H426</f>
        <v>16.300000000000047</v>
      </c>
      <c r="I425" s="20">
        <f>I426</f>
        <v>16.3</v>
      </c>
      <c r="J425" s="21">
        <f t="shared" si="29"/>
        <v>99.999999999999716</v>
      </c>
    </row>
    <row r="426" spans="2:10" ht="12.75" x14ac:dyDescent="0.2">
      <c r="B426" s="24" t="s">
        <v>29</v>
      </c>
      <c r="C426" s="18" t="s">
        <v>476</v>
      </c>
      <c r="D426" s="18" t="s">
        <v>15</v>
      </c>
      <c r="E426" s="18" t="s">
        <v>292</v>
      </c>
      <c r="F426" s="19" t="s">
        <v>482</v>
      </c>
      <c r="G426" s="18" t="s">
        <v>30</v>
      </c>
      <c r="H426" s="20">
        <f>1671.4-1655.2+0.1</f>
        <v>16.300000000000047</v>
      </c>
      <c r="I426" s="20">
        <v>16.3</v>
      </c>
      <c r="J426" s="21">
        <f t="shared" si="29"/>
        <v>99.999999999999716</v>
      </c>
    </row>
    <row r="427" spans="2:10" ht="25.5" x14ac:dyDescent="0.2">
      <c r="B427" s="28" t="s">
        <v>56</v>
      </c>
      <c r="C427" s="18" t="s">
        <v>476</v>
      </c>
      <c r="D427" s="18" t="s">
        <v>15</v>
      </c>
      <c r="E427" s="18" t="s">
        <v>292</v>
      </c>
      <c r="F427" s="19" t="s">
        <v>483</v>
      </c>
      <c r="G427" s="19"/>
      <c r="H427" s="20">
        <f>H428</f>
        <v>1655.2</v>
      </c>
      <c r="I427" s="20">
        <f>I428</f>
        <v>1655.2</v>
      </c>
      <c r="J427" s="21">
        <f t="shared" si="29"/>
        <v>100</v>
      </c>
    </row>
    <row r="428" spans="2:10" ht="12.75" x14ac:dyDescent="0.2">
      <c r="B428" s="28" t="s">
        <v>29</v>
      </c>
      <c r="C428" s="18" t="s">
        <v>476</v>
      </c>
      <c r="D428" s="18" t="s">
        <v>15</v>
      </c>
      <c r="E428" s="18" t="s">
        <v>292</v>
      </c>
      <c r="F428" s="19" t="s">
        <v>483</v>
      </c>
      <c r="G428" s="19" t="s">
        <v>30</v>
      </c>
      <c r="H428" s="20">
        <v>1655.2</v>
      </c>
      <c r="I428" s="20">
        <v>1655.2</v>
      </c>
      <c r="J428" s="21">
        <f t="shared" si="29"/>
        <v>100</v>
      </c>
    </row>
    <row r="429" spans="2:10" ht="25.5" x14ac:dyDescent="0.2">
      <c r="B429" s="24" t="s">
        <v>484</v>
      </c>
      <c r="C429" s="18" t="s">
        <v>476</v>
      </c>
      <c r="D429" s="18" t="s">
        <v>15</v>
      </c>
      <c r="E429" s="18" t="s">
        <v>292</v>
      </c>
      <c r="F429" s="19" t="s">
        <v>43</v>
      </c>
      <c r="G429" s="18"/>
      <c r="H429" s="20">
        <f t="shared" ref="H429:I431" si="31">H430</f>
        <v>140</v>
      </c>
      <c r="I429" s="20">
        <f t="shared" si="31"/>
        <v>140</v>
      </c>
      <c r="J429" s="21">
        <f t="shared" si="29"/>
        <v>100</v>
      </c>
    </row>
    <row r="430" spans="2:10" ht="25.5" x14ac:dyDescent="0.2">
      <c r="B430" s="24" t="s">
        <v>44</v>
      </c>
      <c r="C430" s="18" t="s">
        <v>476</v>
      </c>
      <c r="D430" s="18" t="s">
        <v>15</v>
      </c>
      <c r="E430" s="18" t="s">
        <v>292</v>
      </c>
      <c r="F430" s="19" t="s">
        <v>45</v>
      </c>
      <c r="G430" s="18"/>
      <c r="H430" s="20">
        <f t="shared" si="31"/>
        <v>140</v>
      </c>
      <c r="I430" s="20">
        <f t="shared" si="31"/>
        <v>140</v>
      </c>
      <c r="J430" s="21">
        <f t="shared" si="29"/>
        <v>100</v>
      </c>
    </row>
    <row r="431" spans="2:10" ht="25.5" x14ac:dyDescent="0.2">
      <c r="B431" s="17" t="s">
        <v>52</v>
      </c>
      <c r="C431" s="18" t="s">
        <v>476</v>
      </c>
      <c r="D431" s="18" t="s">
        <v>15</v>
      </c>
      <c r="E431" s="18" t="s">
        <v>292</v>
      </c>
      <c r="F431" s="19" t="s">
        <v>53</v>
      </c>
      <c r="G431" s="18"/>
      <c r="H431" s="20">
        <f t="shared" si="31"/>
        <v>140</v>
      </c>
      <c r="I431" s="20">
        <f t="shared" si="31"/>
        <v>140</v>
      </c>
      <c r="J431" s="21">
        <f t="shared" si="29"/>
        <v>100</v>
      </c>
    </row>
    <row r="432" spans="2:10" ht="76.5" x14ac:dyDescent="0.2">
      <c r="B432" s="27" t="s">
        <v>54</v>
      </c>
      <c r="C432" s="18" t="s">
        <v>476</v>
      </c>
      <c r="D432" s="18" t="s">
        <v>15</v>
      </c>
      <c r="E432" s="18" t="s">
        <v>292</v>
      </c>
      <c r="F432" s="9" t="s">
        <v>55</v>
      </c>
      <c r="G432" s="18"/>
      <c r="H432" s="20">
        <f>H433</f>
        <v>140</v>
      </c>
      <c r="I432" s="20">
        <f>I433</f>
        <v>140</v>
      </c>
      <c r="J432" s="21">
        <f t="shared" si="29"/>
        <v>100</v>
      </c>
    </row>
    <row r="433" spans="2:10" ht="12.75" x14ac:dyDescent="0.2">
      <c r="B433" s="27" t="s">
        <v>29</v>
      </c>
      <c r="C433" s="18" t="s">
        <v>476</v>
      </c>
      <c r="D433" s="18" t="s">
        <v>15</v>
      </c>
      <c r="E433" s="18" t="s">
        <v>292</v>
      </c>
      <c r="F433" s="9" t="s">
        <v>55</v>
      </c>
      <c r="G433" s="18" t="s">
        <v>30</v>
      </c>
      <c r="H433" s="20">
        <v>140</v>
      </c>
      <c r="I433" s="20">
        <v>140</v>
      </c>
      <c r="J433" s="21">
        <f t="shared" si="29"/>
        <v>100</v>
      </c>
    </row>
    <row r="434" spans="2:10" s="16" customFormat="1" ht="25.5" x14ac:dyDescent="0.25">
      <c r="B434" s="40" t="s">
        <v>485</v>
      </c>
      <c r="C434" s="13" t="s">
        <v>476</v>
      </c>
      <c r="D434" s="13" t="s">
        <v>15</v>
      </c>
      <c r="E434" s="13" t="s">
        <v>184</v>
      </c>
      <c r="F434" s="13"/>
      <c r="G434" s="13"/>
      <c r="H434" s="14">
        <f>H435+H440</f>
        <v>2342.6999999999998</v>
      </c>
      <c r="I434" s="14">
        <f>I435+I440</f>
        <v>2342.6999999999998</v>
      </c>
      <c r="J434" s="15">
        <f t="shared" si="29"/>
        <v>100</v>
      </c>
    </row>
    <row r="435" spans="2:10" ht="12.75" x14ac:dyDescent="0.2">
      <c r="B435" s="24" t="s">
        <v>486</v>
      </c>
      <c r="C435" s="18" t="s">
        <v>476</v>
      </c>
      <c r="D435" s="18" t="s">
        <v>15</v>
      </c>
      <c r="E435" s="18" t="s">
        <v>184</v>
      </c>
      <c r="F435" s="19" t="s">
        <v>487</v>
      </c>
      <c r="G435" s="10"/>
      <c r="H435" s="20">
        <f>H436</f>
        <v>2279.1</v>
      </c>
      <c r="I435" s="20">
        <f>I436</f>
        <v>2279.1</v>
      </c>
      <c r="J435" s="21">
        <f t="shared" si="29"/>
        <v>100</v>
      </c>
    </row>
    <row r="436" spans="2:10" ht="12.75" x14ac:dyDescent="0.2">
      <c r="B436" s="17" t="s">
        <v>48</v>
      </c>
      <c r="C436" s="18" t="s">
        <v>476</v>
      </c>
      <c r="D436" s="18" t="s">
        <v>15</v>
      </c>
      <c r="E436" s="18" t="s">
        <v>184</v>
      </c>
      <c r="F436" s="19" t="s">
        <v>488</v>
      </c>
      <c r="G436" s="10"/>
      <c r="H436" s="20">
        <f>H437+H438+H439</f>
        <v>2279.1</v>
      </c>
      <c r="I436" s="20">
        <f>I437+I438+I439</f>
        <v>2279.1</v>
      </c>
      <c r="J436" s="21">
        <f t="shared" si="29"/>
        <v>100</v>
      </c>
    </row>
    <row r="437" spans="2:10" ht="12.75" x14ac:dyDescent="0.2">
      <c r="B437" s="24" t="s">
        <v>29</v>
      </c>
      <c r="C437" s="18" t="s">
        <v>476</v>
      </c>
      <c r="D437" s="18" t="s">
        <v>15</v>
      </c>
      <c r="E437" s="18" t="s">
        <v>184</v>
      </c>
      <c r="F437" s="19" t="s">
        <v>488</v>
      </c>
      <c r="G437" s="10">
        <v>120</v>
      </c>
      <c r="H437" s="20">
        <f>1523.6-8-1.4</f>
        <v>1514.1999999999998</v>
      </c>
      <c r="I437" s="20">
        <v>1514.2</v>
      </c>
      <c r="J437" s="21">
        <f t="shared" si="29"/>
        <v>100.00000000000003</v>
      </c>
    </row>
    <row r="438" spans="2:10" ht="12.75" x14ac:dyDescent="0.2">
      <c r="B438" s="17" t="s">
        <v>41</v>
      </c>
      <c r="C438" s="18" t="s">
        <v>476</v>
      </c>
      <c r="D438" s="18" t="s">
        <v>15</v>
      </c>
      <c r="E438" s="18" t="s">
        <v>184</v>
      </c>
      <c r="F438" s="19" t="s">
        <v>488</v>
      </c>
      <c r="G438" s="10">
        <v>240</v>
      </c>
      <c r="H438" s="20">
        <f>604.5+9.5+125.4+1.4+24.1</f>
        <v>764.9</v>
      </c>
      <c r="I438" s="20">
        <v>764.9</v>
      </c>
      <c r="J438" s="21">
        <f t="shared" si="29"/>
        <v>100</v>
      </c>
    </row>
    <row r="439" spans="2:10" ht="12.75" hidden="1" x14ac:dyDescent="0.2">
      <c r="B439" s="24" t="s">
        <v>50</v>
      </c>
      <c r="C439" s="18" t="s">
        <v>476</v>
      </c>
      <c r="D439" s="18" t="s">
        <v>15</v>
      </c>
      <c r="E439" s="18" t="s">
        <v>184</v>
      </c>
      <c r="F439" s="19" t="s">
        <v>488</v>
      </c>
      <c r="G439" s="10">
        <v>850</v>
      </c>
      <c r="H439" s="20">
        <f>1.5-1.5</f>
        <v>0</v>
      </c>
      <c r="I439" s="20"/>
      <c r="J439" s="21" t="e">
        <f t="shared" si="29"/>
        <v>#DIV/0!</v>
      </c>
    </row>
    <row r="440" spans="2:10" ht="25.5" x14ac:dyDescent="0.2">
      <c r="B440" s="24" t="s">
        <v>484</v>
      </c>
      <c r="C440" s="18" t="s">
        <v>476</v>
      </c>
      <c r="D440" s="18" t="s">
        <v>15</v>
      </c>
      <c r="E440" s="18" t="s">
        <v>184</v>
      </c>
      <c r="F440" s="19" t="s">
        <v>43</v>
      </c>
      <c r="G440" s="10"/>
      <c r="H440" s="20">
        <f t="shared" ref="H440:I443" si="32">H441</f>
        <v>63.6</v>
      </c>
      <c r="I440" s="20">
        <f t="shared" si="32"/>
        <v>63.6</v>
      </c>
      <c r="J440" s="21">
        <f t="shared" si="29"/>
        <v>100</v>
      </c>
    </row>
    <row r="441" spans="2:10" ht="25.5" x14ac:dyDescent="0.2">
      <c r="B441" s="24" t="s">
        <v>44</v>
      </c>
      <c r="C441" s="18" t="s">
        <v>476</v>
      </c>
      <c r="D441" s="18" t="s">
        <v>15</v>
      </c>
      <c r="E441" s="18" t="s">
        <v>184</v>
      </c>
      <c r="F441" s="19" t="s">
        <v>45</v>
      </c>
      <c r="G441" s="10"/>
      <c r="H441" s="20">
        <f t="shared" si="32"/>
        <v>63.6</v>
      </c>
      <c r="I441" s="20">
        <f t="shared" si="32"/>
        <v>63.6</v>
      </c>
      <c r="J441" s="21">
        <f t="shared" si="29"/>
        <v>100</v>
      </c>
    </row>
    <row r="442" spans="2:10" ht="25.5" x14ac:dyDescent="0.2">
      <c r="B442" s="17" t="s">
        <v>52</v>
      </c>
      <c r="C442" s="18" t="s">
        <v>476</v>
      </c>
      <c r="D442" s="18" t="s">
        <v>15</v>
      </c>
      <c r="E442" s="18" t="s">
        <v>184</v>
      </c>
      <c r="F442" s="19" t="s">
        <v>53</v>
      </c>
      <c r="G442" s="10"/>
      <c r="H442" s="20">
        <f t="shared" si="32"/>
        <v>63.6</v>
      </c>
      <c r="I442" s="20">
        <f t="shared" si="32"/>
        <v>63.6</v>
      </c>
      <c r="J442" s="21">
        <f t="shared" si="29"/>
        <v>100</v>
      </c>
    </row>
    <row r="443" spans="2:10" ht="76.5" x14ac:dyDescent="0.2">
      <c r="B443" s="27" t="s">
        <v>54</v>
      </c>
      <c r="C443" s="18" t="s">
        <v>476</v>
      </c>
      <c r="D443" s="18" t="s">
        <v>15</v>
      </c>
      <c r="E443" s="18" t="s">
        <v>184</v>
      </c>
      <c r="F443" s="19" t="s">
        <v>55</v>
      </c>
      <c r="G443" s="10"/>
      <c r="H443" s="20">
        <f t="shared" si="32"/>
        <v>63.6</v>
      </c>
      <c r="I443" s="20">
        <f t="shared" si="32"/>
        <v>63.6</v>
      </c>
      <c r="J443" s="21">
        <f t="shared" si="29"/>
        <v>100</v>
      </c>
    </row>
    <row r="444" spans="2:10" ht="12.75" x14ac:dyDescent="0.2">
      <c r="B444" s="27" t="s">
        <v>29</v>
      </c>
      <c r="C444" s="18" t="s">
        <v>476</v>
      </c>
      <c r="D444" s="18" t="s">
        <v>15</v>
      </c>
      <c r="E444" s="18" t="s">
        <v>184</v>
      </c>
      <c r="F444" s="19" t="s">
        <v>55</v>
      </c>
      <c r="G444" s="10">
        <v>120</v>
      </c>
      <c r="H444" s="20">
        <v>63.6</v>
      </c>
      <c r="I444" s="20">
        <v>63.6</v>
      </c>
      <c r="J444" s="21">
        <f t="shared" si="29"/>
        <v>100</v>
      </c>
    </row>
    <row r="445" spans="2:10" s="16" customFormat="1" x14ac:dyDescent="0.25">
      <c r="B445" s="12" t="s">
        <v>489</v>
      </c>
      <c r="C445" s="13" t="s">
        <v>490</v>
      </c>
      <c r="D445" s="13"/>
      <c r="E445" s="13"/>
      <c r="F445" s="33"/>
      <c r="G445" s="53"/>
      <c r="H445" s="14">
        <f>H446</f>
        <v>1472.9</v>
      </c>
      <c r="I445" s="14">
        <f>I446</f>
        <v>1472.9</v>
      </c>
      <c r="J445" s="15">
        <f t="shared" si="29"/>
        <v>100</v>
      </c>
    </row>
    <row r="446" spans="2:10" s="16" customFormat="1" x14ac:dyDescent="0.25">
      <c r="B446" s="12" t="s">
        <v>14</v>
      </c>
      <c r="C446" s="13" t="s">
        <v>490</v>
      </c>
      <c r="D446" s="13" t="s">
        <v>15</v>
      </c>
      <c r="E446" s="13"/>
      <c r="F446" s="33"/>
      <c r="G446" s="53"/>
      <c r="H446" s="14">
        <f>H447</f>
        <v>1472.9</v>
      </c>
      <c r="I446" s="14">
        <f>I447</f>
        <v>1472.9</v>
      </c>
      <c r="J446" s="15">
        <f t="shared" si="29"/>
        <v>100</v>
      </c>
    </row>
    <row r="447" spans="2:10" s="16" customFormat="1" ht="25.5" x14ac:dyDescent="0.25">
      <c r="B447" s="12" t="s">
        <v>491</v>
      </c>
      <c r="C447" s="13" t="s">
        <v>490</v>
      </c>
      <c r="D447" s="13" t="s">
        <v>15</v>
      </c>
      <c r="E447" s="13" t="s">
        <v>332</v>
      </c>
      <c r="F447" s="33"/>
      <c r="G447" s="53"/>
      <c r="H447" s="14">
        <f>H448+H455</f>
        <v>1472.9</v>
      </c>
      <c r="I447" s="14">
        <f>I448+I455</f>
        <v>1472.9</v>
      </c>
      <c r="J447" s="15">
        <f t="shared" si="29"/>
        <v>100</v>
      </c>
    </row>
    <row r="448" spans="2:10" ht="12.75" x14ac:dyDescent="0.2">
      <c r="B448" s="24" t="s">
        <v>478</v>
      </c>
      <c r="C448" s="18" t="s">
        <v>490</v>
      </c>
      <c r="D448" s="18" t="s">
        <v>15</v>
      </c>
      <c r="E448" s="18" t="s">
        <v>332</v>
      </c>
      <c r="F448" s="19" t="s">
        <v>479</v>
      </c>
      <c r="G448" s="19"/>
      <c r="H448" s="20">
        <f>H449+H453</f>
        <v>1141.8</v>
      </c>
      <c r="I448" s="20">
        <f>I449+I453</f>
        <v>1141.8</v>
      </c>
      <c r="J448" s="21">
        <f t="shared" si="29"/>
        <v>100</v>
      </c>
    </row>
    <row r="449" spans="2:10" ht="12.75" x14ac:dyDescent="0.2">
      <c r="B449" s="17" t="s">
        <v>48</v>
      </c>
      <c r="C449" s="18" t="s">
        <v>490</v>
      </c>
      <c r="D449" s="18" t="s">
        <v>15</v>
      </c>
      <c r="E449" s="18" t="s">
        <v>332</v>
      </c>
      <c r="F449" s="19" t="s">
        <v>492</v>
      </c>
      <c r="G449" s="19"/>
      <c r="H449" s="20">
        <f>H450+H451+H452</f>
        <v>1141.8</v>
      </c>
      <c r="I449" s="20">
        <f>I450+I451+I452</f>
        <v>1141.8</v>
      </c>
      <c r="J449" s="21">
        <f t="shared" si="29"/>
        <v>100</v>
      </c>
    </row>
    <row r="450" spans="2:10" ht="12.75" x14ac:dyDescent="0.2">
      <c r="B450" s="17" t="s">
        <v>29</v>
      </c>
      <c r="C450" s="18" t="s">
        <v>490</v>
      </c>
      <c r="D450" s="18" t="s">
        <v>15</v>
      </c>
      <c r="E450" s="18" t="s">
        <v>332</v>
      </c>
      <c r="F450" s="19" t="s">
        <v>492</v>
      </c>
      <c r="G450" s="19" t="s">
        <v>30</v>
      </c>
      <c r="H450" s="26">
        <f>985.7+5.1</f>
        <v>990.80000000000007</v>
      </c>
      <c r="I450" s="26">
        <v>990.8</v>
      </c>
      <c r="J450" s="21">
        <f t="shared" si="29"/>
        <v>99.999999999999986</v>
      </c>
    </row>
    <row r="451" spans="2:10" ht="12.75" x14ac:dyDescent="0.2">
      <c r="B451" s="17" t="s">
        <v>41</v>
      </c>
      <c r="C451" s="18" t="s">
        <v>490</v>
      </c>
      <c r="D451" s="18" t="s">
        <v>15</v>
      </c>
      <c r="E451" s="18" t="s">
        <v>332</v>
      </c>
      <c r="F451" s="19" t="s">
        <v>492</v>
      </c>
      <c r="G451" s="19" t="s">
        <v>24</v>
      </c>
      <c r="H451" s="26">
        <f>156-5.1</f>
        <v>150.9</v>
      </c>
      <c r="I451" s="26">
        <v>150.9</v>
      </c>
      <c r="J451" s="21">
        <f t="shared" si="29"/>
        <v>100</v>
      </c>
    </row>
    <row r="452" spans="2:10" ht="12.75" x14ac:dyDescent="0.2">
      <c r="B452" s="17" t="s">
        <v>50</v>
      </c>
      <c r="C452" s="18" t="s">
        <v>490</v>
      </c>
      <c r="D452" s="18" t="s">
        <v>15</v>
      </c>
      <c r="E452" s="18" t="s">
        <v>332</v>
      </c>
      <c r="F452" s="19" t="s">
        <v>492</v>
      </c>
      <c r="G452" s="19" t="s">
        <v>51</v>
      </c>
      <c r="H452" s="26">
        <v>0.1</v>
      </c>
      <c r="I452" s="26">
        <v>0.1</v>
      </c>
      <c r="J452" s="21">
        <f t="shared" si="29"/>
        <v>100</v>
      </c>
    </row>
    <row r="453" spans="2:10" ht="114.75" hidden="1" customHeight="1" x14ac:dyDescent="0.2">
      <c r="B453" s="27" t="s">
        <v>54</v>
      </c>
      <c r="C453" s="18" t="s">
        <v>490</v>
      </c>
      <c r="D453" s="18" t="s">
        <v>15</v>
      </c>
      <c r="E453" s="18" t="s">
        <v>332</v>
      </c>
      <c r="F453" s="19" t="s">
        <v>493</v>
      </c>
      <c r="G453" s="19"/>
      <c r="H453" s="26">
        <f>H454</f>
        <v>0</v>
      </c>
      <c r="I453" s="26">
        <f>I454</f>
        <v>0</v>
      </c>
      <c r="J453" s="21" t="e">
        <f t="shared" si="29"/>
        <v>#DIV/0!</v>
      </c>
    </row>
    <row r="454" spans="2:10" ht="25.5" hidden="1" customHeight="1" x14ac:dyDescent="0.2">
      <c r="B454" s="27" t="s">
        <v>29</v>
      </c>
      <c r="C454" s="18" t="s">
        <v>490</v>
      </c>
      <c r="D454" s="18" t="s">
        <v>15</v>
      </c>
      <c r="E454" s="18" t="s">
        <v>332</v>
      </c>
      <c r="F454" s="19" t="s">
        <v>493</v>
      </c>
      <c r="G454" s="19" t="s">
        <v>30</v>
      </c>
      <c r="H454" s="26"/>
      <c r="I454" s="26">
        <v>0</v>
      </c>
      <c r="J454" s="21" t="e">
        <f t="shared" si="29"/>
        <v>#DIV/0!</v>
      </c>
    </row>
    <row r="455" spans="2:10" ht="12.75" x14ac:dyDescent="0.2">
      <c r="B455" s="24" t="s">
        <v>25</v>
      </c>
      <c r="C455" s="18" t="s">
        <v>490</v>
      </c>
      <c r="D455" s="18" t="s">
        <v>15</v>
      </c>
      <c r="E455" s="18" t="s">
        <v>332</v>
      </c>
      <c r="F455" s="19" t="s">
        <v>26</v>
      </c>
      <c r="G455" s="10"/>
      <c r="H455" s="20">
        <f>H456</f>
        <v>331.1</v>
      </c>
      <c r="I455" s="20">
        <f>I456</f>
        <v>331.1</v>
      </c>
      <c r="J455" s="21">
        <f t="shared" si="29"/>
        <v>100</v>
      </c>
    </row>
    <row r="456" spans="2:10" ht="25.5" x14ac:dyDescent="0.2">
      <c r="B456" s="24" t="s">
        <v>494</v>
      </c>
      <c r="C456" s="18" t="s">
        <v>490</v>
      </c>
      <c r="D456" s="18" t="s">
        <v>15</v>
      </c>
      <c r="E456" s="18" t="s">
        <v>332</v>
      </c>
      <c r="F456" s="19" t="s">
        <v>495</v>
      </c>
      <c r="G456" s="10"/>
      <c r="H456" s="20">
        <f>H457+H458</f>
        <v>331.1</v>
      </c>
      <c r="I456" s="20">
        <f>I457+I458</f>
        <v>331.1</v>
      </c>
      <c r="J456" s="21">
        <f t="shared" si="29"/>
        <v>100</v>
      </c>
    </row>
    <row r="457" spans="2:10" ht="12.75" x14ac:dyDescent="0.2">
      <c r="B457" s="24" t="s">
        <v>29</v>
      </c>
      <c r="C457" s="18" t="s">
        <v>490</v>
      </c>
      <c r="D457" s="18" t="s">
        <v>15</v>
      </c>
      <c r="E457" s="18" t="s">
        <v>332</v>
      </c>
      <c r="F457" s="19" t="s">
        <v>495</v>
      </c>
      <c r="G457" s="10">
        <v>120</v>
      </c>
      <c r="H457" s="26">
        <f>276.2+44.3+10.6</f>
        <v>331.1</v>
      </c>
      <c r="I457" s="20">
        <v>331.1</v>
      </c>
      <c r="J457" s="21">
        <f t="shared" ref="J457:J520" si="33">I457/H457*100</f>
        <v>100</v>
      </c>
    </row>
    <row r="458" spans="2:10" ht="26.25" hidden="1" customHeight="1" x14ac:dyDescent="0.2">
      <c r="B458" s="17" t="s">
        <v>41</v>
      </c>
      <c r="C458" s="18" t="s">
        <v>490</v>
      </c>
      <c r="D458" s="18" t="s">
        <v>15</v>
      </c>
      <c r="E458" s="18" t="s">
        <v>332</v>
      </c>
      <c r="F458" s="19" t="s">
        <v>495</v>
      </c>
      <c r="G458" s="10">
        <v>240</v>
      </c>
      <c r="H458" s="26">
        <f>44.3-44.3</f>
        <v>0</v>
      </c>
      <c r="I458" s="20">
        <v>0</v>
      </c>
      <c r="J458" s="21" t="e">
        <f t="shared" si="33"/>
        <v>#DIV/0!</v>
      </c>
    </row>
    <row r="459" spans="2:10" s="16" customFormat="1" x14ac:dyDescent="0.25">
      <c r="B459" s="12" t="s">
        <v>496</v>
      </c>
      <c r="C459" s="13" t="s">
        <v>497</v>
      </c>
      <c r="D459" s="13"/>
      <c r="E459" s="13"/>
      <c r="F459" s="13"/>
      <c r="G459" s="13"/>
      <c r="H459" s="14">
        <f>H460+H502+H532+H526</f>
        <v>43022.399999999994</v>
      </c>
      <c r="I459" s="14">
        <f>I460+I502+I532+I526</f>
        <v>43014.400000000001</v>
      </c>
      <c r="J459" s="15">
        <f t="shared" si="33"/>
        <v>99.981405035516403</v>
      </c>
    </row>
    <row r="460" spans="2:10" s="16" customFormat="1" x14ac:dyDescent="0.25">
      <c r="B460" s="12" t="s">
        <v>14</v>
      </c>
      <c r="C460" s="13" t="s">
        <v>497</v>
      </c>
      <c r="D460" s="13" t="s">
        <v>15</v>
      </c>
      <c r="E460" s="13"/>
      <c r="F460" s="13"/>
      <c r="G460" s="13"/>
      <c r="H460" s="14">
        <f>H461+H485</f>
        <v>20514.199999999997</v>
      </c>
      <c r="I460" s="14">
        <f>I461+I485</f>
        <v>20514.2</v>
      </c>
      <c r="J460" s="15">
        <f t="shared" si="33"/>
        <v>100.00000000000003</v>
      </c>
    </row>
    <row r="461" spans="2:10" s="16" customFormat="1" ht="25.5" x14ac:dyDescent="0.25">
      <c r="B461" s="12" t="s">
        <v>491</v>
      </c>
      <c r="C461" s="13" t="s">
        <v>497</v>
      </c>
      <c r="D461" s="13" t="s">
        <v>15</v>
      </c>
      <c r="E461" s="13" t="s">
        <v>332</v>
      </c>
      <c r="F461" s="13"/>
      <c r="G461" s="13"/>
      <c r="H461" s="14">
        <f>H465+H462+H475+H470</f>
        <v>7190.1999999999989</v>
      </c>
      <c r="I461" s="14">
        <f>I465+I462+I475+I470</f>
        <v>7190.2</v>
      </c>
      <c r="J461" s="15">
        <f t="shared" si="33"/>
        <v>100.00000000000003</v>
      </c>
    </row>
    <row r="462" spans="2:10" ht="12.75" x14ac:dyDescent="0.2">
      <c r="B462" s="17" t="s">
        <v>86</v>
      </c>
      <c r="C462" s="18" t="s">
        <v>497</v>
      </c>
      <c r="D462" s="18" t="s">
        <v>15</v>
      </c>
      <c r="E462" s="18" t="s">
        <v>332</v>
      </c>
      <c r="F462" s="18" t="s">
        <v>87</v>
      </c>
      <c r="G462" s="18"/>
      <c r="H462" s="20">
        <f>H463</f>
        <v>43.6</v>
      </c>
      <c r="I462" s="20">
        <f>I463</f>
        <v>43.6</v>
      </c>
      <c r="J462" s="21">
        <f t="shared" si="33"/>
        <v>100</v>
      </c>
    </row>
    <row r="463" spans="2:10" ht="51" x14ac:dyDescent="0.2">
      <c r="B463" s="17" t="s">
        <v>498</v>
      </c>
      <c r="C463" s="18" t="s">
        <v>497</v>
      </c>
      <c r="D463" s="18" t="s">
        <v>15</v>
      </c>
      <c r="E463" s="18" t="s">
        <v>332</v>
      </c>
      <c r="F463" s="18" t="s">
        <v>499</v>
      </c>
      <c r="G463" s="18"/>
      <c r="H463" s="20">
        <f>H464</f>
        <v>43.6</v>
      </c>
      <c r="I463" s="20">
        <f>I464</f>
        <v>43.6</v>
      </c>
      <c r="J463" s="21">
        <f t="shared" si="33"/>
        <v>100</v>
      </c>
    </row>
    <row r="464" spans="2:10" ht="12.75" x14ac:dyDescent="0.2">
      <c r="B464" s="17" t="s">
        <v>29</v>
      </c>
      <c r="C464" s="18" t="s">
        <v>497</v>
      </c>
      <c r="D464" s="18" t="s">
        <v>15</v>
      </c>
      <c r="E464" s="18" t="s">
        <v>332</v>
      </c>
      <c r="F464" s="18" t="s">
        <v>499</v>
      </c>
      <c r="G464" s="18" t="s">
        <v>30</v>
      </c>
      <c r="H464" s="20">
        <f>20+23.6</f>
        <v>43.6</v>
      </c>
      <c r="I464" s="20">
        <v>43.6</v>
      </c>
      <c r="J464" s="21">
        <f t="shared" si="33"/>
        <v>100</v>
      </c>
    </row>
    <row r="465" spans="2:10" s="36" customFormat="1" ht="15" x14ac:dyDescent="0.2">
      <c r="B465" s="24" t="s">
        <v>25</v>
      </c>
      <c r="C465" s="18" t="s">
        <v>497</v>
      </c>
      <c r="D465" s="18" t="s">
        <v>15</v>
      </c>
      <c r="E465" s="18" t="s">
        <v>332</v>
      </c>
      <c r="F465" s="9" t="s">
        <v>26</v>
      </c>
      <c r="G465" s="18"/>
      <c r="H465" s="20">
        <f>H466+H468</f>
        <v>257.3</v>
      </c>
      <c r="I465" s="20">
        <f>I466+I468</f>
        <v>257.3</v>
      </c>
      <c r="J465" s="21">
        <f t="shared" si="33"/>
        <v>100</v>
      </c>
    </row>
    <row r="466" spans="2:10" s="36" customFormat="1" ht="25.5" x14ac:dyDescent="0.2">
      <c r="B466" s="24" t="s">
        <v>500</v>
      </c>
      <c r="C466" s="18" t="s">
        <v>497</v>
      </c>
      <c r="D466" s="18" t="s">
        <v>15</v>
      </c>
      <c r="E466" s="18" t="s">
        <v>332</v>
      </c>
      <c r="F466" s="9" t="s">
        <v>501</v>
      </c>
      <c r="G466" s="18"/>
      <c r="H466" s="20">
        <f>H467</f>
        <v>98.2</v>
      </c>
      <c r="I466" s="20">
        <f>I467</f>
        <v>98.2</v>
      </c>
      <c r="J466" s="21">
        <f t="shared" si="33"/>
        <v>100</v>
      </c>
    </row>
    <row r="467" spans="2:10" s="36" customFormat="1" ht="15" x14ac:dyDescent="0.2">
      <c r="B467" s="24" t="s">
        <v>29</v>
      </c>
      <c r="C467" s="18" t="s">
        <v>497</v>
      </c>
      <c r="D467" s="18" t="s">
        <v>15</v>
      </c>
      <c r="E467" s="18" t="s">
        <v>332</v>
      </c>
      <c r="F467" s="9" t="s">
        <v>501</v>
      </c>
      <c r="G467" s="18" t="s">
        <v>30</v>
      </c>
      <c r="H467" s="20">
        <f>95+3.2</f>
        <v>98.2</v>
      </c>
      <c r="I467" s="20">
        <v>98.2</v>
      </c>
      <c r="J467" s="21">
        <f t="shared" si="33"/>
        <v>100</v>
      </c>
    </row>
    <row r="468" spans="2:10" s="36" customFormat="1" ht="38.25" x14ac:dyDescent="0.2">
      <c r="B468" s="27" t="s">
        <v>502</v>
      </c>
      <c r="C468" s="18" t="s">
        <v>497</v>
      </c>
      <c r="D468" s="18" t="s">
        <v>15</v>
      </c>
      <c r="E468" s="18" t="s">
        <v>332</v>
      </c>
      <c r="F468" s="9" t="s">
        <v>503</v>
      </c>
      <c r="G468" s="19"/>
      <c r="H468" s="20">
        <f>H469</f>
        <v>159.1</v>
      </c>
      <c r="I468" s="20">
        <f>I469</f>
        <v>159.1</v>
      </c>
      <c r="J468" s="21">
        <f t="shared" si="33"/>
        <v>100</v>
      </c>
    </row>
    <row r="469" spans="2:10" s="36" customFormat="1" ht="15" x14ac:dyDescent="0.2">
      <c r="B469" s="27" t="s">
        <v>29</v>
      </c>
      <c r="C469" s="18" t="s">
        <v>497</v>
      </c>
      <c r="D469" s="18" t="s">
        <v>15</v>
      </c>
      <c r="E469" s="18" t="s">
        <v>332</v>
      </c>
      <c r="F469" s="9" t="s">
        <v>503</v>
      </c>
      <c r="G469" s="19" t="s">
        <v>30</v>
      </c>
      <c r="H469" s="20">
        <f>201.7-16-26.6</f>
        <v>159.1</v>
      </c>
      <c r="I469" s="20">
        <v>159.1</v>
      </c>
      <c r="J469" s="21">
        <f t="shared" si="33"/>
        <v>100</v>
      </c>
    </row>
    <row r="470" spans="2:10" s="36" customFormat="1" ht="25.5" x14ac:dyDescent="0.2">
      <c r="B470" s="24" t="s">
        <v>484</v>
      </c>
      <c r="C470" s="18" t="s">
        <v>497</v>
      </c>
      <c r="D470" s="18" t="s">
        <v>15</v>
      </c>
      <c r="E470" s="18" t="s">
        <v>332</v>
      </c>
      <c r="F470" s="9" t="s">
        <v>43</v>
      </c>
      <c r="G470" s="19"/>
      <c r="H470" s="20">
        <f t="shared" ref="H470:I473" si="34">H471</f>
        <v>155.80000000000001</v>
      </c>
      <c r="I470" s="20">
        <f t="shared" si="34"/>
        <v>155.80000000000001</v>
      </c>
      <c r="J470" s="21">
        <f t="shared" si="33"/>
        <v>100</v>
      </c>
    </row>
    <row r="471" spans="2:10" s="36" customFormat="1" ht="25.5" x14ac:dyDescent="0.2">
      <c r="B471" s="24" t="s">
        <v>44</v>
      </c>
      <c r="C471" s="18" t="s">
        <v>497</v>
      </c>
      <c r="D471" s="18" t="s">
        <v>15</v>
      </c>
      <c r="E471" s="18" t="s">
        <v>332</v>
      </c>
      <c r="F471" s="9" t="s">
        <v>45</v>
      </c>
      <c r="G471" s="19"/>
      <c r="H471" s="20">
        <f t="shared" si="34"/>
        <v>155.80000000000001</v>
      </c>
      <c r="I471" s="20">
        <f t="shared" si="34"/>
        <v>155.80000000000001</v>
      </c>
      <c r="J471" s="21">
        <f t="shared" si="33"/>
        <v>100</v>
      </c>
    </row>
    <row r="472" spans="2:10" s="36" customFormat="1" ht="25.5" x14ac:dyDescent="0.2">
      <c r="B472" s="17" t="s">
        <v>52</v>
      </c>
      <c r="C472" s="18" t="s">
        <v>497</v>
      </c>
      <c r="D472" s="18" t="s">
        <v>15</v>
      </c>
      <c r="E472" s="18" t="s">
        <v>332</v>
      </c>
      <c r="F472" s="9" t="s">
        <v>53</v>
      </c>
      <c r="G472" s="19"/>
      <c r="H472" s="20">
        <f t="shared" si="34"/>
        <v>155.80000000000001</v>
      </c>
      <c r="I472" s="20">
        <f t="shared" si="34"/>
        <v>155.80000000000001</v>
      </c>
      <c r="J472" s="21">
        <f t="shared" si="33"/>
        <v>100</v>
      </c>
    </row>
    <row r="473" spans="2:10" s="36" customFormat="1" ht="76.5" x14ac:dyDescent="0.2">
      <c r="B473" s="27" t="s">
        <v>54</v>
      </c>
      <c r="C473" s="18" t="s">
        <v>497</v>
      </c>
      <c r="D473" s="18" t="s">
        <v>15</v>
      </c>
      <c r="E473" s="18" t="s">
        <v>332</v>
      </c>
      <c r="F473" s="9" t="s">
        <v>55</v>
      </c>
      <c r="G473" s="19"/>
      <c r="H473" s="20">
        <f t="shared" si="34"/>
        <v>155.80000000000001</v>
      </c>
      <c r="I473" s="20">
        <f t="shared" si="34"/>
        <v>155.80000000000001</v>
      </c>
      <c r="J473" s="21">
        <f t="shared" si="33"/>
        <v>100</v>
      </c>
    </row>
    <row r="474" spans="2:10" s="36" customFormat="1" ht="15" x14ac:dyDescent="0.2">
      <c r="B474" s="27" t="s">
        <v>29</v>
      </c>
      <c r="C474" s="18" t="s">
        <v>497</v>
      </c>
      <c r="D474" s="18" t="s">
        <v>15</v>
      </c>
      <c r="E474" s="18" t="s">
        <v>332</v>
      </c>
      <c r="F474" s="9" t="s">
        <v>55</v>
      </c>
      <c r="G474" s="19" t="s">
        <v>30</v>
      </c>
      <c r="H474" s="20">
        <v>155.80000000000001</v>
      </c>
      <c r="I474" s="20">
        <v>155.80000000000001</v>
      </c>
      <c r="J474" s="21">
        <f t="shared" si="33"/>
        <v>100</v>
      </c>
    </row>
    <row r="475" spans="2:10" s="36" customFormat="1" ht="25.5" x14ac:dyDescent="0.2">
      <c r="B475" s="17" t="s">
        <v>504</v>
      </c>
      <c r="C475" s="18" t="s">
        <v>497</v>
      </c>
      <c r="D475" s="18" t="s">
        <v>15</v>
      </c>
      <c r="E475" s="18" t="s">
        <v>332</v>
      </c>
      <c r="F475" s="9" t="s">
        <v>505</v>
      </c>
      <c r="G475" s="18"/>
      <c r="H475" s="20">
        <f>H476</f>
        <v>6733.4999999999991</v>
      </c>
      <c r="I475" s="20">
        <f>I476</f>
        <v>6733.5</v>
      </c>
      <c r="J475" s="21">
        <f t="shared" si="33"/>
        <v>100.00000000000003</v>
      </c>
    </row>
    <row r="476" spans="2:10" s="36" customFormat="1" ht="51" x14ac:dyDescent="0.2">
      <c r="B476" s="37" t="s">
        <v>506</v>
      </c>
      <c r="C476" s="18" t="s">
        <v>497</v>
      </c>
      <c r="D476" s="18" t="s">
        <v>15</v>
      </c>
      <c r="E476" s="18" t="s">
        <v>332</v>
      </c>
      <c r="F476" s="9" t="s">
        <v>507</v>
      </c>
      <c r="G476" s="18"/>
      <c r="H476" s="20">
        <f>H477+H481+H483</f>
        <v>6733.4999999999991</v>
      </c>
      <c r="I476" s="20">
        <f>I477+I481+I483</f>
        <v>6733.5</v>
      </c>
      <c r="J476" s="21">
        <f t="shared" si="33"/>
        <v>100.00000000000003</v>
      </c>
    </row>
    <row r="477" spans="2:10" s="36" customFormat="1" ht="15" x14ac:dyDescent="0.2">
      <c r="B477" s="24" t="s">
        <v>48</v>
      </c>
      <c r="C477" s="18" t="s">
        <v>497</v>
      </c>
      <c r="D477" s="18" t="s">
        <v>15</v>
      </c>
      <c r="E477" s="18" t="s">
        <v>332</v>
      </c>
      <c r="F477" s="9" t="s">
        <v>508</v>
      </c>
      <c r="G477" s="18"/>
      <c r="H477" s="20">
        <f>H478+H479+H480</f>
        <v>6713.4999999999991</v>
      </c>
      <c r="I477" s="20">
        <f>I478+I479+I480</f>
        <v>6713.5</v>
      </c>
      <c r="J477" s="21">
        <f t="shared" si="33"/>
        <v>100.00000000000003</v>
      </c>
    </row>
    <row r="478" spans="2:10" s="36" customFormat="1" ht="15" x14ac:dyDescent="0.2">
      <c r="B478" s="17" t="s">
        <v>29</v>
      </c>
      <c r="C478" s="18" t="s">
        <v>497</v>
      </c>
      <c r="D478" s="18" t="s">
        <v>15</v>
      </c>
      <c r="E478" s="18" t="s">
        <v>332</v>
      </c>
      <c r="F478" s="9" t="s">
        <v>508</v>
      </c>
      <c r="G478" s="18" t="s">
        <v>30</v>
      </c>
      <c r="H478" s="20">
        <f>6072.9-3-0.1</f>
        <v>6069.7999999999993</v>
      </c>
      <c r="I478" s="20">
        <v>6069.8</v>
      </c>
      <c r="J478" s="21">
        <f t="shared" si="33"/>
        <v>100.00000000000003</v>
      </c>
    </row>
    <row r="479" spans="2:10" s="36" customFormat="1" ht="15" x14ac:dyDescent="0.2">
      <c r="B479" s="17" t="s">
        <v>41</v>
      </c>
      <c r="C479" s="18" t="s">
        <v>497</v>
      </c>
      <c r="D479" s="18" t="s">
        <v>15</v>
      </c>
      <c r="E479" s="18" t="s">
        <v>332</v>
      </c>
      <c r="F479" s="9" t="s">
        <v>508</v>
      </c>
      <c r="G479" s="18" t="s">
        <v>24</v>
      </c>
      <c r="H479" s="20">
        <f>678.8-35.1</f>
        <v>643.69999999999993</v>
      </c>
      <c r="I479" s="20">
        <v>643.70000000000005</v>
      </c>
      <c r="J479" s="21">
        <f t="shared" si="33"/>
        <v>100.00000000000003</v>
      </c>
    </row>
    <row r="480" spans="2:10" s="36" customFormat="1" ht="15" hidden="1" x14ac:dyDescent="0.2">
      <c r="B480" s="17" t="s">
        <v>50</v>
      </c>
      <c r="C480" s="18" t="s">
        <v>497</v>
      </c>
      <c r="D480" s="18" t="s">
        <v>15</v>
      </c>
      <c r="E480" s="18" t="s">
        <v>332</v>
      </c>
      <c r="F480" s="9" t="s">
        <v>508</v>
      </c>
      <c r="G480" s="18" t="s">
        <v>51</v>
      </c>
      <c r="H480" s="20">
        <f>2-2</f>
        <v>0</v>
      </c>
      <c r="I480" s="20">
        <v>0</v>
      </c>
      <c r="J480" s="21" t="e">
        <f t="shared" si="33"/>
        <v>#DIV/0!</v>
      </c>
    </row>
    <row r="481" spans="2:10" s="36" customFormat="1" ht="15" x14ac:dyDescent="0.2">
      <c r="B481" s="17" t="s">
        <v>509</v>
      </c>
      <c r="C481" s="18" t="s">
        <v>497</v>
      </c>
      <c r="D481" s="18" t="s">
        <v>15</v>
      </c>
      <c r="E481" s="18" t="s">
        <v>332</v>
      </c>
      <c r="F481" s="9" t="s">
        <v>510</v>
      </c>
      <c r="G481" s="18"/>
      <c r="H481" s="20">
        <f>H482</f>
        <v>20</v>
      </c>
      <c r="I481" s="20">
        <f>I482</f>
        <v>20</v>
      </c>
      <c r="J481" s="21">
        <f t="shared" si="33"/>
        <v>100</v>
      </c>
    </row>
    <row r="482" spans="2:10" s="36" customFormat="1" ht="15" x14ac:dyDescent="0.2">
      <c r="B482" s="17" t="s">
        <v>41</v>
      </c>
      <c r="C482" s="18" t="s">
        <v>497</v>
      </c>
      <c r="D482" s="18" t="s">
        <v>15</v>
      </c>
      <c r="E482" s="18" t="s">
        <v>332</v>
      </c>
      <c r="F482" s="9" t="s">
        <v>510</v>
      </c>
      <c r="G482" s="18" t="s">
        <v>24</v>
      </c>
      <c r="H482" s="20">
        <v>20</v>
      </c>
      <c r="I482" s="20">
        <v>20</v>
      </c>
      <c r="J482" s="21">
        <f t="shared" si="33"/>
        <v>100</v>
      </c>
    </row>
    <row r="483" spans="2:10" s="36" customFormat="1" ht="120" hidden="1" customHeight="1" x14ac:dyDescent="0.2">
      <c r="B483" s="27" t="s">
        <v>54</v>
      </c>
      <c r="C483" s="18" t="s">
        <v>497</v>
      </c>
      <c r="D483" s="18" t="s">
        <v>15</v>
      </c>
      <c r="E483" s="18" t="s">
        <v>332</v>
      </c>
      <c r="F483" s="9" t="s">
        <v>511</v>
      </c>
      <c r="G483" s="18"/>
      <c r="H483" s="20">
        <f>H484</f>
        <v>0</v>
      </c>
      <c r="I483" s="20">
        <f>I484</f>
        <v>0</v>
      </c>
      <c r="J483" s="21" t="e">
        <f t="shared" si="33"/>
        <v>#DIV/0!</v>
      </c>
    </row>
    <row r="484" spans="2:10" s="36" customFormat="1" ht="25.5" hidden="1" customHeight="1" x14ac:dyDescent="0.2">
      <c r="B484" s="27" t="s">
        <v>29</v>
      </c>
      <c r="C484" s="18" t="s">
        <v>497</v>
      </c>
      <c r="D484" s="18" t="s">
        <v>15</v>
      </c>
      <c r="E484" s="18" t="s">
        <v>332</v>
      </c>
      <c r="F484" s="9" t="s">
        <v>511</v>
      </c>
      <c r="G484" s="18" t="s">
        <v>30</v>
      </c>
      <c r="H484" s="20"/>
      <c r="I484" s="20">
        <v>0</v>
      </c>
      <c r="J484" s="21" t="e">
        <f t="shared" si="33"/>
        <v>#DIV/0!</v>
      </c>
    </row>
    <row r="485" spans="2:10" s="16" customFormat="1" x14ac:dyDescent="0.25">
      <c r="B485" s="40" t="s">
        <v>93</v>
      </c>
      <c r="C485" s="13" t="s">
        <v>497</v>
      </c>
      <c r="D485" s="13" t="s">
        <v>15</v>
      </c>
      <c r="E485" s="13" t="s">
        <v>94</v>
      </c>
      <c r="F485" s="8"/>
      <c r="G485" s="13"/>
      <c r="H485" s="14">
        <f>H489+H486</f>
        <v>13324</v>
      </c>
      <c r="I485" s="14">
        <f>I489+I486</f>
        <v>13324</v>
      </c>
      <c r="J485" s="15">
        <f t="shared" si="33"/>
        <v>100</v>
      </c>
    </row>
    <row r="486" spans="2:10" s="16" customFormat="1" x14ac:dyDescent="0.25">
      <c r="B486" s="24" t="s">
        <v>97</v>
      </c>
      <c r="C486" s="18" t="s">
        <v>497</v>
      </c>
      <c r="D486" s="18" t="s">
        <v>15</v>
      </c>
      <c r="E486" s="18" t="s">
        <v>94</v>
      </c>
      <c r="F486" s="9" t="s">
        <v>98</v>
      </c>
      <c r="G486" s="18"/>
      <c r="H486" s="20">
        <f>H487</f>
        <v>1.2</v>
      </c>
      <c r="I486" s="20">
        <f>I487</f>
        <v>1.2</v>
      </c>
      <c r="J486" s="21">
        <f t="shared" si="33"/>
        <v>100</v>
      </c>
    </row>
    <row r="487" spans="2:10" s="16" customFormat="1" x14ac:dyDescent="0.25">
      <c r="B487" s="22" t="s">
        <v>99</v>
      </c>
      <c r="C487" s="18" t="s">
        <v>497</v>
      </c>
      <c r="D487" s="18" t="s">
        <v>15</v>
      </c>
      <c r="E487" s="18" t="s">
        <v>94</v>
      </c>
      <c r="F487" s="9" t="s">
        <v>100</v>
      </c>
      <c r="G487" s="18"/>
      <c r="H487" s="20">
        <f>H488</f>
        <v>1.2</v>
      </c>
      <c r="I487" s="20">
        <f>I488</f>
        <v>1.2</v>
      </c>
      <c r="J487" s="21">
        <f t="shared" si="33"/>
        <v>100</v>
      </c>
    </row>
    <row r="488" spans="2:10" s="16" customFormat="1" x14ac:dyDescent="0.25">
      <c r="B488" s="22" t="s">
        <v>512</v>
      </c>
      <c r="C488" s="18" t="s">
        <v>497</v>
      </c>
      <c r="D488" s="18" t="s">
        <v>15</v>
      </c>
      <c r="E488" s="18" t="s">
        <v>94</v>
      </c>
      <c r="F488" s="9" t="s">
        <v>100</v>
      </c>
      <c r="G488" s="18" t="s">
        <v>101</v>
      </c>
      <c r="H488" s="20">
        <f>1.3-0.1</f>
        <v>1.2</v>
      </c>
      <c r="I488" s="20">
        <v>1.2</v>
      </c>
      <c r="J488" s="21">
        <f t="shared" si="33"/>
        <v>100</v>
      </c>
    </row>
    <row r="489" spans="2:10" s="36" customFormat="1" ht="25.5" x14ac:dyDescent="0.2">
      <c r="B489" s="17" t="s">
        <v>504</v>
      </c>
      <c r="C489" s="18" t="s">
        <v>497</v>
      </c>
      <c r="D489" s="18" t="s">
        <v>15</v>
      </c>
      <c r="E489" s="18" t="s">
        <v>94</v>
      </c>
      <c r="F489" s="9" t="s">
        <v>505</v>
      </c>
      <c r="G489" s="19"/>
      <c r="H489" s="20">
        <f>H490+H493</f>
        <v>13322.8</v>
      </c>
      <c r="I489" s="20">
        <f>I490+I493</f>
        <v>13322.8</v>
      </c>
      <c r="J489" s="21">
        <f t="shared" si="33"/>
        <v>100</v>
      </c>
    </row>
    <row r="490" spans="2:10" s="36" customFormat="1" ht="51" x14ac:dyDescent="0.2">
      <c r="B490" s="37" t="s">
        <v>506</v>
      </c>
      <c r="C490" s="18" t="s">
        <v>497</v>
      </c>
      <c r="D490" s="18" t="s">
        <v>15</v>
      </c>
      <c r="E490" s="18" t="s">
        <v>94</v>
      </c>
      <c r="F490" s="9" t="s">
        <v>507</v>
      </c>
      <c r="G490" s="19"/>
      <c r="H490" s="20">
        <f>H491</f>
        <v>25</v>
      </c>
      <c r="I490" s="20">
        <f>I491</f>
        <v>25</v>
      </c>
      <c r="J490" s="21">
        <f t="shared" si="33"/>
        <v>100</v>
      </c>
    </row>
    <row r="491" spans="2:10" s="36" customFormat="1" ht="15" x14ac:dyDescent="0.2">
      <c r="B491" s="17" t="s">
        <v>513</v>
      </c>
      <c r="C491" s="18" t="s">
        <v>497</v>
      </c>
      <c r="D491" s="18" t="s">
        <v>15</v>
      </c>
      <c r="E491" s="18" t="s">
        <v>94</v>
      </c>
      <c r="F491" s="9" t="s">
        <v>514</v>
      </c>
      <c r="G491" s="19"/>
      <c r="H491" s="20">
        <f>H492</f>
        <v>25</v>
      </c>
      <c r="I491" s="20">
        <f>I492</f>
        <v>25</v>
      </c>
      <c r="J491" s="21">
        <f t="shared" si="33"/>
        <v>100</v>
      </c>
    </row>
    <row r="492" spans="2:10" s="36" customFormat="1" ht="15" x14ac:dyDescent="0.2">
      <c r="B492" s="17" t="s">
        <v>50</v>
      </c>
      <c r="C492" s="18" t="s">
        <v>497</v>
      </c>
      <c r="D492" s="18" t="s">
        <v>15</v>
      </c>
      <c r="E492" s="18" t="s">
        <v>94</v>
      </c>
      <c r="F492" s="9" t="s">
        <v>514</v>
      </c>
      <c r="G492" s="19" t="s">
        <v>51</v>
      </c>
      <c r="H492" s="20">
        <v>25</v>
      </c>
      <c r="I492" s="20">
        <v>25</v>
      </c>
      <c r="J492" s="21">
        <f t="shared" si="33"/>
        <v>100</v>
      </c>
    </row>
    <row r="493" spans="2:10" s="36" customFormat="1" ht="25.5" x14ac:dyDescent="0.2">
      <c r="B493" s="17" t="s">
        <v>515</v>
      </c>
      <c r="C493" s="18" t="s">
        <v>497</v>
      </c>
      <c r="D493" s="18" t="s">
        <v>15</v>
      </c>
      <c r="E493" s="18" t="s">
        <v>94</v>
      </c>
      <c r="F493" s="9" t="s">
        <v>516</v>
      </c>
      <c r="G493" s="19"/>
      <c r="H493" s="20">
        <f>H494+H500+H498</f>
        <v>13297.8</v>
      </c>
      <c r="I493" s="20">
        <f>I494+I500+I498</f>
        <v>13297.8</v>
      </c>
      <c r="J493" s="21">
        <f t="shared" si="33"/>
        <v>100</v>
      </c>
    </row>
    <row r="494" spans="2:10" s="36" customFormat="1" ht="15" x14ac:dyDescent="0.2">
      <c r="B494" s="17" t="s">
        <v>155</v>
      </c>
      <c r="C494" s="18" t="s">
        <v>497</v>
      </c>
      <c r="D494" s="18" t="s">
        <v>15</v>
      </c>
      <c r="E494" s="18" t="s">
        <v>94</v>
      </c>
      <c r="F494" s="9" t="s">
        <v>517</v>
      </c>
      <c r="G494" s="19"/>
      <c r="H494" s="20">
        <f>H495+H496+H497</f>
        <v>11147</v>
      </c>
      <c r="I494" s="20">
        <f>I495+I496+I497</f>
        <v>11147</v>
      </c>
      <c r="J494" s="21">
        <f t="shared" si="33"/>
        <v>100</v>
      </c>
    </row>
    <row r="495" spans="2:10" s="36" customFormat="1" ht="15" x14ac:dyDescent="0.2">
      <c r="B495" s="42" t="s">
        <v>157</v>
      </c>
      <c r="C495" s="18" t="s">
        <v>497</v>
      </c>
      <c r="D495" s="18" t="s">
        <v>15</v>
      </c>
      <c r="E495" s="18" t="s">
        <v>94</v>
      </c>
      <c r="F495" s="9" t="s">
        <v>517</v>
      </c>
      <c r="G495" s="19" t="s">
        <v>158</v>
      </c>
      <c r="H495" s="20">
        <f>10218.6-14.7</f>
        <v>10203.9</v>
      </c>
      <c r="I495" s="20">
        <v>10203.9</v>
      </c>
      <c r="J495" s="21">
        <f t="shared" si="33"/>
        <v>100</v>
      </c>
    </row>
    <row r="496" spans="2:10" s="36" customFormat="1" ht="15" x14ac:dyDescent="0.2">
      <c r="B496" s="42" t="s">
        <v>41</v>
      </c>
      <c r="C496" s="18" t="s">
        <v>497</v>
      </c>
      <c r="D496" s="18" t="s">
        <v>15</v>
      </c>
      <c r="E496" s="18" t="s">
        <v>94</v>
      </c>
      <c r="F496" s="9" t="s">
        <v>517</v>
      </c>
      <c r="G496" s="19" t="s">
        <v>24</v>
      </c>
      <c r="H496" s="20">
        <f>927.4+15.7</f>
        <v>943.1</v>
      </c>
      <c r="I496" s="20">
        <v>943.1</v>
      </c>
      <c r="J496" s="21">
        <f t="shared" si="33"/>
        <v>100</v>
      </c>
    </row>
    <row r="497" spans="2:10" s="36" customFormat="1" ht="15" hidden="1" x14ac:dyDescent="0.2">
      <c r="B497" s="17" t="s">
        <v>50</v>
      </c>
      <c r="C497" s="18" t="s">
        <v>497</v>
      </c>
      <c r="D497" s="18" t="s">
        <v>15</v>
      </c>
      <c r="E497" s="18" t="s">
        <v>94</v>
      </c>
      <c r="F497" s="9" t="s">
        <v>517</v>
      </c>
      <c r="G497" s="19" t="s">
        <v>51</v>
      </c>
      <c r="H497" s="20">
        <f>1-1</f>
        <v>0</v>
      </c>
      <c r="I497" s="20">
        <v>0</v>
      </c>
      <c r="J497" s="21" t="e">
        <f t="shared" si="33"/>
        <v>#DIV/0!</v>
      </c>
    </row>
    <row r="498" spans="2:10" s="36" customFormat="1" ht="25.5" x14ac:dyDescent="0.2">
      <c r="B498" s="28" t="s">
        <v>56</v>
      </c>
      <c r="C498" s="18" t="s">
        <v>497</v>
      </c>
      <c r="D498" s="18" t="s">
        <v>15</v>
      </c>
      <c r="E498" s="18" t="s">
        <v>94</v>
      </c>
      <c r="F498" s="9" t="s">
        <v>518</v>
      </c>
      <c r="G498" s="19"/>
      <c r="H498" s="20">
        <f>H499</f>
        <v>1242.8</v>
      </c>
      <c r="I498" s="20">
        <f>I499</f>
        <v>1242.8</v>
      </c>
      <c r="J498" s="21">
        <f t="shared" si="33"/>
        <v>100</v>
      </c>
    </row>
    <row r="499" spans="2:10" s="36" customFormat="1" ht="15" x14ac:dyDescent="0.2">
      <c r="B499" s="54" t="s">
        <v>157</v>
      </c>
      <c r="C499" s="18" t="s">
        <v>497</v>
      </c>
      <c r="D499" s="18" t="s">
        <v>15</v>
      </c>
      <c r="E499" s="18" t="s">
        <v>94</v>
      </c>
      <c r="F499" s="9" t="s">
        <v>518</v>
      </c>
      <c r="G499" s="19" t="s">
        <v>158</v>
      </c>
      <c r="H499" s="20">
        <v>1242.8</v>
      </c>
      <c r="I499" s="20">
        <v>1242.8</v>
      </c>
      <c r="J499" s="21">
        <f t="shared" si="33"/>
        <v>100</v>
      </c>
    </row>
    <row r="500" spans="2:10" s="36" customFormat="1" ht="25.5" x14ac:dyDescent="0.2">
      <c r="B500" s="42" t="s">
        <v>519</v>
      </c>
      <c r="C500" s="18" t="s">
        <v>497</v>
      </c>
      <c r="D500" s="18" t="s">
        <v>15</v>
      </c>
      <c r="E500" s="18" t="s">
        <v>94</v>
      </c>
      <c r="F500" s="9" t="s">
        <v>520</v>
      </c>
      <c r="G500" s="19"/>
      <c r="H500" s="20">
        <f>H501</f>
        <v>908</v>
      </c>
      <c r="I500" s="20">
        <f>I501</f>
        <v>908</v>
      </c>
      <c r="J500" s="21">
        <f t="shared" si="33"/>
        <v>100</v>
      </c>
    </row>
    <row r="501" spans="2:10" s="36" customFormat="1" ht="15" x14ac:dyDescent="0.2">
      <c r="B501" s="42" t="s">
        <v>157</v>
      </c>
      <c r="C501" s="18" t="s">
        <v>497</v>
      </c>
      <c r="D501" s="18" t="s">
        <v>15</v>
      </c>
      <c r="E501" s="18" t="s">
        <v>94</v>
      </c>
      <c r="F501" s="9" t="s">
        <v>520</v>
      </c>
      <c r="G501" s="19" t="s">
        <v>158</v>
      </c>
      <c r="H501" s="20">
        <f>878.7+29.3</f>
        <v>908</v>
      </c>
      <c r="I501" s="20">
        <v>908</v>
      </c>
      <c r="J501" s="21">
        <f t="shared" si="33"/>
        <v>100</v>
      </c>
    </row>
    <row r="502" spans="2:10" s="45" customFormat="1" x14ac:dyDescent="0.25">
      <c r="B502" s="12" t="s">
        <v>221</v>
      </c>
      <c r="C502" s="13" t="s">
        <v>497</v>
      </c>
      <c r="D502" s="13" t="s">
        <v>18</v>
      </c>
      <c r="E502" s="13"/>
      <c r="F502" s="8"/>
      <c r="G502" s="13"/>
      <c r="H502" s="14">
        <f>H503+H512</f>
        <v>3685.4</v>
      </c>
      <c r="I502" s="14">
        <f>I503+I512</f>
        <v>3677.4</v>
      </c>
      <c r="J502" s="15">
        <f t="shared" si="33"/>
        <v>99.782927226352641</v>
      </c>
    </row>
    <row r="503" spans="2:10" s="45" customFormat="1" x14ac:dyDescent="0.25">
      <c r="B503" s="40" t="s">
        <v>239</v>
      </c>
      <c r="C503" s="13" t="s">
        <v>497</v>
      </c>
      <c r="D503" s="13" t="s">
        <v>18</v>
      </c>
      <c r="E503" s="13" t="s">
        <v>186</v>
      </c>
      <c r="F503" s="8"/>
      <c r="G503" s="13"/>
      <c r="H503" s="14">
        <f>H504</f>
        <v>3559.3</v>
      </c>
      <c r="I503" s="14">
        <f>I504</f>
        <v>3551.3</v>
      </c>
      <c r="J503" s="15">
        <f t="shared" si="33"/>
        <v>99.775236703846261</v>
      </c>
    </row>
    <row r="504" spans="2:10" s="36" customFormat="1" ht="15" x14ac:dyDescent="0.2">
      <c r="B504" s="17" t="s">
        <v>231</v>
      </c>
      <c r="C504" s="18" t="s">
        <v>497</v>
      </c>
      <c r="D504" s="18" t="s">
        <v>18</v>
      </c>
      <c r="E504" s="18" t="s">
        <v>186</v>
      </c>
      <c r="F504" s="9" t="s">
        <v>232</v>
      </c>
      <c r="G504" s="18"/>
      <c r="H504" s="20">
        <f>H505</f>
        <v>3559.3</v>
      </c>
      <c r="I504" s="20">
        <f>I505</f>
        <v>3551.3</v>
      </c>
      <c r="J504" s="21">
        <f t="shared" si="33"/>
        <v>99.775236703846261</v>
      </c>
    </row>
    <row r="505" spans="2:10" s="36" customFormat="1" ht="15" x14ac:dyDescent="0.2">
      <c r="B505" s="17" t="s">
        <v>246</v>
      </c>
      <c r="C505" s="18" t="s">
        <v>497</v>
      </c>
      <c r="D505" s="18" t="s">
        <v>18</v>
      </c>
      <c r="E505" s="18" t="s">
        <v>186</v>
      </c>
      <c r="F505" s="9" t="s">
        <v>247</v>
      </c>
      <c r="G505" s="18"/>
      <c r="H505" s="20">
        <f>H509+H506</f>
        <v>3559.3</v>
      </c>
      <c r="I505" s="20">
        <f>I509+I506</f>
        <v>3551.3</v>
      </c>
      <c r="J505" s="21">
        <f t="shared" si="33"/>
        <v>99.775236703846261</v>
      </c>
    </row>
    <row r="506" spans="2:10" s="36" customFormat="1" ht="25.5" x14ac:dyDescent="0.2">
      <c r="B506" s="17" t="s">
        <v>248</v>
      </c>
      <c r="C506" s="18" t="s">
        <v>497</v>
      </c>
      <c r="D506" s="18" t="s">
        <v>18</v>
      </c>
      <c r="E506" s="18" t="s">
        <v>186</v>
      </c>
      <c r="F506" s="9" t="s">
        <v>249</v>
      </c>
      <c r="G506" s="18"/>
      <c r="H506" s="20">
        <f>H507</f>
        <v>753.3</v>
      </c>
      <c r="I506" s="20">
        <f>I507</f>
        <v>753.3</v>
      </c>
      <c r="J506" s="21">
        <f t="shared" si="33"/>
        <v>100</v>
      </c>
    </row>
    <row r="507" spans="2:10" s="36" customFormat="1" ht="25.5" x14ac:dyDescent="0.2">
      <c r="B507" s="37" t="s">
        <v>250</v>
      </c>
      <c r="C507" s="18" t="s">
        <v>497</v>
      </c>
      <c r="D507" s="18" t="s">
        <v>18</v>
      </c>
      <c r="E507" s="18" t="s">
        <v>186</v>
      </c>
      <c r="F507" s="9" t="s">
        <v>251</v>
      </c>
      <c r="G507" s="18"/>
      <c r="H507" s="20">
        <f>H508</f>
        <v>753.3</v>
      </c>
      <c r="I507" s="20">
        <f>I508</f>
        <v>753.3</v>
      </c>
      <c r="J507" s="21">
        <f t="shared" si="33"/>
        <v>100</v>
      </c>
    </row>
    <row r="508" spans="2:10" s="36" customFormat="1" ht="15" x14ac:dyDescent="0.2">
      <c r="B508" s="22" t="s">
        <v>512</v>
      </c>
      <c r="C508" s="18" t="s">
        <v>497</v>
      </c>
      <c r="D508" s="18" t="s">
        <v>18</v>
      </c>
      <c r="E508" s="18" t="s">
        <v>186</v>
      </c>
      <c r="F508" s="9" t="s">
        <v>251</v>
      </c>
      <c r="G508" s="18" t="s">
        <v>101</v>
      </c>
      <c r="H508" s="20">
        <v>753.3</v>
      </c>
      <c r="I508" s="20">
        <v>753.3</v>
      </c>
      <c r="J508" s="21">
        <f t="shared" si="33"/>
        <v>100</v>
      </c>
    </row>
    <row r="509" spans="2:10" s="36" customFormat="1" ht="15" x14ac:dyDescent="0.2">
      <c r="B509" s="17" t="s">
        <v>256</v>
      </c>
      <c r="C509" s="18" t="s">
        <v>497</v>
      </c>
      <c r="D509" s="18" t="s">
        <v>18</v>
      </c>
      <c r="E509" s="18" t="s">
        <v>186</v>
      </c>
      <c r="F509" s="9" t="s">
        <v>257</v>
      </c>
      <c r="G509" s="18"/>
      <c r="H509" s="20">
        <f>H510</f>
        <v>2806</v>
      </c>
      <c r="I509" s="20">
        <f>I510</f>
        <v>2798</v>
      </c>
      <c r="J509" s="21">
        <f t="shared" si="33"/>
        <v>99.714896650035627</v>
      </c>
    </row>
    <row r="510" spans="2:10" s="36" customFormat="1" ht="15" x14ac:dyDescent="0.2">
      <c r="B510" s="37" t="s">
        <v>258</v>
      </c>
      <c r="C510" s="18" t="s">
        <v>497</v>
      </c>
      <c r="D510" s="18" t="s">
        <v>18</v>
      </c>
      <c r="E510" s="18" t="s">
        <v>186</v>
      </c>
      <c r="F510" s="9" t="s">
        <v>259</v>
      </c>
      <c r="G510" s="18"/>
      <c r="H510" s="20">
        <f>H511</f>
        <v>2806</v>
      </c>
      <c r="I510" s="20">
        <f>I511</f>
        <v>2798</v>
      </c>
      <c r="J510" s="21">
        <f t="shared" si="33"/>
        <v>99.714896650035627</v>
      </c>
    </row>
    <row r="511" spans="2:10" s="36" customFormat="1" ht="15" x14ac:dyDescent="0.2">
      <c r="B511" s="22" t="s">
        <v>512</v>
      </c>
      <c r="C511" s="18" t="s">
        <v>497</v>
      </c>
      <c r="D511" s="18" t="s">
        <v>18</v>
      </c>
      <c r="E511" s="18" t="s">
        <v>186</v>
      </c>
      <c r="F511" s="9" t="s">
        <v>259</v>
      </c>
      <c r="G511" s="18" t="s">
        <v>101</v>
      </c>
      <c r="H511" s="20">
        <f>3559.3-753.3</f>
        <v>2806</v>
      </c>
      <c r="I511" s="20">
        <v>2798</v>
      </c>
      <c r="J511" s="21">
        <f t="shared" si="33"/>
        <v>99.714896650035627</v>
      </c>
    </row>
    <row r="512" spans="2:10" s="45" customFormat="1" x14ac:dyDescent="0.25">
      <c r="B512" s="40" t="s">
        <v>261</v>
      </c>
      <c r="C512" s="13" t="s">
        <v>497</v>
      </c>
      <c r="D512" s="13" t="s">
        <v>18</v>
      </c>
      <c r="E512" s="13" t="s">
        <v>262</v>
      </c>
      <c r="F512" s="8"/>
      <c r="G512" s="13"/>
      <c r="H512" s="14">
        <f>H516</f>
        <v>126.10000000000001</v>
      </c>
      <c r="I512" s="14">
        <f>I516</f>
        <v>126.10000000000001</v>
      </c>
      <c r="J512" s="15">
        <f t="shared" si="33"/>
        <v>100</v>
      </c>
    </row>
    <row r="513" spans="2:10" s="36" customFormat="1" ht="27" hidden="1" customHeight="1" x14ac:dyDescent="0.2">
      <c r="B513" s="17" t="s">
        <v>521</v>
      </c>
      <c r="C513" s="18" t="s">
        <v>497</v>
      </c>
      <c r="D513" s="18" t="s">
        <v>18</v>
      </c>
      <c r="E513" s="18" t="s">
        <v>262</v>
      </c>
      <c r="F513" s="9" t="s">
        <v>522</v>
      </c>
      <c r="G513" s="18"/>
      <c r="H513" s="20">
        <f>H514</f>
        <v>0</v>
      </c>
      <c r="I513" s="20">
        <f>I514</f>
        <v>0</v>
      </c>
      <c r="J513" s="21" t="e">
        <f t="shared" si="33"/>
        <v>#DIV/0!</v>
      </c>
    </row>
    <row r="514" spans="2:10" s="36" customFormat="1" ht="15" hidden="1" customHeight="1" x14ac:dyDescent="0.2">
      <c r="B514" s="17" t="s">
        <v>523</v>
      </c>
      <c r="C514" s="18" t="s">
        <v>497</v>
      </c>
      <c r="D514" s="18" t="s">
        <v>18</v>
      </c>
      <c r="E514" s="18" t="s">
        <v>262</v>
      </c>
      <c r="F514" s="9" t="s">
        <v>524</v>
      </c>
      <c r="G514" s="18"/>
      <c r="H514" s="20">
        <f>H515</f>
        <v>0</v>
      </c>
      <c r="I514" s="20">
        <f>I515</f>
        <v>0</v>
      </c>
      <c r="J514" s="21" t="e">
        <f t="shared" si="33"/>
        <v>#DIV/0!</v>
      </c>
    </row>
    <row r="515" spans="2:10" s="36" customFormat="1" ht="38.25" hidden="1" customHeight="1" x14ac:dyDescent="0.2">
      <c r="B515" s="17" t="s">
        <v>295</v>
      </c>
      <c r="C515" s="18" t="s">
        <v>497</v>
      </c>
      <c r="D515" s="18" t="s">
        <v>18</v>
      </c>
      <c r="E515" s="18" t="s">
        <v>262</v>
      </c>
      <c r="F515" s="9" t="s">
        <v>524</v>
      </c>
      <c r="G515" s="18" t="s">
        <v>296</v>
      </c>
      <c r="H515" s="20">
        <v>0</v>
      </c>
      <c r="I515" s="20">
        <v>0</v>
      </c>
      <c r="J515" s="21" t="e">
        <f t="shared" si="33"/>
        <v>#DIV/0!</v>
      </c>
    </row>
    <row r="516" spans="2:10" s="36" customFormat="1" ht="25.5" x14ac:dyDescent="0.2">
      <c r="B516" s="17" t="s">
        <v>263</v>
      </c>
      <c r="C516" s="18" t="s">
        <v>497</v>
      </c>
      <c r="D516" s="18" t="s">
        <v>18</v>
      </c>
      <c r="E516" s="18" t="s">
        <v>262</v>
      </c>
      <c r="F516" s="9" t="s">
        <v>264</v>
      </c>
      <c r="G516" s="18"/>
      <c r="H516" s="20">
        <f>H517+H520+H523</f>
        <v>126.10000000000001</v>
      </c>
      <c r="I516" s="20">
        <f>I517+I520+I523</f>
        <v>126.10000000000001</v>
      </c>
      <c r="J516" s="21">
        <f t="shared" si="33"/>
        <v>100</v>
      </c>
    </row>
    <row r="517" spans="2:10" s="36" customFormat="1" ht="38.25" x14ac:dyDescent="0.2">
      <c r="B517" s="17" t="s">
        <v>525</v>
      </c>
      <c r="C517" s="18" t="s">
        <v>497</v>
      </c>
      <c r="D517" s="18" t="s">
        <v>18</v>
      </c>
      <c r="E517" s="18" t="s">
        <v>262</v>
      </c>
      <c r="F517" s="9" t="s">
        <v>526</v>
      </c>
      <c r="G517" s="18"/>
      <c r="H517" s="20">
        <f>H518</f>
        <v>12.7</v>
      </c>
      <c r="I517" s="20">
        <f>I518</f>
        <v>12.7</v>
      </c>
      <c r="J517" s="21">
        <f t="shared" si="33"/>
        <v>100</v>
      </c>
    </row>
    <row r="518" spans="2:10" s="36" customFormat="1" ht="15" x14ac:dyDescent="0.2">
      <c r="B518" s="17" t="s">
        <v>527</v>
      </c>
      <c r="C518" s="18" t="s">
        <v>497</v>
      </c>
      <c r="D518" s="18" t="s">
        <v>18</v>
      </c>
      <c r="E518" s="18" t="s">
        <v>262</v>
      </c>
      <c r="F518" s="9" t="s">
        <v>528</v>
      </c>
      <c r="G518" s="18"/>
      <c r="H518" s="20">
        <f>H519</f>
        <v>12.7</v>
      </c>
      <c r="I518" s="20">
        <f>I519</f>
        <v>12.7</v>
      </c>
      <c r="J518" s="21">
        <f t="shared" si="33"/>
        <v>100</v>
      </c>
    </row>
    <row r="519" spans="2:10" s="36" customFormat="1" ht="15" x14ac:dyDescent="0.2">
      <c r="B519" s="17" t="s">
        <v>41</v>
      </c>
      <c r="C519" s="18" t="s">
        <v>497</v>
      </c>
      <c r="D519" s="18" t="s">
        <v>18</v>
      </c>
      <c r="E519" s="18" t="s">
        <v>262</v>
      </c>
      <c r="F519" s="9" t="s">
        <v>528</v>
      </c>
      <c r="G519" s="18" t="s">
        <v>24</v>
      </c>
      <c r="H519" s="20">
        <f>25-12.3</f>
        <v>12.7</v>
      </c>
      <c r="I519" s="20">
        <v>12.7</v>
      </c>
      <c r="J519" s="21">
        <f t="shared" si="33"/>
        <v>100</v>
      </c>
    </row>
    <row r="520" spans="2:10" s="36" customFormat="1" ht="25.5" x14ac:dyDescent="0.2">
      <c r="B520" s="17" t="s">
        <v>529</v>
      </c>
      <c r="C520" s="18" t="s">
        <v>497</v>
      </c>
      <c r="D520" s="18" t="s">
        <v>18</v>
      </c>
      <c r="E520" s="18" t="s">
        <v>262</v>
      </c>
      <c r="F520" s="9" t="s">
        <v>530</v>
      </c>
      <c r="G520" s="18"/>
      <c r="H520" s="20">
        <f>H521</f>
        <v>113.4</v>
      </c>
      <c r="I520" s="20">
        <f>I521</f>
        <v>113.4</v>
      </c>
      <c r="J520" s="21">
        <f t="shared" si="33"/>
        <v>100</v>
      </c>
    </row>
    <row r="521" spans="2:10" s="36" customFormat="1" ht="15" x14ac:dyDescent="0.2">
      <c r="B521" s="17" t="s">
        <v>531</v>
      </c>
      <c r="C521" s="18" t="s">
        <v>497</v>
      </c>
      <c r="D521" s="18" t="s">
        <v>18</v>
      </c>
      <c r="E521" s="18" t="s">
        <v>262</v>
      </c>
      <c r="F521" s="9" t="s">
        <v>532</v>
      </c>
      <c r="G521" s="18"/>
      <c r="H521" s="20">
        <f>H522</f>
        <v>113.4</v>
      </c>
      <c r="I521" s="20">
        <f>I522</f>
        <v>113.4</v>
      </c>
      <c r="J521" s="21">
        <f t="shared" ref="J521:J584" si="35">I521/H521*100</f>
        <v>100</v>
      </c>
    </row>
    <row r="522" spans="2:10" s="36" customFormat="1" ht="15" x14ac:dyDescent="0.2">
      <c r="B522" s="17" t="s">
        <v>41</v>
      </c>
      <c r="C522" s="18" t="s">
        <v>497</v>
      </c>
      <c r="D522" s="18" t="s">
        <v>18</v>
      </c>
      <c r="E522" s="18" t="s">
        <v>262</v>
      </c>
      <c r="F522" s="9" t="s">
        <v>532</v>
      </c>
      <c r="G522" s="18" t="s">
        <v>24</v>
      </c>
      <c r="H522" s="20">
        <f>150-36.6</f>
        <v>113.4</v>
      </c>
      <c r="I522" s="20">
        <v>113.4</v>
      </c>
      <c r="J522" s="21">
        <f t="shared" si="35"/>
        <v>100</v>
      </c>
    </row>
    <row r="523" spans="2:10" s="36" customFormat="1" ht="26.25" hidden="1" customHeight="1" x14ac:dyDescent="0.2">
      <c r="B523" s="17" t="s">
        <v>521</v>
      </c>
      <c r="C523" s="18" t="s">
        <v>497</v>
      </c>
      <c r="D523" s="18" t="s">
        <v>18</v>
      </c>
      <c r="E523" s="18" t="s">
        <v>262</v>
      </c>
      <c r="F523" s="9" t="s">
        <v>533</v>
      </c>
      <c r="G523" s="18"/>
      <c r="H523" s="20">
        <f>H524</f>
        <v>0</v>
      </c>
      <c r="I523" s="20">
        <f>I524</f>
        <v>0</v>
      </c>
      <c r="J523" s="21" t="e">
        <f t="shared" si="35"/>
        <v>#DIV/0!</v>
      </c>
    </row>
    <row r="524" spans="2:10" s="36" customFormat="1" ht="18" hidden="1" customHeight="1" x14ac:dyDescent="0.2">
      <c r="B524" s="17" t="s">
        <v>523</v>
      </c>
      <c r="C524" s="18" t="s">
        <v>497</v>
      </c>
      <c r="D524" s="18" t="s">
        <v>18</v>
      </c>
      <c r="E524" s="18" t="s">
        <v>262</v>
      </c>
      <c r="F524" s="9" t="s">
        <v>534</v>
      </c>
      <c r="G524" s="18"/>
      <c r="H524" s="20">
        <f>H525</f>
        <v>0</v>
      </c>
      <c r="I524" s="20">
        <f>I525</f>
        <v>0</v>
      </c>
      <c r="J524" s="21" t="e">
        <f t="shared" si="35"/>
        <v>#DIV/0!</v>
      </c>
    </row>
    <row r="525" spans="2:10" s="36" customFormat="1" ht="38.25" hidden="1" customHeight="1" x14ac:dyDescent="0.2">
      <c r="B525" s="17" t="s">
        <v>295</v>
      </c>
      <c r="C525" s="18" t="s">
        <v>497</v>
      </c>
      <c r="D525" s="18" t="s">
        <v>18</v>
      </c>
      <c r="E525" s="18" t="s">
        <v>262</v>
      </c>
      <c r="F525" s="9" t="s">
        <v>534</v>
      </c>
      <c r="G525" s="18" t="s">
        <v>296</v>
      </c>
      <c r="H525" s="20">
        <v>0</v>
      </c>
      <c r="I525" s="20">
        <v>0</v>
      </c>
      <c r="J525" s="21" t="e">
        <f t="shared" si="35"/>
        <v>#DIV/0!</v>
      </c>
    </row>
    <row r="526" spans="2:10" s="45" customFormat="1" x14ac:dyDescent="0.25">
      <c r="B526" s="55" t="s">
        <v>331</v>
      </c>
      <c r="C526" s="13" t="s">
        <v>497</v>
      </c>
      <c r="D526" s="13" t="s">
        <v>332</v>
      </c>
      <c r="E526" s="13"/>
      <c r="F526" s="33"/>
      <c r="G526" s="33"/>
      <c r="H526" s="14">
        <f t="shared" ref="H526:I530" si="36">H527</f>
        <v>1349</v>
      </c>
      <c r="I526" s="14">
        <f t="shared" si="36"/>
        <v>1349</v>
      </c>
      <c r="J526" s="15">
        <f t="shared" si="35"/>
        <v>100</v>
      </c>
    </row>
    <row r="527" spans="2:10" s="45" customFormat="1" x14ac:dyDescent="0.25">
      <c r="B527" s="55" t="s">
        <v>333</v>
      </c>
      <c r="C527" s="13" t="s">
        <v>497</v>
      </c>
      <c r="D527" s="13" t="s">
        <v>332</v>
      </c>
      <c r="E527" s="13" t="s">
        <v>85</v>
      </c>
      <c r="F527" s="33"/>
      <c r="G527" s="33"/>
      <c r="H527" s="14">
        <f t="shared" si="36"/>
        <v>1349</v>
      </c>
      <c r="I527" s="14">
        <f t="shared" si="36"/>
        <v>1349</v>
      </c>
      <c r="J527" s="15">
        <f t="shared" si="35"/>
        <v>100</v>
      </c>
    </row>
    <row r="528" spans="2:10" s="36" customFormat="1" ht="25.5" x14ac:dyDescent="0.2">
      <c r="B528" s="24" t="s">
        <v>68</v>
      </c>
      <c r="C528" s="18" t="s">
        <v>497</v>
      </c>
      <c r="D528" s="18" t="s">
        <v>332</v>
      </c>
      <c r="E528" s="18" t="s">
        <v>85</v>
      </c>
      <c r="F528" s="19" t="s">
        <v>69</v>
      </c>
      <c r="G528" s="19"/>
      <c r="H528" s="20">
        <f t="shared" si="36"/>
        <v>1349</v>
      </c>
      <c r="I528" s="20">
        <f t="shared" si="36"/>
        <v>1349</v>
      </c>
      <c r="J528" s="21">
        <f t="shared" si="35"/>
        <v>100</v>
      </c>
    </row>
    <row r="529" spans="2:10" s="36" customFormat="1" ht="25.5" x14ac:dyDescent="0.2">
      <c r="B529" s="17" t="s">
        <v>70</v>
      </c>
      <c r="C529" s="18" t="s">
        <v>497</v>
      </c>
      <c r="D529" s="18" t="s">
        <v>332</v>
      </c>
      <c r="E529" s="18" t="s">
        <v>85</v>
      </c>
      <c r="F529" s="9" t="s">
        <v>535</v>
      </c>
      <c r="G529" s="19"/>
      <c r="H529" s="20">
        <f t="shared" si="36"/>
        <v>1349</v>
      </c>
      <c r="I529" s="20">
        <f t="shared" si="36"/>
        <v>1349</v>
      </c>
      <c r="J529" s="21">
        <f t="shared" si="35"/>
        <v>100</v>
      </c>
    </row>
    <row r="530" spans="2:10" s="36" customFormat="1" ht="15" x14ac:dyDescent="0.2">
      <c r="B530" s="24" t="s">
        <v>336</v>
      </c>
      <c r="C530" s="18" t="s">
        <v>497</v>
      </c>
      <c r="D530" s="18" t="s">
        <v>332</v>
      </c>
      <c r="E530" s="18" t="s">
        <v>85</v>
      </c>
      <c r="F530" s="9" t="s">
        <v>341</v>
      </c>
      <c r="G530" s="19"/>
      <c r="H530" s="20">
        <f t="shared" si="36"/>
        <v>1349</v>
      </c>
      <c r="I530" s="20">
        <f t="shared" si="36"/>
        <v>1349</v>
      </c>
      <c r="J530" s="21">
        <f t="shared" si="35"/>
        <v>100</v>
      </c>
    </row>
    <row r="531" spans="2:10" s="36" customFormat="1" ht="15" x14ac:dyDescent="0.2">
      <c r="B531" s="22" t="s">
        <v>512</v>
      </c>
      <c r="C531" s="18" t="s">
        <v>497</v>
      </c>
      <c r="D531" s="18" t="s">
        <v>332</v>
      </c>
      <c r="E531" s="18" t="s">
        <v>85</v>
      </c>
      <c r="F531" s="9" t="s">
        <v>341</v>
      </c>
      <c r="G531" s="19" t="s">
        <v>101</v>
      </c>
      <c r="H531" s="20">
        <v>1349</v>
      </c>
      <c r="I531" s="20">
        <v>1349</v>
      </c>
      <c r="J531" s="21">
        <f t="shared" si="35"/>
        <v>100</v>
      </c>
    </row>
    <row r="532" spans="2:10" s="16" customFormat="1" ht="25.5" x14ac:dyDescent="0.25">
      <c r="B532" s="12" t="s">
        <v>536</v>
      </c>
      <c r="C532" s="13" t="s">
        <v>497</v>
      </c>
      <c r="D532" s="13" t="s">
        <v>204</v>
      </c>
      <c r="E532" s="13"/>
      <c r="F532" s="8"/>
      <c r="G532" s="13"/>
      <c r="H532" s="14">
        <f>H533+H540</f>
        <v>17473.8</v>
      </c>
      <c r="I532" s="14">
        <f>I533+I540</f>
        <v>17473.8</v>
      </c>
      <c r="J532" s="15">
        <f t="shared" si="35"/>
        <v>100</v>
      </c>
    </row>
    <row r="533" spans="2:10" s="16" customFormat="1" ht="25.5" x14ac:dyDescent="0.25">
      <c r="B533" s="12" t="s">
        <v>537</v>
      </c>
      <c r="C533" s="13" t="s">
        <v>497</v>
      </c>
      <c r="D533" s="13" t="s">
        <v>204</v>
      </c>
      <c r="E533" s="13" t="s">
        <v>15</v>
      </c>
      <c r="F533" s="8"/>
      <c r="G533" s="13"/>
      <c r="H533" s="14">
        <f>H534</f>
        <v>5892</v>
      </c>
      <c r="I533" s="14">
        <f>I534</f>
        <v>5892</v>
      </c>
      <c r="J533" s="15">
        <f t="shared" si="35"/>
        <v>100</v>
      </c>
    </row>
    <row r="534" spans="2:10" ht="25.5" x14ac:dyDescent="0.2">
      <c r="B534" s="17" t="s">
        <v>504</v>
      </c>
      <c r="C534" s="18" t="s">
        <v>497</v>
      </c>
      <c r="D534" s="18" t="s">
        <v>204</v>
      </c>
      <c r="E534" s="18" t="s">
        <v>15</v>
      </c>
      <c r="F534" s="9" t="s">
        <v>505</v>
      </c>
      <c r="G534" s="18"/>
      <c r="H534" s="20">
        <f>H535</f>
        <v>5892</v>
      </c>
      <c r="I534" s="20">
        <f>I535</f>
        <v>5892</v>
      </c>
      <c r="J534" s="21">
        <f t="shared" si="35"/>
        <v>100</v>
      </c>
    </row>
    <row r="535" spans="2:10" ht="25.5" x14ac:dyDescent="0.2">
      <c r="B535" s="30" t="s">
        <v>538</v>
      </c>
      <c r="C535" s="18" t="s">
        <v>497</v>
      </c>
      <c r="D535" s="18" t="s">
        <v>204</v>
      </c>
      <c r="E535" s="18" t="s">
        <v>15</v>
      </c>
      <c r="F535" s="9" t="s">
        <v>539</v>
      </c>
      <c r="G535" s="18"/>
      <c r="H535" s="20">
        <f>H536+H538</f>
        <v>5892</v>
      </c>
      <c r="I535" s="20">
        <f>I536+I538</f>
        <v>5892</v>
      </c>
      <c r="J535" s="21">
        <f t="shared" si="35"/>
        <v>100</v>
      </c>
    </row>
    <row r="536" spans="2:10" ht="51" x14ac:dyDescent="0.2">
      <c r="B536" s="17" t="s">
        <v>540</v>
      </c>
      <c r="C536" s="18" t="s">
        <v>497</v>
      </c>
      <c r="D536" s="18" t="s">
        <v>204</v>
      </c>
      <c r="E536" s="18" t="s">
        <v>15</v>
      </c>
      <c r="F536" s="9" t="s">
        <v>541</v>
      </c>
      <c r="G536" s="18"/>
      <c r="H536" s="20">
        <f>H537</f>
        <v>1152.0999999999999</v>
      </c>
      <c r="I536" s="20">
        <f>I537</f>
        <v>1152.0999999999999</v>
      </c>
      <c r="J536" s="21">
        <f t="shared" si="35"/>
        <v>100</v>
      </c>
    </row>
    <row r="537" spans="2:10" ht="12.75" x14ac:dyDescent="0.2">
      <c r="B537" s="17" t="s">
        <v>542</v>
      </c>
      <c r="C537" s="18" t="s">
        <v>497</v>
      </c>
      <c r="D537" s="18" t="s">
        <v>204</v>
      </c>
      <c r="E537" s="18" t="s">
        <v>15</v>
      </c>
      <c r="F537" s="9" t="s">
        <v>541</v>
      </c>
      <c r="G537" s="18" t="s">
        <v>543</v>
      </c>
      <c r="H537" s="20">
        <v>1152.0999999999999</v>
      </c>
      <c r="I537" s="20">
        <v>1152.0999999999999</v>
      </c>
      <c r="J537" s="21">
        <f t="shared" si="35"/>
        <v>100</v>
      </c>
    </row>
    <row r="538" spans="2:10" ht="12.75" x14ac:dyDescent="0.2">
      <c r="B538" s="37" t="s">
        <v>544</v>
      </c>
      <c r="C538" s="18" t="s">
        <v>497</v>
      </c>
      <c r="D538" s="18" t="s">
        <v>204</v>
      </c>
      <c r="E538" s="18" t="s">
        <v>15</v>
      </c>
      <c r="F538" s="9" t="s">
        <v>545</v>
      </c>
      <c r="G538" s="18"/>
      <c r="H538" s="20">
        <f>H539</f>
        <v>4739.8999999999996</v>
      </c>
      <c r="I538" s="20">
        <f>I539</f>
        <v>4739.8999999999996</v>
      </c>
      <c r="J538" s="21">
        <f t="shared" si="35"/>
        <v>100</v>
      </c>
    </row>
    <row r="539" spans="2:10" ht="12.75" x14ac:dyDescent="0.2">
      <c r="B539" s="17" t="s">
        <v>542</v>
      </c>
      <c r="C539" s="18" t="s">
        <v>497</v>
      </c>
      <c r="D539" s="18" t="s">
        <v>204</v>
      </c>
      <c r="E539" s="18" t="s">
        <v>15</v>
      </c>
      <c r="F539" s="9" t="s">
        <v>545</v>
      </c>
      <c r="G539" s="18" t="s">
        <v>543</v>
      </c>
      <c r="H539" s="20">
        <v>4739.8999999999996</v>
      </c>
      <c r="I539" s="20">
        <v>4739.8999999999996</v>
      </c>
      <c r="J539" s="21">
        <f t="shared" si="35"/>
        <v>100</v>
      </c>
    </row>
    <row r="540" spans="2:10" s="16" customFormat="1" x14ac:dyDescent="0.25">
      <c r="B540" s="32" t="s">
        <v>546</v>
      </c>
      <c r="C540" s="13" t="s">
        <v>497</v>
      </c>
      <c r="D540" s="13" t="s">
        <v>204</v>
      </c>
      <c r="E540" s="13" t="s">
        <v>292</v>
      </c>
      <c r="F540" s="8"/>
      <c r="G540" s="13"/>
      <c r="H540" s="14">
        <f>H541</f>
        <v>11581.8</v>
      </c>
      <c r="I540" s="14">
        <f>I541</f>
        <v>11581.8</v>
      </c>
      <c r="J540" s="15">
        <f t="shared" si="35"/>
        <v>100</v>
      </c>
    </row>
    <row r="541" spans="2:10" s="36" customFormat="1" ht="25.5" x14ac:dyDescent="0.2">
      <c r="B541" s="17" t="s">
        <v>504</v>
      </c>
      <c r="C541" s="18" t="s">
        <v>497</v>
      </c>
      <c r="D541" s="18" t="s">
        <v>204</v>
      </c>
      <c r="E541" s="18" t="s">
        <v>292</v>
      </c>
      <c r="F541" s="9" t="s">
        <v>505</v>
      </c>
      <c r="G541" s="18"/>
      <c r="H541" s="20">
        <f t="shared" ref="H541:I543" si="37">H542</f>
        <v>11581.8</v>
      </c>
      <c r="I541" s="20">
        <f t="shared" si="37"/>
        <v>11581.8</v>
      </c>
      <c r="J541" s="21">
        <f t="shared" si="35"/>
        <v>100</v>
      </c>
    </row>
    <row r="542" spans="2:10" s="36" customFormat="1" ht="25.5" x14ac:dyDescent="0.2">
      <c r="B542" s="37" t="s">
        <v>547</v>
      </c>
      <c r="C542" s="18" t="s">
        <v>497</v>
      </c>
      <c r="D542" s="18" t="s">
        <v>204</v>
      </c>
      <c r="E542" s="18" t="s">
        <v>292</v>
      </c>
      <c r="F542" s="9" t="s">
        <v>548</v>
      </c>
      <c r="G542" s="18"/>
      <c r="H542" s="20">
        <f t="shared" si="37"/>
        <v>11581.8</v>
      </c>
      <c r="I542" s="20">
        <f t="shared" si="37"/>
        <v>11581.8</v>
      </c>
      <c r="J542" s="21">
        <f t="shared" si="35"/>
        <v>100</v>
      </c>
    </row>
    <row r="543" spans="2:10" s="36" customFormat="1" ht="15" x14ac:dyDescent="0.2">
      <c r="B543" s="37" t="s">
        <v>549</v>
      </c>
      <c r="C543" s="18" t="s">
        <v>497</v>
      </c>
      <c r="D543" s="18" t="s">
        <v>204</v>
      </c>
      <c r="E543" s="18" t="s">
        <v>292</v>
      </c>
      <c r="F543" s="9" t="s">
        <v>550</v>
      </c>
      <c r="G543" s="18"/>
      <c r="H543" s="20">
        <f t="shared" si="37"/>
        <v>11581.8</v>
      </c>
      <c r="I543" s="20">
        <f t="shared" si="37"/>
        <v>11581.8</v>
      </c>
      <c r="J543" s="21">
        <f t="shared" si="35"/>
        <v>100</v>
      </c>
    </row>
    <row r="544" spans="2:10" s="36" customFormat="1" ht="15" x14ac:dyDescent="0.2">
      <c r="B544" s="17" t="s">
        <v>542</v>
      </c>
      <c r="C544" s="18" t="s">
        <v>497</v>
      </c>
      <c r="D544" s="18" t="s">
        <v>204</v>
      </c>
      <c r="E544" s="18" t="s">
        <v>292</v>
      </c>
      <c r="F544" s="9" t="s">
        <v>550</v>
      </c>
      <c r="G544" s="18" t="s">
        <v>543</v>
      </c>
      <c r="H544" s="20">
        <f>10705.7+50+104.3+721.8</f>
        <v>11581.8</v>
      </c>
      <c r="I544" s="20">
        <v>11581.8</v>
      </c>
      <c r="J544" s="21">
        <f t="shared" si="35"/>
        <v>100</v>
      </c>
    </row>
    <row r="545" spans="2:10" s="16" customFormat="1" x14ac:dyDescent="0.25">
      <c r="B545" s="12" t="s">
        <v>551</v>
      </c>
      <c r="C545" s="13" t="s">
        <v>552</v>
      </c>
      <c r="D545" s="13"/>
      <c r="E545" s="13"/>
      <c r="F545" s="13"/>
      <c r="G545" s="13"/>
      <c r="H545" s="14">
        <f>H546+H562+H586+H592</f>
        <v>10547.1</v>
      </c>
      <c r="I545" s="14">
        <f>I546+I562+I586+I592</f>
        <v>10404.199999999999</v>
      </c>
      <c r="J545" s="15">
        <f t="shared" si="35"/>
        <v>98.645125200292</v>
      </c>
    </row>
    <row r="546" spans="2:10" s="16" customFormat="1" x14ac:dyDescent="0.25">
      <c r="B546" s="12" t="s">
        <v>14</v>
      </c>
      <c r="C546" s="13" t="s">
        <v>552</v>
      </c>
      <c r="D546" s="13" t="s">
        <v>15</v>
      </c>
      <c r="E546" s="13"/>
      <c r="F546" s="13"/>
      <c r="G546" s="13"/>
      <c r="H546" s="14">
        <f>H547</f>
        <v>5062.3</v>
      </c>
      <c r="I546" s="14">
        <f>I547</f>
        <v>4968.7999999999993</v>
      </c>
      <c r="J546" s="15">
        <f t="shared" si="35"/>
        <v>98.153013452383291</v>
      </c>
    </row>
    <row r="547" spans="2:10" s="16" customFormat="1" x14ac:dyDescent="0.25">
      <c r="B547" s="12" t="s">
        <v>93</v>
      </c>
      <c r="C547" s="13" t="s">
        <v>552</v>
      </c>
      <c r="D547" s="13" t="s">
        <v>15</v>
      </c>
      <c r="E547" s="13" t="s">
        <v>94</v>
      </c>
      <c r="F547" s="13"/>
      <c r="G547" s="13"/>
      <c r="H547" s="14">
        <f>H551+H548</f>
        <v>5062.3</v>
      </c>
      <c r="I547" s="14">
        <f>I551+I548</f>
        <v>4968.7999999999993</v>
      </c>
      <c r="J547" s="15">
        <f t="shared" si="35"/>
        <v>98.153013452383291</v>
      </c>
    </row>
    <row r="548" spans="2:10" s="16" customFormat="1" hidden="1" x14ac:dyDescent="0.25">
      <c r="B548" s="24" t="s">
        <v>97</v>
      </c>
      <c r="C548" s="18" t="s">
        <v>552</v>
      </c>
      <c r="D548" s="18" t="s">
        <v>15</v>
      </c>
      <c r="E548" s="18" t="s">
        <v>94</v>
      </c>
      <c r="F548" s="18" t="s">
        <v>98</v>
      </c>
      <c r="G548" s="13"/>
      <c r="H548" s="20">
        <f>H549</f>
        <v>0</v>
      </c>
      <c r="I548" s="20">
        <f>I549</f>
        <v>0</v>
      </c>
      <c r="J548" s="21" t="e">
        <f t="shared" si="35"/>
        <v>#DIV/0!</v>
      </c>
    </row>
    <row r="549" spans="2:10" s="16" customFormat="1" hidden="1" x14ac:dyDescent="0.25">
      <c r="B549" s="22" t="s">
        <v>99</v>
      </c>
      <c r="C549" s="18" t="s">
        <v>552</v>
      </c>
      <c r="D549" s="18" t="s">
        <v>15</v>
      </c>
      <c r="E549" s="18" t="s">
        <v>94</v>
      </c>
      <c r="F549" s="18" t="s">
        <v>100</v>
      </c>
      <c r="G549" s="13"/>
      <c r="H549" s="20">
        <f>H550</f>
        <v>0</v>
      </c>
      <c r="I549" s="20">
        <f>I550</f>
        <v>0</v>
      </c>
      <c r="J549" s="21" t="e">
        <f t="shared" si="35"/>
        <v>#DIV/0!</v>
      </c>
    </row>
    <row r="550" spans="2:10" s="16" customFormat="1" hidden="1" x14ac:dyDescent="0.25">
      <c r="B550" s="17" t="s">
        <v>41</v>
      </c>
      <c r="C550" s="18" t="s">
        <v>552</v>
      </c>
      <c r="D550" s="18" t="s">
        <v>15</v>
      </c>
      <c r="E550" s="18" t="s">
        <v>94</v>
      </c>
      <c r="F550" s="18" t="s">
        <v>100</v>
      </c>
      <c r="G550" s="18" t="s">
        <v>24</v>
      </c>
      <c r="H550" s="20">
        <f>100-100</f>
        <v>0</v>
      </c>
      <c r="I550" s="20">
        <v>0</v>
      </c>
      <c r="J550" s="21" t="e">
        <f t="shared" si="35"/>
        <v>#DIV/0!</v>
      </c>
    </row>
    <row r="551" spans="2:10" s="45" customFormat="1" ht="25.5" x14ac:dyDescent="0.25">
      <c r="B551" s="30" t="s">
        <v>178</v>
      </c>
      <c r="C551" s="18" t="s">
        <v>552</v>
      </c>
      <c r="D551" s="18" t="s">
        <v>15</v>
      </c>
      <c r="E551" s="18" t="s">
        <v>94</v>
      </c>
      <c r="F551" s="9" t="s">
        <v>179</v>
      </c>
      <c r="G551" s="19"/>
      <c r="H551" s="20">
        <f>H552+H557</f>
        <v>5062.3</v>
      </c>
      <c r="I551" s="20">
        <f>I552+I557</f>
        <v>4968.7999999999993</v>
      </c>
      <c r="J551" s="21">
        <f t="shared" si="35"/>
        <v>98.153013452383291</v>
      </c>
    </row>
    <row r="552" spans="2:10" s="45" customFormat="1" x14ac:dyDescent="0.25">
      <c r="B552" s="38" t="s">
        <v>180</v>
      </c>
      <c r="C552" s="18" t="s">
        <v>552</v>
      </c>
      <c r="D552" s="18" t="s">
        <v>15</v>
      </c>
      <c r="E552" s="18" t="s">
        <v>94</v>
      </c>
      <c r="F552" s="9" t="s">
        <v>130</v>
      </c>
      <c r="G552" s="19"/>
      <c r="H552" s="20">
        <f>H553</f>
        <v>4212.3</v>
      </c>
      <c r="I552" s="20">
        <f>I553</f>
        <v>4210.8999999999996</v>
      </c>
      <c r="J552" s="21">
        <f t="shared" si="35"/>
        <v>99.96676400066471</v>
      </c>
    </row>
    <row r="553" spans="2:10" s="45" customFormat="1" x14ac:dyDescent="0.25">
      <c r="B553" s="38" t="s">
        <v>181</v>
      </c>
      <c r="C553" s="18" t="s">
        <v>552</v>
      </c>
      <c r="D553" s="18" t="s">
        <v>15</v>
      </c>
      <c r="E553" s="18" t="s">
        <v>94</v>
      </c>
      <c r="F553" s="9" t="s">
        <v>182</v>
      </c>
      <c r="G553" s="19"/>
      <c r="H553" s="20">
        <f>H554+H556+H555</f>
        <v>4212.3</v>
      </c>
      <c r="I553" s="20">
        <f>I554+I556+I555</f>
        <v>4210.8999999999996</v>
      </c>
      <c r="J553" s="21">
        <f t="shared" si="35"/>
        <v>99.96676400066471</v>
      </c>
    </row>
    <row r="554" spans="2:10" s="45" customFormat="1" x14ac:dyDescent="0.25">
      <c r="B554" s="17" t="s">
        <v>41</v>
      </c>
      <c r="C554" s="18" t="s">
        <v>552</v>
      </c>
      <c r="D554" s="18" t="s">
        <v>15</v>
      </c>
      <c r="E554" s="18" t="s">
        <v>94</v>
      </c>
      <c r="F554" s="9" t="s">
        <v>182</v>
      </c>
      <c r="G554" s="19" t="s">
        <v>24</v>
      </c>
      <c r="H554" s="20">
        <f>4101.8+21</f>
        <v>4122.8</v>
      </c>
      <c r="I554" s="20">
        <v>4121.3999999999996</v>
      </c>
      <c r="J554" s="21">
        <f t="shared" si="35"/>
        <v>99.966042495391477</v>
      </c>
    </row>
    <row r="555" spans="2:10" s="45" customFormat="1" x14ac:dyDescent="0.25">
      <c r="B555" s="17" t="s">
        <v>553</v>
      </c>
      <c r="C555" s="18" t="s">
        <v>552</v>
      </c>
      <c r="D555" s="18" t="s">
        <v>15</v>
      </c>
      <c r="E555" s="18" t="s">
        <v>94</v>
      </c>
      <c r="F555" s="9" t="s">
        <v>182</v>
      </c>
      <c r="G555" s="19" t="s">
        <v>554</v>
      </c>
      <c r="H555" s="20">
        <v>65</v>
      </c>
      <c r="I555" s="20">
        <v>65</v>
      </c>
      <c r="J555" s="21">
        <f t="shared" si="35"/>
        <v>100</v>
      </c>
    </row>
    <row r="556" spans="2:10" s="45" customFormat="1" x14ac:dyDescent="0.25">
      <c r="B556" s="17" t="s">
        <v>50</v>
      </c>
      <c r="C556" s="18" t="s">
        <v>552</v>
      </c>
      <c r="D556" s="18" t="s">
        <v>15</v>
      </c>
      <c r="E556" s="18" t="s">
        <v>94</v>
      </c>
      <c r="F556" s="9" t="s">
        <v>182</v>
      </c>
      <c r="G556" s="19" t="s">
        <v>51</v>
      </c>
      <c r="H556" s="20">
        <f>45.5-21</f>
        <v>24.5</v>
      </c>
      <c r="I556" s="20">
        <v>24.5</v>
      </c>
      <c r="J556" s="21">
        <f t="shared" si="35"/>
        <v>100</v>
      </c>
    </row>
    <row r="557" spans="2:10" s="45" customFormat="1" x14ac:dyDescent="0.25">
      <c r="B557" s="38" t="s">
        <v>555</v>
      </c>
      <c r="C557" s="18" t="s">
        <v>552</v>
      </c>
      <c r="D557" s="18" t="s">
        <v>15</v>
      </c>
      <c r="E557" s="18" t="s">
        <v>94</v>
      </c>
      <c r="F557" s="9" t="s">
        <v>556</v>
      </c>
      <c r="G557" s="19"/>
      <c r="H557" s="20">
        <f>H558+H560</f>
        <v>850</v>
      </c>
      <c r="I557" s="20">
        <f>I558+I560</f>
        <v>757.9</v>
      </c>
      <c r="J557" s="21">
        <f t="shared" si="35"/>
        <v>89.164705882352933</v>
      </c>
    </row>
    <row r="558" spans="2:10" s="45" customFormat="1" x14ac:dyDescent="0.25">
      <c r="B558" s="38" t="s">
        <v>181</v>
      </c>
      <c r="C558" s="18" t="s">
        <v>552</v>
      </c>
      <c r="D558" s="18" t="s">
        <v>15</v>
      </c>
      <c r="E558" s="18" t="s">
        <v>94</v>
      </c>
      <c r="F558" s="9" t="s">
        <v>557</v>
      </c>
      <c r="G558" s="19"/>
      <c r="H558" s="20">
        <f>H559</f>
        <v>450</v>
      </c>
      <c r="I558" s="20">
        <f>I559</f>
        <v>357.9</v>
      </c>
      <c r="J558" s="21">
        <f t="shared" si="35"/>
        <v>79.533333333333331</v>
      </c>
    </row>
    <row r="559" spans="2:10" s="45" customFormat="1" x14ac:dyDescent="0.25">
      <c r="B559" s="17" t="s">
        <v>41</v>
      </c>
      <c r="C559" s="18" t="s">
        <v>552</v>
      </c>
      <c r="D559" s="18" t="s">
        <v>15</v>
      </c>
      <c r="E559" s="18" t="s">
        <v>94</v>
      </c>
      <c r="F559" s="9" t="s">
        <v>557</v>
      </c>
      <c r="G559" s="19" t="s">
        <v>24</v>
      </c>
      <c r="H559" s="20">
        <v>450</v>
      </c>
      <c r="I559" s="20">
        <v>357.9</v>
      </c>
      <c r="J559" s="21">
        <f t="shared" si="35"/>
        <v>79.533333333333331</v>
      </c>
    </row>
    <row r="560" spans="2:10" s="45" customFormat="1" x14ac:dyDescent="0.25">
      <c r="B560" s="17" t="s">
        <v>558</v>
      </c>
      <c r="C560" s="18" t="s">
        <v>552</v>
      </c>
      <c r="D560" s="18" t="s">
        <v>15</v>
      </c>
      <c r="E560" s="18" t="s">
        <v>94</v>
      </c>
      <c r="F560" s="9" t="s">
        <v>559</v>
      </c>
      <c r="G560" s="19"/>
      <c r="H560" s="20">
        <f>H561</f>
        <v>400</v>
      </c>
      <c r="I560" s="20">
        <f>I561</f>
        <v>400</v>
      </c>
      <c r="J560" s="21">
        <f t="shared" si="35"/>
        <v>100</v>
      </c>
    </row>
    <row r="561" spans="2:10" s="45" customFormat="1" x14ac:dyDescent="0.25">
      <c r="B561" s="17" t="s">
        <v>41</v>
      </c>
      <c r="C561" s="18" t="s">
        <v>552</v>
      </c>
      <c r="D561" s="18" t="s">
        <v>15</v>
      </c>
      <c r="E561" s="18" t="s">
        <v>94</v>
      </c>
      <c r="F561" s="9" t="s">
        <v>559</v>
      </c>
      <c r="G561" s="19" t="s">
        <v>24</v>
      </c>
      <c r="H561" s="20">
        <f>360+40</f>
        <v>400</v>
      </c>
      <c r="I561" s="20">
        <v>400</v>
      </c>
      <c r="J561" s="21">
        <f t="shared" si="35"/>
        <v>100</v>
      </c>
    </row>
    <row r="562" spans="2:10" s="16" customFormat="1" x14ac:dyDescent="0.25">
      <c r="B562" s="12" t="s">
        <v>221</v>
      </c>
      <c r="C562" s="13" t="s">
        <v>552</v>
      </c>
      <c r="D562" s="13" t="s">
        <v>18</v>
      </c>
      <c r="E562" s="13"/>
      <c r="F562" s="13"/>
      <c r="G562" s="13"/>
      <c r="H562" s="14">
        <f>H569+H563</f>
        <v>2196.1999999999998</v>
      </c>
      <c r="I562" s="14">
        <f>I569+I563</f>
        <v>2183.3000000000002</v>
      </c>
      <c r="J562" s="15">
        <f t="shared" si="35"/>
        <v>99.412621801293156</v>
      </c>
    </row>
    <row r="563" spans="2:10" s="16" customFormat="1" ht="14.25" hidden="1" customHeight="1" x14ac:dyDescent="0.25">
      <c r="B563" s="12" t="s">
        <v>229</v>
      </c>
      <c r="C563" s="13" t="s">
        <v>552</v>
      </c>
      <c r="D563" s="13" t="s">
        <v>18</v>
      </c>
      <c r="E563" s="13" t="s">
        <v>230</v>
      </c>
      <c r="F563" s="13"/>
      <c r="G563" s="13"/>
      <c r="H563" s="14">
        <f t="shared" ref="H563:I567" si="38">H564</f>
        <v>0</v>
      </c>
      <c r="I563" s="14">
        <f t="shared" si="38"/>
        <v>0</v>
      </c>
      <c r="J563" s="21" t="e">
        <f t="shared" si="35"/>
        <v>#DIV/0!</v>
      </c>
    </row>
    <row r="564" spans="2:10" ht="24" hidden="1" customHeight="1" x14ac:dyDescent="0.2">
      <c r="B564" s="17" t="s">
        <v>560</v>
      </c>
      <c r="C564" s="18" t="s">
        <v>552</v>
      </c>
      <c r="D564" s="18" t="s">
        <v>18</v>
      </c>
      <c r="E564" s="18" t="s">
        <v>230</v>
      </c>
      <c r="F564" s="9" t="s">
        <v>455</v>
      </c>
      <c r="G564" s="18"/>
      <c r="H564" s="20">
        <f t="shared" si="38"/>
        <v>0</v>
      </c>
      <c r="I564" s="20">
        <f t="shared" si="38"/>
        <v>0</v>
      </c>
      <c r="J564" s="21" t="e">
        <f t="shared" si="35"/>
        <v>#DIV/0!</v>
      </c>
    </row>
    <row r="565" spans="2:10" ht="15.75" hidden="1" customHeight="1" x14ac:dyDescent="0.2">
      <c r="B565" s="17" t="s">
        <v>233</v>
      </c>
      <c r="C565" s="18" t="s">
        <v>552</v>
      </c>
      <c r="D565" s="18" t="s">
        <v>18</v>
      </c>
      <c r="E565" s="18" t="s">
        <v>230</v>
      </c>
      <c r="F565" s="9" t="s">
        <v>473</v>
      </c>
      <c r="G565" s="18"/>
      <c r="H565" s="20">
        <f t="shared" si="38"/>
        <v>0</v>
      </c>
      <c r="I565" s="20">
        <f t="shared" si="38"/>
        <v>0</v>
      </c>
      <c r="J565" s="21" t="e">
        <f t="shared" si="35"/>
        <v>#DIV/0!</v>
      </c>
    </row>
    <row r="566" spans="2:10" ht="24" hidden="1" customHeight="1" x14ac:dyDescent="0.2">
      <c r="B566" s="37" t="s">
        <v>235</v>
      </c>
      <c r="C566" s="18" t="s">
        <v>552</v>
      </c>
      <c r="D566" s="18" t="s">
        <v>18</v>
      </c>
      <c r="E566" s="18" t="s">
        <v>230</v>
      </c>
      <c r="F566" s="9" t="s">
        <v>561</v>
      </c>
      <c r="G566" s="18"/>
      <c r="H566" s="20">
        <f t="shared" si="38"/>
        <v>0</v>
      </c>
      <c r="I566" s="20">
        <f t="shared" si="38"/>
        <v>0</v>
      </c>
      <c r="J566" s="21" t="e">
        <f t="shared" si="35"/>
        <v>#DIV/0!</v>
      </c>
    </row>
    <row r="567" spans="2:10" ht="13.5" hidden="1" customHeight="1" x14ac:dyDescent="0.2">
      <c r="B567" s="17" t="s">
        <v>562</v>
      </c>
      <c r="C567" s="18" t="s">
        <v>552</v>
      </c>
      <c r="D567" s="18" t="s">
        <v>18</v>
      </c>
      <c r="E567" s="18" t="s">
        <v>230</v>
      </c>
      <c r="F567" s="9" t="s">
        <v>563</v>
      </c>
      <c r="G567" s="18"/>
      <c r="H567" s="20">
        <f t="shared" si="38"/>
        <v>0</v>
      </c>
      <c r="I567" s="20">
        <f t="shared" si="38"/>
        <v>0</v>
      </c>
      <c r="J567" s="21" t="e">
        <f t="shared" si="35"/>
        <v>#DIV/0!</v>
      </c>
    </row>
    <row r="568" spans="2:10" ht="25.5" hidden="1" customHeight="1" x14ac:dyDescent="0.2">
      <c r="B568" s="17" t="s">
        <v>23</v>
      </c>
      <c r="C568" s="18" t="s">
        <v>552</v>
      </c>
      <c r="D568" s="18" t="s">
        <v>18</v>
      </c>
      <c r="E568" s="18" t="s">
        <v>230</v>
      </c>
      <c r="F568" s="9" t="s">
        <v>563</v>
      </c>
      <c r="G568" s="18" t="s">
        <v>24</v>
      </c>
      <c r="H568" s="20"/>
      <c r="I568" s="20"/>
      <c r="J568" s="21" t="e">
        <f t="shared" si="35"/>
        <v>#DIV/0!</v>
      </c>
    </row>
    <row r="569" spans="2:10" s="16" customFormat="1" x14ac:dyDescent="0.25">
      <c r="B569" s="40" t="s">
        <v>261</v>
      </c>
      <c r="C569" s="13" t="s">
        <v>552</v>
      </c>
      <c r="D569" s="13" t="s">
        <v>18</v>
      </c>
      <c r="E569" s="13" t="s">
        <v>262</v>
      </c>
      <c r="F569" s="13"/>
      <c r="G569" s="13"/>
      <c r="H569" s="14">
        <f>H575+H570</f>
        <v>2196.1999999999998</v>
      </c>
      <c r="I569" s="14">
        <f>I575+I570</f>
        <v>2183.3000000000002</v>
      </c>
      <c r="J569" s="15">
        <f t="shared" si="35"/>
        <v>99.412621801293156</v>
      </c>
    </row>
    <row r="570" spans="2:10" s="16" customFormat="1" ht="25.5" x14ac:dyDescent="0.25">
      <c r="B570" s="24" t="s">
        <v>484</v>
      </c>
      <c r="C570" s="18" t="s">
        <v>552</v>
      </c>
      <c r="D570" s="18" t="s">
        <v>18</v>
      </c>
      <c r="E570" s="18" t="s">
        <v>262</v>
      </c>
      <c r="F570" s="18" t="s">
        <v>43</v>
      </c>
      <c r="G570" s="18"/>
      <c r="H570" s="20">
        <f t="shared" ref="H570:I573" si="39">H571</f>
        <v>24.5</v>
      </c>
      <c r="I570" s="20">
        <f t="shared" si="39"/>
        <v>24.5</v>
      </c>
      <c r="J570" s="21">
        <f t="shared" si="35"/>
        <v>100</v>
      </c>
    </row>
    <row r="571" spans="2:10" s="16" customFormat="1" ht="25.5" x14ac:dyDescent="0.25">
      <c r="B571" s="24" t="s">
        <v>44</v>
      </c>
      <c r="C571" s="18" t="s">
        <v>552</v>
      </c>
      <c r="D571" s="18" t="s">
        <v>18</v>
      </c>
      <c r="E571" s="18" t="s">
        <v>262</v>
      </c>
      <c r="F571" s="18" t="s">
        <v>45</v>
      </c>
      <c r="G571" s="18"/>
      <c r="H571" s="20">
        <f t="shared" si="39"/>
        <v>24.5</v>
      </c>
      <c r="I571" s="20">
        <f t="shared" si="39"/>
        <v>24.5</v>
      </c>
      <c r="J571" s="21">
        <f t="shared" si="35"/>
        <v>100</v>
      </c>
    </row>
    <row r="572" spans="2:10" s="16" customFormat="1" ht="25.5" x14ac:dyDescent="0.25">
      <c r="B572" s="17" t="s">
        <v>52</v>
      </c>
      <c r="C572" s="18" t="s">
        <v>552</v>
      </c>
      <c r="D572" s="18" t="s">
        <v>18</v>
      </c>
      <c r="E572" s="18" t="s">
        <v>262</v>
      </c>
      <c r="F572" s="18" t="s">
        <v>53</v>
      </c>
      <c r="G572" s="18"/>
      <c r="H572" s="20">
        <f t="shared" si="39"/>
        <v>24.5</v>
      </c>
      <c r="I572" s="20">
        <f t="shared" si="39"/>
        <v>24.5</v>
      </c>
      <c r="J572" s="21">
        <f t="shared" si="35"/>
        <v>100</v>
      </c>
    </row>
    <row r="573" spans="2:10" s="16" customFormat="1" ht="76.5" x14ac:dyDescent="0.25">
      <c r="B573" s="27" t="s">
        <v>54</v>
      </c>
      <c r="C573" s="18" t="s">
        <v>552</v>
      </c>
      <c r="D573" s="18" t="s">
        <v>18</v>
      </c>
      <c r="E573" s="18" t="s">
        <v>262</v>
      </c>
      <c r="F573" s="9" t="s">
        <v>55</v>
      </c>
      <c r="G573" s="18"/>
      <c r="H573" s="20">
        <f t="shared" si="39"/>
        <v>24.5</v>
      </c>
      <c r="I573" s="20">
        <f t="shared" si="39"/>
        <v>24.5</v>
      </c>
      <c r="J573" s="21">
        <f t="shared" si="35"/>
        <v>100</v>
      </c>
    </row>
    <row r="574" spans="2:10" s="16" customFormat="1" x14ac:dyDescent="0.25">
      <c r="B574" s="27" t="s">
        <v>29</v>
      </c>
      <c r="C574" s="18" t="s">
        <v>552</v>
      </c>
      <c r="D574" s="18" t="s">
        <v>18</v>
      </c>
      <c r="E574" s="18" t="s">
        <v>262</v>
      </c>
      <c r="F574" s="9" t="s">
        <v>55</v>
      </c>
      <c r="G574" s="18" t="s">
        <v>30</v>
      </c>
      <c r="H574" s="20">
        <v>24.5</v>
      </c>
      <c r="I574" s="20">
        <v>24.5</v>
      </c>
      <c r="J574" s="21">
        <f t="shared" si="35"/>
        <v>100</v>
      </c>
    </row>
    <row r="575" spans="2:10" s="36" customFormat="1" ht="25.5" x14ac:dyDescent="0.2">
      <c r="B575" s="17" t="s">
        <v>178</v>
      </c>
      <c r="C575" s="18" t="s">
        <v>552</v>
      </c>
      <c r="D575" s="18" t="s">
        <v>18</v>
      </c>
      <c r="E575" s="18" t="s">
        <v>262</v>
      </c>
      <c r="F575" s="9" t="s">
        <v>179</v>
      </c>
      <c r="G575" s="18"/>
      <c r="H575" s="20">
        <f>H576+H583</f>
        <v>2171.6999999999998</v>
      </c>
      <c r="I575" s="20">
        <f>I576+I583</f>
        <v>2158.8000000000002</v>
      </c>
      <c r="J575" s="21">
        <f t="shared" si="35"/>
        <v>99.405995303218702</v>
      </c>
    </row>
    <row r="576" spans="2:10" s="36" customFormat="1" ht="25.5" x14ac:dyDescent="0.2">
      <c r="B576" s="38" t="s">
        <v>564</v>
      </c>
      <c r="C576" s="18" t="s">
        <v>552</v>
      </c>
      <c r="D576" s="18" t="s">
        <v>18</v>
      </c>
      <c r="E576" s="18" t="s">
        <v>262</v>
      </c>
      <c r="F576" s="9" t="s">
        <v>565</v>
      </c>
      <c r="G576" s="18"/>
      <c r="H576" s="20">
        <f>H577+H581</f>
        <v>2124.6999999999998</v>
      </c>
      <c r="I576" s="20">
        <f>I577+I581</f>
        <v>2111.8000000000002</v>
      </c>
      <c r="J576" s="21">
        <f t="shared" si="35"/>
        <v>99.392855461947576</v>
      </c>
    </row>
    <row r="577" spans="2:10" s="36" customFormat="1" ht="15" x14ac:dyDescent="0.2">
      <c r="B577" s="24" t="s">
        <v>48</v>
      </c>
      <c r="C577" s="18" t="s">
        <v>552</v>
      </c>
      <c r="D577" s="18" t="s">
        <v>18</v>
      </c>
      <c r="E577" s="18" t="s">
        <v>262</v>
      </c>
      <c r="F577" s="9" t="s">
        <v>566</v>
      </c>
      <c r="G577" s="18"/>
      <c r="H577" s="20">
        <f>H578+H579+H580</f>
        <v>2124.6999999999998</v>
      </c>
      <c r="I577" s="20">
        <f>I578+I579+I580</f>
        <v>2111.8000000000002</v>
      </c>
      <c r="J577" s="21">
        <f t="shared" si="35"/>
        <v>99.392855461947576</v>
      </c>
    </row>
    <row r="578" spans="2:10" s="36" customFormat="1" ht="15" x14ac:dyDescent="0.2">
      <c r="B578" s="17" t="s">
        <v>29</v>
      </c>
      <c r="C578" s="18" t="s">
        <v>552</v>
      </c>
      <c r="D578" s="18" t="s">
        <v>18</v>
      </c>
      <c r="E578" s="18" t="s">
        <v>262</v>
      </c>
      <c r="F578" s="9" t="s">
        <v>566</v>
      </c>
      <c r="G578" s="18" t="s">
        <v>30</v>
      </c>
      <c r="H578" s="20">
        <f>1831+48.2-4.4</f>
        <v>1874.8</v>
      </c>
      <c r="I578" s="20">
        <v>1874.8</v>
      </c>
      <c r="J578" s="21">
        <f t="shared" si="35"/>
        <v>100</v>
      </c>
    </row>
    <row r="579" spans="2:10" s="36" customFormat="1" ht="15" x14ac:dyDescent="0.2">
      <c r="B579" s="17" t="s">
        <v>41</v>
      </c>
      <c r="C579" s="18" t="s">
        <v>552</v>
      </c>
      <c r="D579" s="18" t="s">
        <v>18</v>
      </c>
      <c r="E579" s="18" t="s">
        <v>262</v>
      </c>
      <c r="F579" s="9" t="s">
        <v>566</v>
      </c>
      <c r="G579" s="18" t="s">
        <v>24</v>
      </c>
      <c r="H579" s="20">
        <f>243+4.4</f>
        <v>247.4</v>
      </c>
      <c r="I579" s="20">
        <v>235</v>
      </c>
      <c r="J579" s="21">
        <f t="shared" si="35"/>
        <v>94.987873888439765</v>
      </c>
    </row>
    <row r="580" spans="2:10" s="36" customFormat="1" ht="15" x14ac:dyDescent="0.2">
      <c r="B580" s="17" t="s">
        <v>50</v>
      </c>
      <c r="C580" s="18" t="s">
        <v>552</v>
      </c>
      <c r="D580" s="18" t="s">
        <v>18</v>
      </c>
      <c r="E580" s="18" t="s">
        <v>262</v>
      </c>
      <c r="F580" s="9" t="s">
        <v>566</v>
      </c>
      <c r="G580" s="18" t="s">
        <v>51</v>
      </c>
      <c r="H580" s="20">
        <f>0.5+2</f>
        <v>2.5</v>
      </c>
      <c r="I580" s="20">
        <v>2</v>
      </c>
      <c r="J580" s="21">
        <f t="shared" si="35"/>
        <v>80</v>
      </c>
    </row>
    <row r="581" spans="2:10" s="36" customFormat="1" ht="111.75" hidden="1" customHeight="1" x14ac:dyDescent="0.2">
      <c r="B581" s="27" t="s">
        <v>54</v>
      </c>
      <c r="C581" s="18" t="s">
        <v>552</v>
      </c>
      <c r="D581" s="18" t="s">
        <v>18</v>
      </c>
      <c r="E581" s="18" t="s">
        <v>262</v>
      </c>
      <c r="F581" s="9" t="s">
        <v>567</v>
      </c>
      <c r="G581" s="18"/>
      <c r="H581" s="20">
        <f>H582</f>
        <v>0</v>
      </c>
      <c r="I581" s="20">
        <f>I582</f>
        <v>0</v>
      </c>
      <c r="J581" s="21" t="e">
        <f t="shared" si="35"/>
        <v>#DIV/0!</v>
      </c>
    </row>
    <row r="582" spans="2:10" s="36" customFormat="1" ht="24" hidden="1" customHeight="1" x14ac:dyDescent="0.2">
      <c r="B582" s="27" t="s">
        <v>29</v>
      </c>
      <c r="C582" s="18" t="s">
        <v>552</v>
      </c>
      <c r="D582" s="18" t="s">
        <v>18</v>
      </c>
      <c r="E582" s="18" t="s">
        <v>262</v>
      </c>
      <c r="F582" s="9" t="s">
        <v>567</v>
      </c>
      <c r="G582" s="18" t="s">
        <v>30</v>
      </c>
      <c r="H582" s="20"/>
      <c r="I582" s="20">
        <v>0</v>
      </c>
      <c r="J582" s="21" t="e">
        <f t="shared" si="35"/>
        <v>#DIV/0!</v>
      </c>
    </row>
    <row r="583" spans="2:10" s="36" customFormat="1" ht="15" x14ac:dyDescent="0.2">
      <c r="B583" s="38" t="s">
        <v>555</v>
      </c>
      <c r="C583" s="18" t="s">
        <v>552</v>
      </c>
      <c r="D583" s="18" t="s">
        <v>18</v>
      </c>
      <c r="E583" s="18" t="s">
        <v>262</v>
      </c>
      <c r="F583" s="9" t="s">
        <v>556</v>
      </c>
      <c r="G583" s="18"/>
      <c r="H583" s="20">
        <f>H584</f>
        <v>47</v>
      </c>
      <c r="I583" s="20">
        <f>I584</f>
        <v>47</v>
      </c>
      <c r="J583" s="21">
        <f t="shared" si="35"/>
        <v>100</v>
      </c>
    </row>
    <row r="584" spans="2:10" s="36" customFormat="1" ht="51" x14ac:dyDescent="0.2">
      <c r="B584" s="17" t="s">
        <v>568</v>
      </c>
      <c r="C584" s="18" t="s">
        <v>552</v>
      </c>
      <c r="D584" s="18" t="s">
        <v>18</v>
      </c>
      <c r="E584" s="18" t="s">
        <v>262</v>
      </c>
      <c r="F584" s="9" t="s">
        <v>569</v>
      </c>
      <c r="G584" s="18"/>
      <c r="H584" s="20">
        <f>H585</f>
        <v>47</v>
      </c>
      <c r="I584" s="20">
        <f>I585</f>
        <v>47</v>
      </c>
      <c r="J584" s="21">
        <f t="shared" si="35"/>
        <v>100</v>
      </c>
    </row>
    <row r="585" spans="2:10" s="36" customFormat="1" ht="15" x14ac:dyDescent="0.2">
      <c r="B585" s="17" t="s">
        <v>41</v>
      </c>
      <c r="C585" s="18" t="s">
        <v>552</v>
      </c>
      <c r="D585" s="18" t="s">
        <v>18</v>
      </c>
      <c r="E585" s="18" t="s">
        <v>262</v>
      </c>
      <c r="F585" s="9" t="s">
        <v>569</v>
      </c>
      <c r="G585" s="18" t="s">
        <v>24</v>
      </c>
      <c r="H585" s="20">
        <f>43.6+3.4</f>
        <v>47</v>
      </c>
      <c r="I585" s="20">
        <v>47</v>
      </c>
      <c r="J585" s="21">
        <f t="shared" ref="J585:J648" si="40">I585/H585*100</f>
        <v>100</v>
      </c>
    </row>
    <row r="586" spans="2:10" s="16" customFormat="1" x14ac:dyDescent="0.25">
      <c r="B586" s="12" t="s">
        <v>269</v>
      </c>
      <c r="C586" s="13" t="s">
        <v>552</v>
      </c>
      <c r="D586" s="13" t="s">
        <v>85</v>
      </c>
      <c r="E586" s="13"/>
      <c r="F586" s="13"/>
      <c r="G586" s="13"/>
      <c r="H586" s="14">
        <f>H587</f>
        <v>161</v>
      </c>
      <c r="I586" s="14">
        <f>I587</f>
        <v>124.5</v>
      </c>
      <c r="J586" s="15">
        <f t="shared" si="40"/>
        <v>77.32919254658384</v>
      </c>
    </row>
    <row r="587" spans="2:10" s="16" customFormat="1" x14ac:dyDescent="0.25">
      <c r="B587" s="12" t="s">
        <v>270</v>
      </c>
      <c r="C587" s="13" t="s">
        <v>552</v>
      </c>
      <c r="D587" s="13" t="s">
        <v>85</v>
      </c>
      <c r="E587" s="13" t="s">
        <v>15</v>
      </c>
      <c r="F587" s="13"/>
      <c r="G587" s="13"/>
      <c r="H587" s="14">
        <f>H588</f>
        <v>161</v>
      </c>
      <c r="I587" s="14">
        <f>I588</f>
        <v>124.5</v>
      </c>
      <c r="J587" s="15">
        <f t="shared" si="40"/>
        <v>77.32919254658384</v>
      </c>
    </row>
    <row r="588" spans="2:10" s="45" customFormat="1" ht="25.5" x14ac:dyDescent="0.25">
      <c r="B588" s="17" t="s">
        <v>178</v>
      </c>
      <c r="C588" s="18" t="s">
        <v>552</v>
      </c>
      <c r="D588" s="18" t="s">
        <v>85</v>
      </c>
      <c r="E588" s="18" t="s">
        <v>15</v>
      </c>
      <c r="F588" s="9" t="s">
        <v>179</v>
      </c>
      <c r="G588" s="19"/>
      <c r="H588" s="20">
        <f t="shared" ref="H588:I590" si="41">H589</f>
        <v>161</v>
      </c>
      <c r="I588" s="20">
        <f t="shared" si="41"/>
        <v>124.5</v>
      </c>
      <c r="J588" s="21">
        <f t="shared" si="40"/>
        <v>77.32919254658384</v>
      </c>
    </row>
    <row r="589" spans="2:10" s="45" customFormat="1" x14ac:dyDescent="0.25">
      <c r="B589" s="38" t="s">
        <v>180</v>
      </c>
      <c r="C589" s="18" t="s">
        <v>552</v>
      </c>
      <c r="D589" s="18" t="s">
        <v>85</v>
      </c>
      <c r="E589" s="18" t="s">
        <v>15</v>
      </c>
      <c r="F589" s="9" t="s">
        <v>130</v>
      </c>
      <c r="G589" s="19"/>
      <c r="H589" s="20">
        <f t="shared" si="41"/>
        <v>161</v>
      </c>
      <c r="I589" s="20">
        <f t="shared" si="41"/>
        <v>124.5</v>
      </c>
      <c r="J589" s="21">
        <f t="shared" si="40"/>
        <v>77.32919254658384</v>
      </c>
    </row>
    <row r="590" spans="2:10" s="45" customFormat="1" x14ac:dyDescent="0.25">
      <c r="B590" s="38" t="s">
        <v>181</v>
      </c>
      <c r="C590" s="18" t="s">
        <v>552</v>
      </c>
      <c r="D590" s="18" t="s">
        <v>85</v>
      </c>
      <c r="E590" s="18" t="s">
        <v>15</v>
      </c>
      <c r="F590" s="9" t="s">
        <v>182</v>
      </c>
      <c r="G590" s="19"/>
      <c r="H590" s="20">
        <f t="shared" si="41"/>
        <v>161</v>
      </c>
      <c r="I590" s="20">
        <f t="shared" si="41"/>
        <v>124.5</v>
      </c>
      <c r="J590" s="21">
        <f t="shared" si="40"/>
        <v>77.32919254658384</v>
      </c>
    </row>
    <row r="591" spans="2:10" s="45" customFormat="1" x14ac:dyDescent="0.25">
      <c r="B591" s="17" t="s">
        <v>41</v>
      </c>
      <c r="C591" s="18" t="s">
        <v>552</v>
      </c>
      <c r="D591" s="18" t="s">
        <v>85</v>
      </c>
      <c r="E591" s="18" t="s">
        <v>15</v>
      </c>
      <c r="F591" s="9" t="s">
        <v>182</v>
      </c>
      <c r="G591" s="19" t="s">
        <v>24</v>
      </c>
      <c r="H591" s="20">
        <f>281-120</f>
        <v>161</v>
      </c>
      <c r="I591" s="20">
        <v>124.5</v>
      </c>
      <c r="J591" s="21">
        <f t="shared" si="40"/>
        <v>77.32919254658384</v>
      </c>
    </row>
    <row r="592" spans="2:10" s="45" customFormat="1" x14ac:dyDescent="0.25">
      <c r="B592" s="12" t="s">
        <v>420</v>
      </c>
      <c r="C592" s="13" t="s">
        <v>552</v>
      </c>
      <c r="D592" s="13" t="s">
        <v>421</v>
      </c>
      <c r="E592" s="13"/>
      <c r="F592" s="8"/>
      <c r="G592" s="33"/>
      <c r="H592" s="14">
        <f t="shared" ref="H592:I596" si="42">H593</f>
        <v>3127.6</v>
      </c>
      <c r="I592" s="14">
        <f t="shared" si="42"/>
        <v>3127.6</v>
      </c>
      <c r="J592" s="15">
        <f t="shared" si="40"/>
        <v>100</v>
      </c>
    </row>
    <row r="593" spans="2:10" s="45" customFormat="1" x14ac:dyDescent="0.25">
      <c r="B593" s="12" t="s">
        <v>429</v>
      </c>
      <c r="C593" s="13" t="s">
        <v>552</v>
      </c>
      <c r="D593" s="13" t="s">
        <v>421</v>
      </c>
      <c r="E593" s="13" t="s">
        <v>184</v>
      </c>
      <c r="F593" s="8"/>
      <c r="G593" s="33"/>
      <c r="H593" s="14">
        <f t="shared" si="42"/>
        <v>3127.6</v>
      </c>
      <c r="I593" s="14">
        <f t="shared" si="42"/>
        <v>3127.6</v>
      </c>
      <c r="J593" s="15">
        <f t="shared" si="40"/>
        <v>100</v>
      </c>
    </row>
    <row r="594" spans="2:10" s="45" customFormat="1" ht="25.5" x14ac:dyDescent="0.25">
      <c r="B594" s="30" t="s">
        <v>178</v>
      </c>
      <c r="C594" s="18" t="s">
        <v>552</v>
      </c>
      <c r="D594" s="18" t="s">
        <v>421</v>
      </c>
      <c r="E594" s="18" t="s">
        <v>184</v>
      </c>
      <c r="F594" s="9" t="s">
        <v>179</v>
      </c>
      <c r="G594" s="18"/>
      <c r="H594" s="20">
        <f t="shared" si="42"/>
        <v>3127.6</v>
      </c>
      <c r="I594" s="20">
        <f t="shared" si="42"/>
        <v>3127.6</v>
      </c>
      <c r="J594" s="21">
        <f t="shared" si="40"/>
        <v>100</v>
      </c>
    </row>
    <row r="595" spans="2:10" s="45" customFormat="1" x14ac:dyDescent="0.25">
      <c r="B595" s="38" t="s">
        <v>555</v>
      </c>
      <c r="C595" s="18" t="s">
        <v>552</v>
      </c>
      <c r="D595" s="18" t="s">
        <v>421</v>
      </c>
      <c r="E595" s="18" t="s">
        <v>184</v>
      </c>
      <c r="F595" s="9" t="s">
        <v>556</v>
      </c>
      <c r="G595" s="18"/>
      <c r="H595" s="20">
        <f t="shared" si="42"/>
        <v>3127.6</v>
      </c>
      <c r="I595" s="20">
        <f t="shared" si="42"/>
        <v>3127.6</v>
      </c>
      <c r="J595" s="21">
        <f t="shared" si="40"/>
        <v>100</v>
      </c>
    </row>
    <row r="596" spans="2:10" s="45" customFormat="1" ht="51" x14ac:dyDescent="0.25">
      <c r="B596" s="56" t="s">
        <v>568</v>
      </c>
      <c r="C596" s="18" t="s">
        <v>552</v>
      </c>
      <c r="D596" s="18" t="s">
        <v>421</v>
      </c>
      <c r="E596" s="18" t="s">
        <v>184</v>
      </c>
      <c r="F596" s="9" t="s">
        <v>569</v>
      </c>
      <c r="G596" s="18"/>
      <c r="H596" s="20">
        <f t="shared" si="42"/>
        <v>3127.6</v>
      </c>
      <c r="I596" s="20">
        <f t="shared" si="42"/>
        <v>3127.6</v>
      </c>
      <c r="J596" s="21">
        <f t="shared" si="40"/>
        <v>100</v>
      </c>
    </row>
    <row r="597" spans="2:10" s="45" customFormat="1" x14ac:dyDescent="0.25">
      <c r="B597" s="30" t="s">
        <v>427</v>
      </c>
      <c r="C597" s="18" t="s">
        <v>552</v>
      </c>
      <c r="D597" s="18" t="s">
        <v>421</v>
      </c>
      <c r="E597" s="18" t="s">
        <v>184</v>
      </c>
      <c r="F597" s="9" t="s">
        <v>569</v>
      </c>
      <c r="G597" s="18" t="s">
        <v>428</v>
      </c>
      <c r="H597" s="20">
        <f>2904.2+223.4</f>
        <v>3127.6</v>
      </c>
      <c r="I597" s="20">
        <v>3127.6</v>
      </c>
      <c r="J597" s="21">
        <f t="shared" si="40"/>
        <v>100</v>
      </c>
    </row>
    <row r="598" spans="2:10" s="16" customFormat="1" x14ac:dyDescent="0.25">
      <c r="B598" s="12" t="s">
        <v>570</v>
      </c>
      <c r="C598" s="13" t="s">
        <v>571</v>
      </c>
      <c r="D598" s="13"/>
      <c r="E598" s="13"/>
      <c r="F598" s="13"/>
      <c r="G598" s="13"/>
      <c r="H598" s="14">
        <f>H611+H723+H605+H599+H737</f>
        <v>268626.39999999997</v>
      </c>
      <c r="I598" s="14">
        <f>I611+I723+I605+I599+I737</f>
        <v>268541.89999999997</v>
      </c>
      <c r="J598" s="15">
        <f t="shared" si="40"/>
        <v>99.968543672550425</v>
      </c>
    </row>
    <row r="599" spans="2:10" s="16" customFormat="1" hidden="1" x14ac:dyDescent="0.25">
      <c r="B599" s="40" t="s">
        <v>183</v>
      </c>
      <c r="C599" s="13" t="s">
        <v>571</v>
      </c>
      <c r="D599" s="13" t="s">
        <v>184</v>
      </c>
      <c r="E599" s="13"/>
      <c r="F599" s="13"/>
      <c r="G599" s="13"/>
      <c r="H599" s="14">
        <f>H600</f>
        <v>0</v>
      </c>
      <c r="I599" s="14">
        <f>I600</f>
        <v>0</v>
      </c>
      <c r="J599" s="15" t="e">
        <f t="shared" si="40"/>
        <v>#DIV/0!</v>
      </c>
    </row>
    <row r="600" spans="2:10" s="16" customFormat="1" hidden="1" x14ac:dyDescent="0.25">
      <c r="B600" s="12" t="s">
        <v>203</v>
      </c>
      <c r="C600" s="13" t="s">
        <v>571</v>
      </c>
      <c r="D600" s="13" t="s">
        <v>184</v>
      </c>
      <c r="E600" s="13" t="s">
        <v>204</v>
      </c>
      <c r="F600" s="13"/>
      <c r="G600" s="13"/>
      <c r="H600" s="14">
        <f>H601</f>
        <v>0</v>
      </c>
      <c r="I600" s="14">
        <f>I601</f>
        <v>0</v>
      </c>
      <c r="J600" s="15" t="e">
        <f t="shared" si="40"/>
        <v>#DIV/0!</v>
      </c>
    </row>
    <row r="601" spans="2:10" ht="25.5" hidden="1" x14ac:dyDescent="0.2">
      <c r="B601" s="30" t="s">
        <v>240</v>
      </c>
      <c r="C601" s="18" t="s">
        <v>571</v>
      </c>
      <c r="D601" s="18" t="s">
        <v>184</v>
      </c>
      <c r="E601" s="18" t="s">
        <v>204</v>
      </c>
      <c r="F601" s="25" t="s">
        <v>241</v>
      </c>
      <c r="G601" s="19"/>
      <c r="H601" s="20">
        <f t="shared" ref="H601:I603" si="43">H602</f>
        <v>0</v>
      </c>
      <c r="I601" s="20">
        <f t="shared" si="43"/>
        <v>0</v>
      </c>
      <c r="J601" s="21" t="e">
        <f t="shared" si="40"/>
        <v>#DIV/0!</v>
      </c>
    </row>
    <row r="602" spans="2:10" ht="25.5" hidden="1" x14ac:dyDescent="0.2">
      <c r="B602" s="30" t="s">
        <v>572</v>
      </c>
      <c r="C602" s="18" t="s">
        <v>571</v>
      </c>
      <c r="D602" s="18" t="s">
        <v>184</v>
      </c>
      <c r="E602" s="18" t="s">
        <v>204</v>
      </c>
      <c r="F602" s="9" t="s">
        <v>573</v>
      </c>
      <c r="G602" s="19"/>
      <c r="H602" s="20">
        <f t="shared" si="43"/>
        <v>0</v>
      </c>
      <c r="I602" s="20">
        <f t="shared" si="43"/>
        <v>0</v>
      </c>
      <c r="J602" s="21" t="e">
        <f t="shared" si="40"/>
        <v>#DIV/0!</v>
      </c>
    </row>
    <row r="603" spans="2:10" ht="12.75" hidden="1" x14ac:dyDescent="0.2">
      <c r="B603" s="30" t="s">
        <v>244</v>
      </c>
      <c r="C603" s="18" t="s">
        <v>571</v>
      </c>
      <c r="D603" s="18" t="s">
        <v>184</v>
      </c>
      <c r="E603" s="18" t="s">
        <v>204</v>
      </c>
      <c r="F603" s="9" t="s">
        <v>574</v>
      </c>
      <c r="G603" s="19"/>
      <c r="H603" s="20">
        <f t="shared" si="43"/>
        <v>0</v>
      </c>
      <c r="I603" s="20">
        <f t="shared" si="43"/>
        <v>0</v>
      </c>
      <c r="J603" s="21" t="e">
        <f t="shared" si="40"/>
        <v>#DIV/0!</v>
      </c>
    </row>
    <row r="604" spans="2:10" ht="12.75" hidden="1" x14ac:dyDescent="0.2">
      <c r="B604" s="17" t="s">
        <v>41</v>
      </c>
      <c r="C604" s="18" t="s">
        <v>571</v>
      </c>
      <c r="D604" s="18" t="s">
        <v>184</v>
      </c>
      <c r="E604" s="18" t="s">
        <v>204</v>
      </c>
      <c r="F604" s="9" t="s">
        <v>574</v>
      </c>
      <c r="G604" s="19" t="s">
        <v>24</v>
      </c>
      <c r="H604" s="20">
        <f>26-26</f>
        <v>0</v>
      </c>
      <c r="I604" s="20">
        <v>0</v>
      </c>
      <c r="J604" s="21" t="e">
        <f t="shared" si="40"/>
        <v>#DIV/0!</v>
      </c>
    </row>
    <row r="605" spans="2:10" s="16" customFormat="1" x14ac:dyDescent="0.25">
      <c r="B605" s="12" t="s">
        <v>331</v>
      </c>
      <c r="C605" s="13" t="s">
        <v>571</v>
      </c>
      <c r="D605" s="13" t="s">
        <v>332</v>
      </c>
      <c r="E605" s="13"/>
      <c r="F605" s="13"/>
      <c r="G605" s="13"/>
      <c r="H605" s="14">
        <f>H606</f>
        <v>30</v>
      </c>
      <c r="I605" s="14">
        <f>I606</f>
        <v>30</v>
      </c>
      <c r="J605" s="15">
        <f t="shared" si="40"/>
        <v>100</v>
      </c>
    </row>
    <row r="606" spans="2:10" s="16" customFormat="1" x14ac:dyDescent="0.25">
      <c r="B606" s="12" t="s">
        <v>333</v>
      </c>
      <c r="C606" s="13" t="s">
        <v>571</v>
      </c>
      <c r="D606" s="13" t="s">
        <v>332</v>
      </c>
      <c r="E606" s="13" t="s">
        <v>85</v>
      </c>
      <c r="F606" s="13"/>
      <c r="G606" s="13"/>
      <c r="H606" s="14">
        <f>H607</f>
        <v>30</v>
      </c>
      <c r="I606" s="14">
        <f>I607</f>
        <v>30</v>
      </c>
      <c r="J606" s="15">
        <f t="shared" si="40"/>
        <v>100</v>
      </c>
    </row>
    <row r="607" spans="2:10" ht="25.5" x14ac:dyDescent="0.2">
      <c r="B607" s="17" t="s">
        <v>68</v>
      </c>
      <c r="C607" s="18" t="s">
        <v>571</v>
      </c>
      <c r="D607" s="18" t="s">
        <v>332</v>
      </c>
      <c r="E607" s="18" t="s">
        <v>85</v>
      </c>
      <c r="F607" s="18" t="s">
        <v>69</v>
      </c>
      <c r="G607" s="18"/>
      <c r="H607" s="20">
        <f t="shared" ref="H607:I609" si="44">H608</f>
        <v>30</v>
      </c>
      <c r="I607" s="20">
        <f t="shared" si="44"/>
        <v>30</v>
      </c>
      <c r="J607" s="21">
        <f t="shared" si="40"/>
        <v>100</v>
      </c>
    </row>
    <row r="608" spans="2:10" ht="12.75" x14ac:dyDescent="0.2">
      <c r="B608" s="30" t="s">
        <v>345</v>
      </c>
      <c r="C608" s="18" t="s">
        <v>571</v>
      </c>
      <c r="D608" s="18" t="s">
        <v>332</v>
      </c>
      <c r="E608" s="18" t="s">
        <v>85</v>
      </c>
      <c r="F608" s="9" t="s">
        <v>346</v>
      </c>
      <c r="G608" s="18"/>
      <c r="H608" s="20">
        <f t="shared" si="44"/>
        <v>30</v>
      </c>
      <c r="I608" s="20">
        <f t="shared" si="44"/>
        <v>30</v>
      </c>
      <c r="J608" s="21">
        <f t="shared" si="40"/>
        <v>100</v>
      </c>
    </row>
    <row r="609" spans="2:10" ht="12.75" x14ac:dyDescent="0.2">
      <c r="B609" s="24" t="s">
        <v>336</v>
      </c>
      <c r="C609" s="18" t="s">
        <v>571</v>
      </c>
      <c r="D609" s="18" t="s">
        <v>332</v>
      </c>
      <c r="E609" s="18" t="s">
        <v>85</v>
      </c>
      <c r="F609" s="9" t="s">
        <v>347</v>
      </c>
      <c r="G609" s="18"/>
      <c r="H609" s="20">
        <f>H610</f>
        <v>30</v>
      </c>
      <c r="I609" s="20">
        <f t="shared" si="44"/>
        <v>30</v>
      </c>
      <c r="J609" s="21">
        <f t="shared" si="40"/>
        <v>100</v>
      </c>
    </row>
    <row r="610" spans="2:10" ht="12.75" x14ac:dyDescent="0.2">
      <c r="B610" s="30" t="s">
        <v>127</v>
      </c>
      <c r="C610" s="18" t="s">
        <v>571</v>
      </c>
      <c r="D610" s="18" t="s">
        <v>332</v>
      </c>
      <c r="E610" s="18" t="s">
        <v>85</v>
      </c>
      <c r="F610" s="9" t="s">
        <v>347</v>
      </c>
      <c r="G610" s="18" t="s">
        <v>128</v>
      </c>
      <c r="H610" s="20">
        <v>30</v>
      </c>
      <c r="I610" s="20">
        <v>30</v>
      </c>
      <c r="J610" s="21">
        <f t="shared" si="40"/>
        <v>100</v>
      </c>
    </row>
    <row r="611" spans="2:10" s="16" customFormat="1" x14ac:dyDescent="0.25">
      <c r="B611" s="40" t="s">
        <v>350</v>
      </c>
      <c r="C611" s="13" t="s">
        <v>571</v>
      </c>
      <c r="D611" s="13" t="s">
        <v>351</v>
      </c>
      <c r="E611" s="13"/>
      <c r="F611" s="13"/>
      <c r="G611" s="13"/>
      <c r="H611" s="14">
        <f>H612+H625+H681+H691+H665</f>
        <v>265081.89999999997</v>
      </c>
      <c r="I611" s="14">
        <f>I612+I625+I681+I691+I665</f>
        <v>264997.39999999997</v>
      </c>
      <c r="J611" s="15">
        <f t="shared" si="40"/>
        <v>99.968123059326203</v>
      </c>
    </row>
    <row r="612" spans="2:10" s="16" customFormat="1" x14ac:dyDescent="0.25">
      <c r="B612" s="12" t="s">
        <v>575</v>
      </c>
      <c r="C612" s="13" t="s">
        <v>571</v>
      </c>
      <c r="D612" s="13" t="s">
        <v>351</v>
      </c>
      <c r="E612" s="13" t="s">
        <v>15</v>
      </c>
      <c r="F612" s="13"/>
      <c r="G612" s="13"/>
      <c r="H612" s="14">
        <f>H613</f>
        <v>73427.7</v>
      </c>
      <c r="I612" s="14">
        <f>I613</f>
        <v>73427.7</v>
      </c>
      <c r="J612" s="15">
        <f t="shared" si="40"/>
        <v>100</v>
      </c>
    </row>
    <row r="613" spans="2:10" s="36" customFormat="1" ht="25.5" x14ac:dyDescent="0.2">
      <c r="B613" s="30" t="s">
        <v>353</v>
      </c>
      <c r="C613" s="18" t="s">
        <v>571</v>
      </c>
      <c r="D613" s="18" t="s">
        <v>351</v>
      </c>
      <c r="E613" s="18" t="s">
        <v>15</v>
      </c>
      <c r="F613" s="9" t="s">
        <v>354</v>
      </c>
      <c r="G613" s="18"/>
      <c r="H613" s="20">
        <f>H614</f>
        <v>73427.7</v>
      </c>
      <c r="I613" s="20">
        <f>I614</f>
        <v>73427.7</v>
      </c>
      <c r="J613" s="21">
        <f t="shared" si="40"/>
        <v>100</v>
      </c>
    </row>
    <row r="614" spans="2:10" s="36" customFormat="1" ht="15" x14ac:dyDescent="0.2">
      <c r="B614" s="17" t="s">
        <v>355</v>
      </c>
      <c r="C614" s="18" t="s">
        <v>571</v>
      </c>
      <c r="D614" s="18" t="s">
        <v>351</v>
      </c>
      <c r="E614" s="18" t="s">
        <v>15</v>
      </c>
      <c r="F614" s="9" t="s">
        <v>356</v>
      </c>
      <c r="G614" s="18"/>
      <c r="H614" s="20">
        <f>H615+H622</f>
        <v>73427.7</v>
      </c>
      <c r="I614" s="20">
        <f>I615+I622</f>
        <v>73427.7</v>
      </c>
      <c r="J614" s="21">
        <f t="shared" si="40"/>
        <v>100</v>
      </c>
    </row>
    <row r="615" spans="2:10" s="36" customFormat="1" ht="25.5" x14ac:dyDescent="0.2">
      <c r="B615" s="30" t="s">
        <v>576</v>
      </c>
      <c r="C615" s="18" t="s">
        <v>571</v>
      </c>
      <c r="D615" s="18" t="s">
        <v>351</v>
      </c>
      <c r="E615" s="18" t="s">
        <v>15</v>
      </c>
      <c r="F615" s="9" t="s">
        <v>577</v>
      </c>
      <c r="G615" s="18"/>
      <c r="H615" s="20">
        <f>H616+H618+H620</f>
        <v>73392.7</v>
      </c>
      <c r="I615" s="20">
        <f>I616+I618+I620</f>
        <v>73392.7</v>
      </c>
      <c r="J615" s="21">
        <f t="shared" si="40"/>
        <v>100</v>
      </c>
    </row>
    <row r="616" spans="2:10" s="36" customFormat="1" ht="25.5" x14ac:dyDescent="0.2">
      <c r="B616" s="30" t="s">
        <v>578</v>
      </c>
      <c r="C616" s="18" t="s">
        <v>571</v>
      </c>
      <c r="D616" s="18" t="s">
        <v>351</v>
      </c>
      <c r="E616" s="18" t="s">
        <v>15</v>
      </c>
      <c r="F616" s="9" t="s">
        <v>579</v>
      </c>
      <c r="G616" s="18"/>
      <c r="H616" s="20">
        <f>H617</f>
        <v>50610.9</v>
      </c>
      <c r="I616" s="20">
        <f>I617</f>
        <v>50610.9</v>
      </c>
      <c r="J616" s="21">
        <f t="shared" si="40"/>
        <v>100</v>
      </c>
    </row>
    <row r="617" spans="2:10" s="36" customFormat="1" ht="15" x14ac:dyDescent="0.2">
      <c r="B617" s="30" t="s">
        <v>127</v>
      </c>
      <c r="C617" s="18" t="s">
        <v>571</v>
      </c>
      <c r="D617" s="18" t="s">
        <v>351</v>
      </c>
      <c r="E617" s="18" t="s">
        <v>15</v>
      </c>
      <c r="F617" s="9" t="s">
        <v>579</v>
      </c>
      <c r="G617" s="18" t="s">
        <v>128</v>
      </c>
      <c r="H617" s="35">
        <f>51078.3+48.4-515.8</f>
        <v>50610.9</v>
      </c>
      <c r="I617" s="20">
        <v>50610.9</v>
      </c>
      <c r="J617" s="21">
        <f t="shared" si="40"/>
        <v>100</v>
      </c>
    </row>
    <row r="618" spans="2:10" s="36" customFormat="1" ht="15" x14ac:dyDescent="0.2">
      <c r="B618" s="30" t="s">
        <v>580</v>
      </c>
      <c r="C618" s="18" t="s">
        <v>571</v>
      </c>
      <c r="D618" s="18" t="s">
        <v>351</v>
      </c>
      <c r="E618" s="18" t="s">
        <v>15</v>
      </c>
      <c r="F618" s="9" t="s">
        <v>581</v>
      </c>
      <c r="G618" s="18"/>
      <c r="H618" s="20">
        <f>H619</f>
        <v>19186.400000000001</v>
      </c>
      <c r="I618" s="20">
        <f>I619</f>
        <v>19186.400000000001</v>
      </c>
      <c r="J618" s="21">
        <f t="shared" si="40"/>
        <v>100</v>
      </c>
    </row>
    <row r="619" spans="2:10" s="36" customFormat="1" ht="15" x14ac:dyDescent="0.2">
      <c r="B619" s="30" t="s">
        <v>127</v>
      </c>
      <c r="C619" s="18" t="s">
        <v>571</v>
      </c>
      <c r="D619" s="18" t="s">
        <v>351</v>
      </c>
      <c r="E619" s="18" t="s">
        <v>15</v>
      </c>
      <c r="F619" s="9" t="s">
        <v>581</v>
      </c>
      <c r="G619" s="18" t="s">
        <v>128</v>
      </c>
      <c r="H619" s="35">
        <f>19386.4-200</f>
        <v>19186.400000000001</v>
      </c>
      <c r="I619" s="35">
        <v>19186.400000000001</v>
      </c>
      <c r="J619" s="21">
        <f t="shared" si="40"/>
        <v>100</v>
      </c>
    </row>
    <row r="620" spans="2:10" s="36" customFormat="1" ht="25.5" x14ac:dyDescent="0.2">
      <c r="B620" s="30" t="s">
        <v>56</v>
      </c>
      <c r="C620" s="18" t="s">
        <v>571</v>
      </c>
      <c r="D620" s="18" t="s">
        <v>351</v>
      </c>
      <c r="E620" s="18" t="s">
        <v>15</v>
      </c>
      <c r="F620" s="9" t="s">
        <v>582</v>
      </c>
      <c r="G620" s="18"/>
      <c r="H620" s="20">
        <f>H621</f>
        <v>3595.4</v>
      </c>
      <c r="I620" s="20">
        <f>I621</f>
        <v>3595.4</v>
      </c>
      <c r="J620" s="21">
        <f t="shared" si="40"/>
        <v>100</v>
      </c>
    </row>
    <row r="621" spans="2:10" s="36" customFormat="1" ht="15" x14ac:dyDescent="0.2">
      <c r="B621" s="30" t="s">
        <v>171</v>
      </c>
      <c r="C621" s="18" t="s">
        <v>571</v>
      </c>
      <c r="D621" s="18" t="s">
        <v>351</v>
      </c>
      <c r="E621" s="18" t="s">
        <v>15</v>
      </c>
      <c r="F621" s="9" t="s">
        <v>582</v>
      </c>
      <c r="G621" s="18" t="s">
        <v>128</v>
      </c>
      <c r="H621" s="20">
        <f>2715.4+880</f>
        <v>3595.4</v>
      </c>
      <c r="I621" s="20">
        <v>3595.4</v>
      </c>
      <c r="J621" s="21">
        <f t="shared" si="40"/>
        <v>100</v>
      </c>
    </row>
    <row r="622" spans="2:10" s="36" customFormat="1" ht="25.5" x14ac:dyDescent="0.2">
      <c r="B622" s="30" t="s">
        <v>583</v>
      </c>
      <c r="C622" s="18" t="s">
        <v>571</v>
      </c>
      <c r="D622" s="18" t="s">
        <v>351</v>
      </c>
      <c r="E622" s="18" t="s">
        <v>15</v>
      </c>
      <c r="F622" s="9" t="s">
        <v>584</v>
      </c>
      <c r="G622" s="18"/>
      <c r="H622" s="20">
        <f>H623</f>
        <v>35</v>
      </c>
      <c r="I622" s="20">
        <f>I623</f>
        <v>35</v>
      </c>
      <c r="J622" s="21">
        <f t="shared" si="40"/>
        <v>100</v>
      </c>
    </row>
    <row r="623" spans="2:10" s="36" customFormat="1" ht="15" x14ac:dyDescent="0.2">
      <c r="B623" s="30" t="s">
        <v>580</v>
      </c>
      <c r="C623" s="18" t="s">
        <v>571</v>
      </c>
      <c r="D623" s="18" t="s">
        <v>351</v>
      </c>
      <c r="E623" s="18" t="s">
        <v>15</v>
      </c>
      <c r="F623" s="9" t="s">
        <v>585</v>
      </c>
      <c r="G623" s="18"/>
      <c r="H623" s="20">
        <f>H624</f>
        <v>35</v>
      </c>
      <c r="I623" s="20">
        <f>I624</f>
        <v>35</v>
      </c>
      <c r="J623" s="21">
        <f t="shared" si="40"/>
        <v>100</v>
      </c>
    </row>
    <row r="624" spans="2:10" s="36" customFormat="1" ht="15" x14ac:dyDescent="0.2">
      <c r="B624" s="30" t="s">
        <v>127</v>
      </c>
      <c r="C624" s="18" t="s">
        <v>571</v>
      </c>
      <c r="D624" s="18" t="s">
        <v>351</v>
      </c>
      <c r="E624" s="18" t="s">
        <v>15</v>
      </c>
      <c r="F624" s="9" t="s">
        <v>585</v>
      </c>
      <c r="G624" s="18" t="s">
        <v>128</v>
      </c>
      <c r="H624" s="20">
        <v>35</v>
      </c>
      <c r="I624" s="20">
        <v>35</v>
      </c>
      <c r="J624" s="21">
        <f t="shared" si="40"/>
        <v>100</v>
      </c>
    </row>
    <row r="625" spans="2:10" s="16" customFormat="1" x14ac:dyDescent="0.25">
      <c r="B625" s="12" t="s">
        <v>352</v>
      </c>
      <c r="C625" s="13" t="s">
        <v>571</v>
      </c>
      <c r="D625" s="13" t="s">
        <v>351</v>
      </c>
      <c r="E625" s="13" t="s">
        <v>292</v>
      </c>
      <c r="F625" s="13"/>
      <c r="G625" s="13"/>
      <c r="H625" s="14">
        <f>H626</f>
        <v>173834.59999999998</v>
      </c>
      <c r="I625" s="14">
        <f>I626</f>
        <v>173787.59999999998</v>
      </c>
      <c r="J625" s="15">
        <f t="shared" si="40"/>
        <v>99.972962804873134</v>
      </c>
    </row>
    <row r="626" spans="2:10" s="36" customFormat="1" ht="25.5" x14ac:dyDescent="0.2">
      <c r="B626" s="30" t="s">
        <v>353</v>
      </c>
      <c r="C626" s="18" t="s">
        <v>571</v>
      </c>
      <c r="D626" s="18" t="s">
        <v>351</v>
      </c>
      <c r="E626" s="18" t="s">
        <v>292</v>
      </c>
      <c r="F626" s="9" t="s">
        <v>354</v>
      </c>
      <c r="G626" s="18"/>
      <c r="H626" s="20">
        <f>H627</f>
        <v>173834.59999999998</v>
      </c>
      <c r="I626" s="20">
        <f>I627</f>
        <v>173787.59999999998</v>
      </c>
      <c r="J626" s="21">
        <f t="shared" si="40"/>
        <v>99.972962804873134</v>
      </c>
    </row>
    <row r="627" spans="2:10" s="36" customFormat="1" ht="15" x14ac:dyDescent="0.2">
      <c r="B627" s="17" t="s">
        <v>355</v>
      </c>
      <c r="C627" s="18" t="s">
        <v>571</v>
      </c>
      <c r="D627" s="18" t="s">
        <v>351</v>
      </c>
      <c r="E627" s="18" t="s">
        <v>292</v>
      </c>
      <c r="F627" s="9" t="s">
        <v>356</v>
      </c>
      <c r="G627" s="18"/>
      <c r="H627" s="20">
        <f>H628+H644+H647+H650+H656+H662+H659+H653</f>
        <v>173834.59999999998</v>
      </c>
      <c r="I627" s="20">
        <f>I628+I644+I647+I650+I656+I662+I659+I653</f>
        <v>173787.59999999998</v>
      </c>
      <c r="J627" s="21">
        <f t="shared" si="40"/>
        <v>99.972962804873134</v>
      </c>
    </row>
    <row r="628" spans="2:10" s="36" customFormat="1" ht="38.25" x14ac:dyDescent="0.2">
      <c r="B628" s="17" t="s">
        <v>586</v>
      </c>
      <c r="C628" s="18" t="s">
        <v>571</v>
      </c>
      <c r="D628" s="18" t="s">
        <v>351</v>
      </c>
      <c r="E628" s="18" t="s">
        <v>292</v>
      </c>
      <c r="F628" s="9" t="s">
        <v>587</v>
      </c>
      <c r="G628" s="18"/>
      <c r="H628" s="20">
        <f>H631+H633+H636+H629+H640+H638+H643</f>
        <v>167945.69999999998</v>
      </c>
      <c r="I628" s="20">
        <f>I631+I633+I636+I629+I640+I638+I643</f>
        <v>167912.99999999997</v>
      </c>
      <c r="J628" s="21">
        <f t="shared" si="40"/>
        <v>99.980529421116458</v>
      </c>
    </row>
    <row r="629" spans="2:10" s="36" customFormat="1" ht="38.25" x14ac:dyDescent="0.2">
      <c r="B629" s="30" t="s">
        <v>588</v>
      </c>
      <c r="C629" s="18" t="s">
        <v>571</v>
      </c>
      <c r="D629" s="18" t="s">
        <v>351</v>
      </c>
      <c r="E629" s="18" t="s">
        <v>292</v>
      </c>
      <c r="F629" s="9" t="s">
        <v>589</v>
      </c>
      <c r="G629" s="18"/>
      <c r="H629" s="20">
        <f>H630</f>
        <v>7815.9</v>
      </c>
      <c r="I629" s="20">
        <f>I630</f>
        <v>7815.9</v>
      </c>
      <c r="J629" s="21">
        <f t="shared" si="40"/>
        <v>100</v>
      </c>
    </row>
    <row r="630" spans="2:10" s="36" customFormat="1" ht="15" x14ac:dyDescent="0.2">
      <c r="B630" s="30" t="s">
        <v>127</v>
      </c>
      <c r="C630" s="18" t="s">
        <v>571</v>
      </c>
      <c r="D630" s="18" t="s">
        <v>351</v>
      </c>
      <c r="E630" s="18" t="s">
        <v>292</v>
      </c>
      <c r="F630" s="9" t="s">
        <v>589</v>
      </c>
      <c r="G630" s="18" t="s">
        <v>128</v>
      </c>
      <c r="H630" s="20">
        <v>7815.9</v>
      </c>
      <c r="I630" s="20">
        <v>7815.9</v>
      </c>
      <c r="J630" s="21">
        <f t="shared" si="40"/>
        <v>100</v>
      </c>
    </row>
    <row r="631" spans="2:10" s="36" customFormat="1" ht="25.5" x14ac:dyDescent="0.2">
      <c r="B631" s="30" t="s">
        <v>578</v>
      </c>
      <c r="C631" s="18" t="s">
        <v>571</v>
      </c>
      <c r="D631" s="18" t="s">
        <v>351</v>
      </c>
      <c r="E631" s="18" t="s">
        <v>292</v>
      </c>
      <c r="F631" s="9" t="s">
        <v>590</v>
      </c>
      <c r="G631" s="18"/>
      <c r="H631" s="20">
        <f>H632</f>
        <v>92391.400000000009</v>
      </c>
      <c r="I631" s="20">
        <f>I632</f>
        <v>92391.4</v>
      </c>
      <c r="J631" s="21">
        <f t="shared" si="40"/>
        <v>99.999999999999986</v>
      </c>
    </row>
    <row r="632" spans="2:10" s="36" customFormat="1" ht="15" x14ac:dyDescent="0.2">
      <c r="B632" s="30" t="s">
        <v>127</v>
      </c>
      <c r="C632" s="18" t="s">
        <v>571</v>
      </c>
      <c r="D632" s="18" t="s">
        <v>351</v>
      </c>
      <c r="E632" s="18" t="s">
        <v>292</v>
      </c>
      <c r="F632" s="9" t="s">
        <v>590</v>
      </c>
      <c r="G632" s="18" t="s">
        <v>128</v>
      </c>
      <c r="H632" s="20">
        <f>90826.8+1564.6</f>
        <v>92391.400000000009</v>
      </c>
      <c r="I632" s="20">
        <v>92391.4</v>
      </c>
      <c r="J632" s="21">
        <f t="shared" si="40"/>
        <v>99.999999999999986</v>
      </c>
    </row>
    <row r="633" spans="2:10" s="36" customFormat="1" ht="15" x14ac:dyDescent="0.2">
      <c r="B633" s="30" t="s">
        <v>591</v>
      </c>
      <c r="C633" s="18" t="s">
        <v>571</v>
      </c>
      <c r="D633" s="18" t="s">
        <v>351</v>
      </c>
      <c r="E633" s="18" t="s">
        <v>292</v>
      </c>
      <c r="F633" s="9" t="s">
        <v>592</v>
      </c>
      <c r="G633" s="18"/>
      <c r="H633" s="20">
        <f>H634+H635</f>
        <v>50770.8</v>
      </c>
      <c r="I633" s="20">
        <f>I634+I635</f>
        <v>50738.1</v>
      </c>
      <c r="J633" s="21">
        <f t="shared" si="40"/>
        <v>99.93559289985582</v>
      </c>
    </row>
    <row r="634" spans="2:10" s="36" customFormat="1" ht="15" x14ac:dyDescent="0.2">
      <c r="B634" s="30" t="s">
        <v>127</v>
      </c>
      <c r="C634" s="18" t="s">
        <v>571</v>
      </c>
      <c r="D634" s="18" t="s">
        <v>351</v>
      </c>
      <c r="E634" s="18" t="s">
        <v>292</v>
      </c>
      <c r="F634" s="9" t="s">
        <v>592</v>
      </c>
      <c r="G634" s="18" t="s">
        <v>128</v>
      </c>
      <c r="H634" s="20">
        <f>50528.9-160-100-400+200+131.9-0.1</f>
        <v>50200.700000000004</v>
      </c>
      <c r="I634" s="20">
        <v>50168</v>
      </c>
      <c r="J634" s="21">
        <f t="shared" si="40"/>
        <v>99.934861466075162</v>
      </c>
    </row>
    <row r="635" spans="2:10" s="36" customFormat="1" ht="51" x14ac:dyDescent="0.2">
      <c r="B635" s="57" t="s">
        <v>593</v>
      </c>
      <c r="C635" s="18" t="s">
        <v>571</v>
      </c>
      <c r="D635" s="18" t="s">
        <v>351</v>
      </c>
      <c r="E635" s="18" t="s">
        <v>292</v>
      </c>
      <c r="F635" s="9" t="s">
        <v>592</v>
      </c>
      <c r="G635" s="18" t="s">
        <v>594</v>
      </c>
      <c r="H635" s="20">
        <f>850.1-280</f>
        <v>570.1</v>
      </c>
      <c r="I635" s="20">
        <v>570.1</v>
      </c>
      <c r="J635" s="21">
        <f t="shared" si="40"/>
        <v>100</v>
      </c>
    </row>
    <row r="636" spans="2:10" s="36" customFormat="1" ht="25.5" x14ac:dyDescent="0.2">
      <c r="B636" s="30" t="s">
        <v>56</v>
      </c>
      <c r="C636" s="18" t="s">
        <v>571</v>
      </c>
      <c r="D636" s="18" t="s">
        <v>351</v>
      </c>
      <c r="E636" s="18" t="s">
        <v>292</v>
      </c>
      <c r="F636" s="9" t="s">
        <v>595</v>
      </c>
      <c r="G636" s="18"/>
      <c r="H636" s="20">
        <f>H637</f>
        <v>4268.6000000000004</v>
      </c>
      <c r="I636" s="20">
        <f>I637</f>
        <v>4268.6000000000004</v>
      </c>
      <c r="J636" s="21">
        <f t="shared" si="40"/>
        <v>100</v>
      </c>
    </row>
    <row r="637" spans="2:10" s="36" customFormat="1" ht="15" x14ac:dyDescent="0.2">
      <c r="B637" s="30" t="s">
        <v>171</v>
      </c>
      <c r="C637" s="18" t="s">
        <v>571</v>
      </c>
      <c r="D637" s="18" t="s">
        <v>351</v>
      </c>
      <c r="E637" s="18" t="s">
        <v>292</v>
      </c>
      <c r="F637" s="9" t="s">
        <v>595</v>
      </c>
      <c r="G637" s="18" t="s">
        <v>128</v>
      </c>
      <c r="H637" s="20">
        <v>4268.6000000000004</v>
      </c>
      <c r="I637" s="20">
        <v>4268.6000000000004</v>
      </c>
      <c r="J637" s="21">
        <f t="shared" si="40"/>
        <v>100</v>
      </c>
    </row>
    <row r="638" spans="2:10" s="36" customFormat="1" ht="25.5" x14ac:dyDescent="0.2">
      <c r="B638" s="30" t="s">
        <v>596</v>
      </c>
      <c r="C638" s="18" t="s">
        <v>571</v>
      </c>
      <c r="D638" s="18" t="s">
        <v>351</v>
      </c>
      <c r="E638" s="18" t="s">
        <v>292</v>
      </c>
      <c r="F638" s="9" t="s">
        <v>597</v>
      </c>
      <c r="G638" s="18"/>
      <c r="H638" s="20">
        <f>H639</f>
        <v>5080.3</v>
      </c>
      <c r="I638" s="20">
        <f>I639</f>
        <v>5080.3</v>
      </c>
      <c r="J638" s="21">
        <f t="shared" si="40"/>
        <v>100</v>
      </c>
    </row>
    <row r="639" spans="2:10" s="36" customFormat="1" ht="15" x14ac:dyDescent="0.2">
      <c r="B639" s="30" t="s">
        <v>127</v>
      </c>
      <c r="C639" s="18" t="s">
        <v>571</v>
      </c>
      <c r="D639" s="18" t="s">
        <v>351</v>
      </c>
      <c r="E639" s="18" t="s">
        <v>292</v>
      </c>
      <c r="F639" s="9" t="s">
        <v>597</v>
      </c>
      <c r="G639" s="18" t="s">
        <v>128</v>
      </c>
      <c r="H639" s="20">
        <f>1359.6+27.7+3619.1+73.6+0.3</f>
        <v>5080.3</v>
      </c>
      <c r="I639" s="20">
        <v>5080.3</v>
      </c>
      <c r="J639" s="21">
        <f t="shared" si="40"/>
        <v>100</v>
      </c>
    </row>
    <row r="640" spans="2:10" s="36" customFormat="1" ht="25.5" x14ac:dyDescent="0.2">
      <c r="B640" s="46" t="s">
        <v>598</v>
      </c>
      <c r="C640" s="18" t="s">
        <v>571</v>
      </c>
      <c r="D640" s="18" t="s">
        <v>351</v>
      </c>
      <c r="E640" s="18" t="s">
        <v>292</v>
      </c>
      <c r="F640" s="9" t="s">
        <v>599</v>
      </c>
      <c r="G640" s="18"/>
      <c r="H640" s="20">
        <f>H641</f>
        <v>4288.8</v>
      </c>
      <c r="I640" s="20">
        <f>I641</f>
        <v>4288.8</v>
      </c>
      <c r="J640" s="21">
        <f t="shared" si="40"/>
        <v>100</v>
      </c>
    </row>
    <row r="641" spans="2:10" s="36" customFormat="1" ht="15" x14ac:dyDescent="0.2">
      <c r="B641" s="57" t="s">
        <v>127</v>
      </c>
      <c r="C641" s="18" t="s">
        <v>571</v>
      </c>
      <c r="D641" s="18" t="s">
        <v>351</v>
      </c>
      <c r="E641" s="18" t="s">
        <v>292</v>
      </c>
      <c r="F641" s="9" t="s">
        <v>599</v>
      </c>
      <c r="G641" s="18" t="s">
        <v>128</v>
      </c>
      <c r="H641" s="20">
        <f>4203+85.8</f>
        <v>4288.8</v>
      </c>
      <c r="I641" s="20">
        <v>4288.8</v>
      </c>
      <c r="J641" s="21">
        <f t="shared" si="40"/>
        <v>100</v>
      </c>
    </row>
    <row r="642" spans="2:10" s="36" customFormat="1" ht="25.5" x14ac:dyDescent="0.2">
      <c r="B642" s="30" t="s">
        <v>471</v>
      </c>
      <c r="C642" s="18" t="s">
        <v>571</v>
      </c>
      <c r="D642" s="18" t="s">
        <v>351</v>
      </c>
      <c r="E642" s="18" t="s">
        <v>292</v>
      </c>
      <c r="F642" s="9" t="s">
        <v>600</v>
      </c>
      <c r="G642" s="18"/>
      <c r="H642" s="20">
        <f>H643</f>
        <v>3329.9</v>
      </c>
      <c r="I642" s="20">
        <f>I643</f>
        <v>3329.9</v>
      </c>
      <c r="J642" s="21">
        <f t="shared" si="40"/>
        <v>100</v>
      </c>
    </row>
    <row r="643" spans="2:10" s="36" customFormat="1" ht="51" x14ac:dyDescent="0.2">
      <c r="B643" s="30" t="s">
        <v>593</v>
      </c>
      <c r="C643" s="18" t="s">
        <v>571</v>
      </c>
      <c r="D643" s="18" t="s">
        <v>351</v>
      </c>
      <c r="E643" s="18" t="s">
        <v>292</v>
      </c>
      <c r="F643" s="9" t="s">
        <v>600</v>
      </c>
      <c r="G643" s="58" t="s">
        <v>594</v>
      </c>
      <c r="H643" s="20">
        <f>3450.9-116.2-4.8</f>
        <v>3329.9</v>
      </c>
      <c r="I643" s="20">
        <v>3329.9</v>
      </c>
      <c r="J643" s="21">
        <f t="shared" si="40"/>
        <v>100</v>
      </c>
    </row>
    <row r="644" spans="2:10" s="36" customFormat="1" ht="25.5" x14ac:dyDescent="0.2">
      <c r="B644" s="37" t="s">
        <v>601</v>
      </c>
      <c r="C644" s="18" t="s">
        <v>571</v>
      </c>
      <c r="D644" s="18" t="s">
        <v>351</v>
      </c>
      <c r="E644" s="18" t="s">
        <v>292</v>
      </c>
      <c r="F644" s="9" t="s">
        <v>602</v>
      </c>
      <c r="G644" s="18"/>
      <c r="H644" s="20">
        <f>H645</f>
        <v>4148.8999999999996</v>
      </c>
      <c r="I644" s="20">
        <f>I645</f>
        <v>4148.8999999999996</v>
      </c>
      <c r="J644" s="21">
        <f t="shared" si="40"/>
        <v>100</v>
      </c>
    </row>
    <row r="645" spans="2:10" s="36" customFormat="1" ht="38.25" x14ac:dyDescent="0.2">
      <c r="B645" s="30" t="s">
        <v>603</v>
      </c>
      <c r="C645" s="18" t="s">
        <v>571</v>
      </c>
      <c r="D645" s="18" t="s">
        <v>351</v>
      </c>
      <c r="E645" s="18" t="s">
        <v>292</v>
      </c>
      <c r="F645" s="9" t="s">
        <v>604</v>
      </c>
      <c r="G645" s="18"/>
      <c r="H645" s="20">
        <f>H646</f>
        <v>4148.8999999999996</v>
      </c>
      <c r="I645" s="20">
        <f>I646</f>
        <v>4148.8999999999996</v>
      </c>
      <c r="J645" s="21">
        <f t="shared" si="40"/>
        <v>100</v>
      </c>
    </row>
    <row r="646" spans="2:10" s="36" customFormat="1" ht="15" x14ac:dyDescent="0.2">
      <c r="B646" s="30" t="s">
        <v>127</v>
      </c>
      <c r="C646" s="18" t="s">
        <v>571</v>
      </c>
      <c r="D646" s="18" t="s">
        <v>351</v>
      </c>
      <c r="E646" s="18" t="s">
        <v>292</v>
      </c>
      <c r="F646" s="9" t="s">
        <v>604</v>
      </c>
      <c r="G646" s="18" t="s">
        <v>128</v>
      </c>
      <c r="H646" s="20">
        <f>6517.5+331.4-2700</f>
        <v>4148.8999999999996</v>
      </c>
      <c r="I646" s="20">
        <v>4148.8999999999996</v>
      </c>
      <c r="J646" s="21">
        <f t="shared" si="40"/>
        <v>100</v>
      </c>
    </row>
    <row r="647" spans="2:10" s="36" customFormat="1" ht="25.5" x14ac:dyDescent="0.2">
      <c r="B647" s="30" t="s">
        <v>583</v>
      </c>
      <c r="C647" s="18" t="s">
        <v>571</v>
      </c>
      <c r="D647" s="18" t="s">
        <v>351</v>
      </c>
      <c r="E647" s="18" t="s">
        <v>292</v>
      </c>
      <c r="F647" s="9" t="s">
        <v>584</v>
      </c>
      <c r="G647" s="18"/>
      <c r="H647" s="20">
        <f>H648</f>
        <v>75</v>
      </c>
      <c r="I647" s="20">
        <f>I648</f>
        <v>75</v>
      </c>
      <c r="J647" s="21">
        <f t="shared" si="40"/>
        <v>100</v>
      </c>
    </row>
    <row r="648" spans="2:10" s="36" customFormat="1" ht="15" x14ac:dyDescent="0.2">
      <c r="B648" s="30" t="s">
        <v>591</v>
      </c>
      <c r="C648" s="18" t="s">
        <v>571</v>
      </c>
      <c r="D648" s="18" t="s">
        <v>351</v>
      </c>
      <c r="E648" s="18" t="s">
        <v>292</v>
      </c>
      <c r="F648" s="9" t="s">
        <v>605</v>
      </c>
      <c r="G648" s="18"/>
      <c r="H648" s="20">
        <f>H649</f>
        <v>75</v>
      </c>
      <c r="I648" s="20">
        <f>I649</f>
        <v>75</v>
      </c>
      <c r="J648" s="21">
        <f t="shared" si="40"/>
        <v>100</v>
      </c>
    </row>
    <row r="649" spans="2:10" s="36" customFormat="1" ht="15" x14ac:dyDescent="0.2">
      <c r="B649" s="30" t="s">
        <v>127</v>
      </c>
      <c r="C649" s="18" t="s">
        <v>571</v>
      </c>
      <c r="D649" s="18" t="s">
        <v>351</v>
      </c>
      <c r="E649" s="18" t="s">
        <v>292</v>
      </c>
      <c r="F649" s="9" t="s">
        <v>605</v>
      </c>
      <c r="G649" s="18" t="s">
        <v>128</v>
      </c>
      <c r="H649" s="20">
        <f>60+15</f>
        <v>75</v>
      </c>
      <c r="I649" s="20">
        <v>75</v>
      </c>
      <c r="J649" s="21">
        <f t="shared" ref="J649:J712" si="45">I649/H649*100</f>
        <v>100</v>
      </c>
    </row>
    <row r="650" spans="2:10" s="36" customFormat="1" ht="25.5" x14ac:dyDescent="0.2">
      <c r="B650" s="30" t="s">
        <v>606</v>
      </c>
      <c r="C650" s="18" t="s">
        <v>571</v>
      </c>
      <c r="D650" s="18" t="s">
        <v>351</v>
      </c>
      <c r="E650" s="18" t="s">
        <v>292</v>
      </c>
      <c r="F650" s="9" t="s">
        <v>607</v>
      </c>
      <c r="G650" s="18"/>
      <c r="H650" s="20">
        <f>H651</f>
        <v>96.1</v>
      </c>
      <c r="I650" s="20">
        <f>I651</f>
        <v>96.1</v>
      </c>
      <c r="J650" s="21">
        <f t="shared" si="45"/>
        <v>100</v>
      </c>
    </row>
    <row r="651" spans="2:10" s="36" customFormat="1" ht="15" x14ac:dyDescent="0.2">
      <c r="B651" s="30" t="s">
        <v>591</v>
      </c>
      <c r="C651" s="18" t="s">
        <v>571</v>
      </c>
      <c r="D651" s="18" t="s">
        <v>351</v>
      </c>
      <c r="E651" s="18" t="s">
        <v>292</v>
      </c>
      <c r="F651" s="9" t="s">
        <v>608</v>
      </c>
      <c r="G651" s="18"/>
      <c r="H651" s="20">
        <f>H652</f>
        <v>96.1</v>
      </c>
      <c r="I651" s="20">
        <f>I652</f>
        <v>96.1</v>
      </c>
      <c r="J651" s="21">
        <f t="shared" si="45"/>
        <v>100</v>
      </c>
    </row>
    <row r="652" spans="2:10" s="36" customFormat="1" ht="15" x14ac:dyDescent="0.2">
      <c r="B652" s="30" t="s">
        <v>127</v>
      </c>
      <c r="C652" s="18" t="s">
        <v>571</v>
      </c>
      <c r="D652" s="18" t="s">
        <v>351</v>
      </c>
      <c r="E652" s="18" t="s">
        <v>292</v>
      </c>
      <c r="F652" s="9" t="s">
        <v>608</v>
      </c>
      <c r="G652" s="18" t="s">
        <v>128</v>
      </c>
      <c r="H652" s="20">
        <v>96.1</v>
      </c>
      <c r="I652" s="20">
        <v>96.1</v>
      </c>
      <c r="J652" s="21">
        <f t="shared" si="45"/>
        <v>100</v>
      </c>
    </row>
    <row r="653" spans="2:10" s="36" customFormat="1" ht="27.75" hidden="1" customHeight="1" x14ac:dyDescent="0.2">
      <c r="B653" s="30" t="s">
        <v>357</v>
      </c>
      <c r="C653" s="18" t="s">
        <v>571</v>
      </c>
      <c r="D653" s="18" t="s">
        <v>351</v>
      </c>
      <c r="E653" s="18" t="s">
        <v>292</v>
      </c>
      <c r="F653" s="9" t="s">
        <v>358</v>
      </c>
      <c r="G653" s="18"/>
      <c r="H653" s="20">
        <f>H654</f>
        <v>0</v>
      </c>
      <c r="I653" s="20">
        <f>I654</f>
        <v>0</v>
      </c>
      <c r="J653" s="21" t="e">
        <f t="shared" si="45"/>
        <v>#DIV/0!</v>
      </c>
    </row>
    <row r="654" spans="2:10" s="36" customFormat="1" ht="45" hidden="1" customHeight="1" x14ac:dyDescent="0.2">
      <c r="B654" s="30" t="s">
        <v>359</v>
      </c>
      <c r="C654" s="18" t="s">
        <v>571</v>
      </c>
      <c r="D654" s="18" t="s">
        <v>351</v>
      </c>
      <c r="E654" s="18" t="s">
        <v>292</v>
      </c>
      <c r="F654" s="9" t="s">
        <v>360</v>
      </c>
      <c r="G654" s="18"/>
      <c r="H654" s="20">
        <f>H655</f>
        <v>0</v>
      </c>
      <c r="I654" s="20">
        <f>I655</f>
        <v>0</v>
      </c>
      <c r="J654" s="21" t="e">
        <f t="shared" si="45"/>
        <v>#DIV/0!</v>
      </c>
    </row>
    <row r="655" spans="2:10" s="36" customFormat="1" ht="76.5" hidden="1" customHeight="1" x14ac:dyDescent="0.2">
      <c r="B655" s="30" t="s">
        <v>593</v>
      </c>
      <c r="C655" s="18" t="s">
        <v>571</v>
      </c>
      <c r="D655" s="18" t="s">
        <v>351</v>
      </c>
      <c r="E655" s="18" t="s">
        <v>292</v>
      </c>
      <c r="F655" s="9" t="s">
        <v>360</v>
      </c>
      <c r="G655" s="18" t="s">
        <v>594</v>
      </c>
      <c r="H655" s="20">
        <v>0</v>
      </c>
      <c r="I655" s="20">
        <v>0</v>
      </c>
      <c r="J655" s="21" t="e">
        <f t="shared" si="45"/>
        <v>#DIV/0!</v>
      </c>
    </row>
    <row r="656" spans="2:10" s="36" customFormat="1" ht="15" x14ac:dyDescent="0.2">
      <c r="B656" s="57" t="s">
        <v>609</v>
      </c>
      <c r="C656" s="18" t="s">
        <v>571</v>
      </c>
      <c r="D656" s="18" t="s">
        <v>351</v>
      </c>
      <c r="E656" s="18" t="s">
        <v>292</v>
      </c>
      <c r="F656" s="9" t="s">
        <v>610</v>
      </c>
      <c r="G656" s="18"/>
      <c r="H656" s="20">
        <f>H657</f>
        <v>1568.9</v>
      </c>
      <c r="I656" s="20">
        <f>I657</f>
        <v>1554.6</v>
      </c>
      <c r="J656" s="21">
        <f t="shared" si="45"/>
        <v>99.088533367327415</v>
      </c>
    </row>
    <row r="657" spans="2:10" s="36" customFormat="1" ht="38.25" x14ac:dyDescent="0.2">
      <c r="B657" s="30" t="s">
        <v>611</v>
      </c>
      <c r="C657" s="18" t="s">
        <v>571</v>
      </c>
      <c r="D657" s="18" t="s">
        <v>351</v>
      </c>
      <c r="E657" s="18" t="s">
        <v>292</v>
      </c>
      <c r="F657" s="9" t="s">
        <v>612</v>
      </c>
      <c r="G657" s="18"/>
      <c r="H657" s="20">
        <f>H658</f>
        <v>1568.9</v>
      </c>
      <c r="I657" s="20">
        <f>I658</f>
        <v>1554.6</v>
      </c>
      <c r="J657" s="21">
        <f t="shared" si="45"/>
        <v>99.088533367327415</v>
      </c>
    </row>
    <row r="658" spans="2:10" s="36" customFormat="1" ht="15" x14ac:dyDescent="0.2">
      <c r="B658" s="30" t="s">
        <v>171</v>
      </c>
      <c r="C658" s="18" t="s">
        <v>571</v>
      </c>
      <c r="D658" s="18" t="s">
        <v>351</v>
      </c>
      <c r="E658" s="18" t="s">
        <v>292</v>
      </c>
      <c r="F658" s="9" t="s">
        <v>612</v>
      </c>
      <c r="G658" s="18" t="s">
        <v>128</v>
      </c>
      <c r="H658" s="20">
        <f>1568.7+0.2</f>
        <v>1568.9</v>
      </c>
      <c r="I658" s="20">
        <v>1554.6</v>
      </c>
      <c r="J658" s="21">
        <f t="shared" si="45"/>
        <v>99.088533367327415</v>
      </c>
    </row>
    <row r="659" spans="2:10" s="36" customFormat="1" ht="15" hidden="1" x14ac:dyDescent="0.2">
      <c r="B659" s="30" t="s">
        <v>613</v>
      </c>
      <c r="C659" s="18" t="s">
        <v>571</v>
      </c>
      <c r="D659" s="18" t="s">
        <v>351</v>
      </c>
      <c r="E659" s="18" t="s">
        <v>292</v>
      </c>
      <c r="F659" s="9" t="s">
        <v>614</v>
      </c>
      <c r="G659" s="18"/>
      <c r="H659" s="20">
        <f>H660</f>
        <v>0</v>
      </c>
      <c r="I659" s="20">
        <f>I660</f>
        <v>0</v>
      </c>
      <c r="J659" s="21" t="e">
        <f t="shared" si="45"/>
        <v>#DIV/0!</v>
      </c>
    </row>
    <row r="660" spans="2:10" s="36" customFormat="1" ht="25.5" hidden="1" x14ac:dyDescent="0.2">
      <c r="B660" s="46" t="s">
        <v>615</v>
      </c>
      <c r="C660" s="18" t="s">
        <v>571</v>
      </c>
      <c r="D660" s="18" t="s">
        <v>351</v>
      </c>
      <c r="E660" s="18" t="s">
        <v>292</v>
      </c>
      <c r="F660" s="9" t="s">
        <v>616</v>
      </c>
      <c r="G660" s="18"/>
      <c r="H660" s="20">
        <f>H661</f>
        <v>0</v>
      </c>
      <c r="I660" s="20">
        <f>I661</f>
        <v>0</v>
      </c>
      <c r="J660" s="21" t="e">
        <f t="shared" si="45"/>
        <v>#DIV/0!</v>
      </c>
    </row>
    <row r="661" spans="2:10" s="36" customFormat="1" ht="15" hidden="1" x14ac:dyDescent="0.2">
      <c r="B661" s="30" t="s">
        <v>171</v>
      </c>
      <c r="C661" s="18" t="s">
        <v>571</v>
      </c>
      <c r="D661" s="18" t="s">
        <v>351</v>
      </c>
      <c r="E661" s="18" t="s">
        <v>292</v>
      </c>
      <c r="F661" s="9" t="s">
        <v>616</v>
      </c>
      <c r="G661" s="18" t="s">
        <v>128</v>
      </c>
      <c r="H661" s="20">
        <v>0</v>
      </c>
      <c r="I661" s="20"/>
      <c r="J661" s="21" t="e">
        <f t="shared" si="45"/>
        <v>#DIV/0!</v>
      </c>
    </row>
    <row r="662" spans="2:10" s="36" customFormat="1" ht="15" hidden="1" x14ac:dyDescent="0.2">
      <c r="B662" s="57" t="s">
        <v>617</v>
      </c>
      <c r="C662" s="18" t="s">
        <v>571</v>
      </c>
      <c r="D662" s="18" t="s">
        <v>351</v>
      </c>
      <c r="E662" s="18" t="s">
        <v>292</v>
      </c>
      <c r="F662" s="9" t="s">
        <v>618</v>
      </c>
      <c r="G662" s="18"/>
      <c r="H662" s="20">
        <f>H663</f>
        <v>0</v>
      </c>
      <c r="I662" s="20">
        <f>I663</f>
        <v>0</v>
      </c>
      <c r="J662" s="21" t="e">
        <f t="shared" si="45"/>
        <v>#DIV/0!</v>
      </c>
    </row>
    <row r="663" spans="2:10" s="36" customFormat="1" ht="25.5" hidden="1" x14ac:dyDescent="0.2">
      <c r="B663" s="30" t="s">
        <v>619</v>
      </c>
      <c r="C663" s="18" t="s">
        <v>571</v>
      </c>
      <c r="D663" s="18" t="s">
        <v>351</v>
      </c>
      <c r="E663" s="18" t="s">
        <v>292</v>
      </c>
      <c r="F663" s="9" t="s">
        <v>620</v>
      </c>
      <c r="G663" s="18"/>
      <c r="H663" s="20">
        <f>H664</f>
        <v>0</v>
      </c>
      <c r="I663" s="20">
        <f>I664</f>
        <v>0</v>
      </c>
      <c r="J663" s="21" t="e">
        <f t="shared" si="45"/>
        <v>#DIV/0!</v>
      </c>
    </row>
    <row r="664" spans="2:10" s="36" customFormat="1" ht="15" hidden="1" x14ac:dyDescent="0.2">
      <c r="B664" s="30" t="s">
        <v>171</v>
      </c>
      <c r="C664" s="18" t="s">
        <v>571</v>
      </c>
      <c r="D664" s="18" t="s">
        <v>351</v>
      </c>
      <c r="E664" s="18" t="s">
        <v>292</v>
      </c>
      <c r="F664" s="9" t="s">
        <v>620</v>
      </c>
      <c r="G664" s="18" t="s">
        <v>128</v>
      </c>
      <c r="H664" s="20">
        <f>2254.6+100.6-2254.6-100.6</f>
        <v>0</v>
      </c>
      <c r="I664" s="20"/>
      <c r="J664" s="21" t="e">
        <f t="shared" si="45"/>
        <v>#DIV/0!</v>
      </c>
    </row>
    <row r="665" spans="2:10" s="45" customFormat="1" x14ac:dyDescent="0.25">
      <c r="B665" s="47" t="s">
        <v>361</v>
      </c>
      <c r="C665" s="13" t="s">
        <v>571</v>
      </c>
      <c r="D665" s="13" t="s">
        <v>351</v>
      </c>
      <c r="E665" s="13" t="s">
        <v>184</v>
      </c>
      <c r="F665" s="8"/>
      <c r="G665" s="13"/>
      <c r="H665" s="14">
        <f>H666</f>
        <v>13805.1</v>
      </c>
      <c r="I665" s="14">
        <f>I666</f>
        <v>13805.1</v>
      </c>
      <c r="J665" s="15">
        <f t="shared" si="45"/>
        <v>100</v>
      </c>
    </row>
    <row r="666" spans="2:10" s="59" customFormat="1" ht="25.5" x14ac:dyDescent="0.2">
      <c r="B666" s="30" t="s">
        <v>353</v>
      </c>
      <c r="C666" s="18" t="s">
        <v>571</v>
      </c>
      <c r="D666" s="18" t="s">
        <v>351</v>
      </c>
      <c r="E666" s="18" t="s">
        <v>184</v>
      </c>
      <c r="F666" s="9" t="s">
        <v>354</v>
      </c>
      <c r="G666" s="18"/>
      <c r="H666" s="20">
        <f>H667</f>
        <v>13805.1</v>
      </c>
      <c r="I666" s="20">
        <f>I667</f>
        <v>13805.1</v>
      </c>
      <c r="J666" s="21">
        <f t="shared" si="45"/>
        <v>100</v>
      </c>
    </row>
    <row r="667" spans="2:10" s="59" customFormat="1" ht="15" x14ac:dyDescent="0.2">
      <c r="B667" s="17" t="s">
        <v>355</v>
      </c>
      <c r="C667" s="18" t="s">
        <v>571</v>
      </c>
      <c r="D667" s="18" t="s">
        <v>351</v>
      </c>
      <c r="E667" s="18" t="s">
        <v>184</v>
      </c>
      <c r="F667" s="9" t="s">
        <v>356</v>
      </c>
      <c r="G667" s="18"/>
      <c r="H667" s="20">
        <f>H668+H675+H678</f>
        <v>13805.1</v>
      </c>
      <c r="I667" s="20">
        <f>I668+I675+I678</f>
        <v>13805.1</v>
      </c>
      <c r="J667" s="21">
        <f t="shared" si="45"/>
        <v>100</v>
      </c>
    </row>
    <row r="668" spans="2:10" s="59" customFormat="1" ht="25.5" x14ac:dyDescent="0.2">
      <c r="B668" s="30" t="s">
        <v>621</v>
      </c>
      <c r="C668" s="18" t="s">
        <v>571</v>
      </c>
      <c r="D668" s="18" t="s">
        <v>351</v>
      </c>
      <c r="E668" s="18" t="s">
        <v>184</v>
      </c>
      <c r="F668" s="9" t="s">
        <v>622</v>
      </c>
      <c r="G668" s="18"/>
      <c r="H668" s="20">
        <f>H669+H673+H671</f>
        <v>13719.9</v>
      </c>
      <c r="I668" s="20">
        <f>I669+I673+I671</f>
        <v>13719.9</v>
      </c>
      <c r="J668" s="21">
        <f t="shared" si="45"/>
        <v>100</v>
      </c>
    </row>
    <row r="669" spans="2:10" s="59" customFormat="1" ht="15" x14ac:dyDescent="0.2">
      <c r="B669" s="17" t="s">
        <v>363</v>
      </c>
      <c r="C669" s="18" t="s">
        <v>571</v>
      </c>
      <c r="D669" s="18" t="s">
        <v>351</v>
      </c>
      <c r="E669" s="18" t="s">
        <v>184</v>
      </c>
      <c r="F669" s="9" t="s">
        <v>623</v>
      </c>
      <c r="G669" s="18"/>
      <c r="H669" s="20">
        <f>H670</f>
        <v>11681.8</v>
      </c>
      <c r="I669" s="20">
        <f>I670</f>
        <v>11681.8</v>
      </c>
      <c r="J669" s="21">
        <f t="shared" si="45"/>
        <v>100</v>
      </c>
    </row>
    <row r="670" spans="2:10" s="59" customFormat="1" ht="15" x14ac:dyDescent="0.2">
      <c r="B670" s="30" t="s">
        <v>127</v>
      </c>
      <c r="C670" s="18" t="s">
        <v>571</v>
      </c>
      <c r="D670" s="18" t="s">
        <v>351</v>
      </c>
      <c r="E670" s="18" t="s">
        <v>184</v>
      </c>
      <c r="F670" s="9" t="s">
        <v>623</v>
      </c>
      <c r="G670" s="18" t="s">
        <v>128</v>
      </c>
      <c r="H670" s="20">
        <f>10546.5+1000+160-24.7</f>
        <v>11681.8</v>
      </c>
      <c r="I670" s="20">
        <v>11681.8</v>
      </c>
      <c r="J670" s="21">
        <f t="shared" si="45"/>
        <v>100</v>
      </c>
    </row>
    <row r="671" spans="2:10" s="59" customFormat="1" ht="25.5" x14ac:dyDescent="0.2">
      <c r="B671" s="30" t="s">
        <v>56</v>
      </c>
      <c r="C671" s="18" t="s">
        <v>571</v>
      </c>
      <c r="D671" s="18" t="s">
        <v>351</v>
      </c>
      <c r="E671" s="18" t="s">
        <v>184</v>
      </c>
      <c r="F671" s="9" t="s">
        <v>624</v>
      </c>
      <c r="G671" s="18"/>
      <c r="H671" s="20">
        <f>H672</f>
        <v>48.2</v>
      </c>
      <c r="I671" s="20">
        <f>I672</f>
        <v>48.2</v>
      </c>
      <c r="J671" s="21">
        <f t="shared" si="45"/>
        <v>100</v>
      </c>
    </row>
    <row r="672" spans="2:10" s="59" customFormat="1" ht="15" x14ac:dyDescent="0.2">
      <c r="B672" s="30" t="s">
        <v>171</v>
      </c>
      <c r="C672" s="18" t="s">
        <v>571</v>
      </c>
      <c r="D672" s="18" t="s">
        <v>351</v>
      </c>
      <c r="E672" s="18" t="s">
        <v>184</v>
      </c>
      <c r="F672" s="9" t="s">
        <v>624</v>
      </c>
      <c r="G672" s="18" t="s">
        <v>128</v>
      </c>
      <c r="H672" s="20">
        <v>48.2</v>
      </c>
      <c r="I672" s="20">
        <v>48.2</v>
      </c>
      <c r="J672" s="21">
        <f t="shared" si="45"/>
        <v>100</v>
      </c>
    </row>
    <row r="673" spans="2:10" s="59" customFormat="1" ht="25.5" x14ac:dyDescent="0.2">
      <c r="B673" s="60" t="s">
        <v>625</v>
      </c>
      <c r="C673" s="18" t="s">
        <v>571</v>
      </c>
      <c r="D673" s="18" t="s">
        <v>351</v>
      </c>
      <c r="E673" s="18" t="s">
        <v>184</v>
      </c>
      <c r="F673" s="9" t="s">
        <v>626</v>
      </c>
      <c r="G673" s="18"/>
      <c r="H673" s="20">
        <f>H674</f>
        <v>1989.8999999999999</v>
      </c>
      <c r="I673" s="20">
        <f>I674</f>
        <v>1989.9</v>
      </c>
      <c r="J673" s="21">
        <f t="shared" si="45"/>
        <v>100.00000000000003</v>
      </c>
    </row>
    <row r="674" spans="2:10" s="59" customFormat="1" ht="25.5" x14ac:dyDescent="0.2">
      <c r="B674" s="60" t="s">
        <v>116</v>
      </c>
      <c r="C674" s="18" t="s">
        <v>571</v>
      </c>
      <c r="D674" s="18" t="s">
        <v>351</v>
      </c>
      <c r="E674" s="18" t="s">
        <v>184</v>
      </c>
      <c r="F674" s="9" t="s">
        <v>626</v>
      </c>
      <c r="G674" s="18" t="s">
        <v>117</v>
      </c>
      <c r="H674" s="20">
        <f>2965.2-1000+24.7</f>
        <v>1989.8999999999999</v>
      </c>
      <c r="I674" s="20">
        <v>1989.9</v>
      </c>
      <c r="J674" s="21">
        <f t="shared" si="45"/>
        <v>100.00000000000003</v>
      </c>
    </row>
    <row r="675" spans="2:10" s="59" customFormat="1" ht="25.5" x14ac:dyDescent="0.2">
      <c r="B675" s="30" t="s">
        <v>583</v>
      </c>
      <c r="C675" s="18" t="s">
        <v>571</v>
      </c>
      <c r="D675" s="18" t="s">
        <v>351</v>
      </c>
      <c r="E675" s="18" t="s">
        <v>184</v>
      </c>
      <c r="F675" s="9" t="s">
        <v>584</v>
      </c>
      <c r="G675" s="18"/>
      <c r="H675" s="20">
        <f>H676</f>
        <v>15</v>
      </c>
      <c r="I675" s="20">
        <f>I676</f>
        <v>15</v>
      </c>
      <c r="J675" s="21">
        <f t="shared" si="45"/>
        <v>100</v>
      </c>
    </row>
    <row r="676" spans="2:10" s="59" customFormat="1" ht="15" x14ac:dyDescent="0.2">
      <c r="B676" s="17" t="s">
        <v>363</v>
      </c>
      <c r="C676" s="18" t="s">
        <v>571</v>
      </c>
      <c r="D676" s="18" t="s">
        <v>351</v>
      </c>
      <c r="E676" s="18" t="s">
        <v>184</v>
      </c>
      <c r="F676" s="9" t="s">
        <v>627</v>
      </c>
      <c r="G676" s="18"/>
      <c r="H676" s="20">
        <f>H677</f>
        <v>15</v>
      </c>
      <c r="I676" s="20">
        <f>I677</f>
        <v>15</v>
      </c>
      <c r="J676" s="21">
        <f t="shared" si="45"/>
        <v>100</v>
      </c>
    </row>
    <row r="677" spans="2:10" s="59" customFormat="1" ht="15" x14ac:dyDescent="0.2">
      <c r="B677" s="30" t="s">
        <v>127</v>
      </c>
      <c r="C677" s="18" t="s">
        <v>571</v>
      </c>
      <c r="D677" s="18" t="s">
        <v>351</v>
      </c>
      <c r="E677" s="18" t="s">
        <v>184</v>
      </c>
      <c r="F677" s="9" t="s">
        <v>627</v>
      </c>
      <c r="G677" s="18" t="s">
        <v>128</v>
      </c>
      <c r="H677" s="20">
        <v>15</v>
      </c>
      <c r="I677" s="20">
        <v>15</v>
      </c>
      <c r="J677" s="21">
        <f t="shared" si="45"/>
        <v>100</v>
      </c>
    </row>
    <row r="678" spans="2:10" s="59" customFormat="1" ht="25.5" x14ac:dyDescent="0.2">
      <c r="B678" s="30" t="s">
        <v>606</v>
      </c>
      <c r="C678" s="18" t="s">
        <v>571</v>
      </c>
      <c r="D678" s="18" t="s">
        <v>351</v>
      </c>
      <c r="E678" s="18" t="s">
        <v>184</v>
      </c>
      <c r="F678" s="9" t="s">
        <v>607</v>
      </c>
      <c r="G678" s="18"/>
      <c r="H678" s="20">
        <f>H679</f>
        <v>70.2</v>
      </c>
      <c r="I678" s="20">
        <f>I679</f>
        <v>70.2</v>
      </c>
      <c r="J678" s="21">
        <f t="shared" si="45"/>
        <v>100</v>
      </c>
    </row>
    <row r="679" spans="2:10" s="59" customFormat="1" ht="15" x14ac:dyDescent="0.2">
      <c r="B679" s="17" t="s">
        <v>363</v>
      </c>
      <c r="C679" s="18" t="s">
        <v>571</v>
      </c>
      <c r="D679" s="18" t="s">
        <v>351</v>
      </c>
      <c r="E679" s="18" t="s">
        <v>184</v>
      </c>
      <c r="F679" s="9" t="s">
        <v>628</v>
      </c>
      <c r="G679" s="18"/>
      <c r="H679" s="20">
        <f>H680</f>
        <v>70.2</v>
      </c>
      <c r="I679" s="20">
        <f>I680</f>
        <v>70.2</v>
      </c>
      <c r="J679" s="21">
        <f t="shared" si="45"/>
        <v>100</v>
      </c>
    </row>
    <row r="680" spans="2:10" s="59" customFormat="1" ht="15" x14ac:dyDescent="0.2">
      <c r="B680" s="30" t="s">
        <v>127</v>
      </c>
      <c r="C680" s="18" t="s">
        <v>571</v>
      </c>
      <c r="D680" s="18" t="s">
        <v>351</v>
      </c>
      <c r="E680" s="18" t="s">
        <v>184</v>
      </c>
      <c r="F680" s="9" t="s">
        <v>628</v>
      </c>
      <c r="G680" s="18" t="s">
        <v>128</v>
      </c>
      <c r="H680" s="20">
        <v>70.2</v>
      </c>
      <c r="I680" s="20">
        <v>70.2</v>
      </c>
      <c r="J680" s="21">
        <f t="shared" si="45"/>
        <v>100</v>
      </c>
    </row>
    <row r="681" spans="2:10" s="16" customFormat="1" x14ac:dyDescent="0.25">
      <c r="B681" s="40" t="s">
        <v>366</v>
      </c>
      <c r="C681" s="13" t="s">
        <v>571</v>
      </c>
      <c r="D681" s="13" t="s">
        <v>351</v>
      </c>
      <c r="E681" s="13" t="s">
        <v>351</v>
      </c>
      <c r="F681" s="13"/>
      <c r="G681" s="13"/>
      <c r="H681" s="14">
        <f t="shared" ref="H681:I683" si="46">H682</f>
        <v>346.2</v>
      </c>
      <c r="I681" s="14">
        <f t="shared" si="46"/>
        <v>346.2</v>
      </c>
      <c r="J681" s="15">
        <f t="shared" si="45"/>
        <v>100</v>
      </c>
    </row>
    <row r="682" spans="2:10" s="36" customFormat="1" ht="25.5" x14ac:dyDescent="0.2">
      <c r="B682" s="30" t="s">
        <v>353</v>
      </c>
      <c r="C682" s="18" t="s">
        <v>571</v>
      </c>
      <c r="D682" s="18" t="s">
        <v>351</v>
      </c>
      <c r="E682" s="18" t="s">
        <v>351</v>
      </c>
      <c r="F682" s="9" t="s">
        <v>354</v>
      </c>
      <c r="G682" s="18"/>
      <c r="H682" s="20">
        <f t="shared" si="46"/>
        <v>346.2</v>
      </c>
      <c r="I682" s="20">
        <f t="shared" si="46"/>
        <v>346.2</v>
      </c>
      <c r="J682" s="21">
        <f t="shared" si="45"/>
        <v>100</v>
      </c>
    </row>
    <row r="683" spans="2:10" s="36" customFormat="1" ht="15" x14ac:dyDescent="0.2">
      <c r="B683" s="17" t="s">
        <v>355</v>
      </c>
      <c r="C683" s="18" t="s">
        <v>571</v>
      </c>
      <c r="D683" s="18" t="s">
        <v>351</v>
      </c>
      <c r="E683" s="18" t="s">
        <v>351</v>
      </c>
      <c r="F683" s="9" t="s">
        <v>356</v>
      </c>
      <c r="G683" s="18"/>
      <c r="H683" s="20">
        <f t="shared" si="46"/>
        <v>346.2</v>
      </c>
      <c r="I683" s="20">
        <f t="shared" si="46"/>
        <v>346.2</v>
      </c>
      <c r="J683" s="21">
        <f t="shared" si="45"/>
        <v>100</v>
      </c>
    </row>
    <row r="684" spans="2:10" s="36" customFormat="1" ht="15" x14ac:dyDescent="0.2">
      <c r="B684" s="30" t="s">
        <v>629</v>
      </c>
      <c r="C684" s="18" t="s">
        <v>571</v>
      </c>
      <c r="D684" s="18" t="s">
        <v>351</v>
      </c>
      <c r="E684" s="18" t="s">
        <v>351</v>
      </c>
      <c r="F684" s="9" t="s">
        <v>630</v>
      </c>
      <c r="G684" s="18"/>
      <c r="H684" s="20">
        <f>H685+H687+H689</f>
        <v>346.2</v>
      </c>
      <c r="I684" s="20">
        <f>I685+I687+I689</f>
        <v>346.2</v>
      </c>
      <c r="J684" s="21">
        <f t="shared" si="45"/>
        <v>100</v>
      </c>
    </row>
    <row r="685" spans="2:10" s="36" customFormat="1" ht="15" x14ac:dyDescent="0.2">
      <c r="B685" s="30" t="s">
        <v>591</v>
      </c>
      <c r="C685" s="18" t="s">
        <v>571</v>
      </c>
      <c r="D685" s="18" t="s">
        <v>351</v>
      </c>
      <c r="E685" s="18" t="s">
        <v>351</v>
      </c>
      <c r="F685" s="9" t="s">
        <v>631</v>
      </c>
      <c r="G685" s="18"/>
      <c r="H685" s="20">
        <f>H686</f>
        <v>252.5</v>
      </c>
      <c r="I685" s="20">
        <f>I686</f>
        <v>252.5</v>
      </c>
      <c r="J685" s="21">
        <f t="shared" si="45"/>
        <v>100</v>
      </c>
    </row>
    <row r="686" spans="2:10" s="36" customFormat="1" ht="15" x14ac:dyDescent="0.2">
      <c r="B686" s="30" t="s">
        <v>127</v>
      </c>
      <c r="C686" s="18" t="s">
        <v>571</v>
      </c>
      <c r="D686" s="18" t="s">
        <v>351</v>
      </c>
      <c r="E686" s="18" t="s">
        <v>351</v>
      </c>
      <c r="F686" s="9" t="s">
        <v>631</v>
      </c>
      <c r="G686" s="18" t="s">
        <v>128</v>
      </c>
      <c r="H686" s="20">
        <f>370-117.5</f>
        <v>252.5</v>
      </c>
      <c r="I686" s="20">
        <v>252.5</v>
      </c>
      <c r="J686" s="21">
        <f t="shared" si="45"/>
        <v>100</v>
      </c>
    </row>
    <row r="687" spans="2:10" s="36" customFormat="1" ht="15" x14ac:dyDescent="0.2">
      <c r="B687" s="30" t="s">
        <v>580</v>
      </c>
      <c r="C687" s="18" t="s">
        <v>571</v>
      </c>
      <c r="D687" s="18" t="s">
        <v>351</v>
      </c>
      <c r="E687" s="18" t="s">
        <v>351</v>
      </c>
      <c r="F687" s="9" t="s">
        <v>632</v>
      </c>
      <c r="G687" s="18"/>
      <c r="H687" s="20">
        <f>H688</f>
        <v>75</v>
      </c>
      <c r="I687" s="20">
        <f>I688</f>
        <v>75</v>
      </c>
      <c r="J687" s="21">
        <f t="shared" si="45"/>
        <v>100</v>
      </c>
    </row>
    <row r="688" spans="2:10" s="36" customFormat="1" ht="15" x14ac:dyDescent="0.2">
      <c r="B688" s="30" t="s">
        <v>127</v>
      </c>
      <c r="C688" s="18" t="s">
        <v>571</v>
      </c>
      <c r="D688" s="18" t="s">
        <v>351</v>
      </c>
      <c r="E688" s="18" t="s">
        <v>351</v>
      </c>
      <c r="F688" s="9" t="s">
        <v>632</v>
      </c>
      <c r="G688" s="18" t="s">
        <v>128</v>
      </c>
      <c r="H688" s="20">
        <f>30+30+15</f>
        <v>75</v>
      </c>
      <c r="I688" s="20">
        <v>75</v>
      </c>
      <c r="J688" s="21">
        <f t="shared" si="45"/>
        <v>100</v>
      </c>
    </row>
    <row r="689" spans="2:10" s="36" customFormat="1" ht="15" x14ac:dyDescent="0.2">
      <c r="B689" s="17" t="s">
        <v>363</v>
      </c>
      <c r="C689" s="18" t="s">
        <v>571</v>
      </c>
      <c r="D689" s="18" t="s">
        <v>351</v>
      </c>
      <c r="E689" s="18" t="s">
        <v>351</v>
      </c>
      <c r="F689" s="9" t="s">
        <v>633</v>
      </c>
      <c r="G689" s="18"/>
      <c r="H689" s="20">
        <f>H690</f>
        <v>18.700000000000003</v>
      </c>
      <c r="I689" s="20">
        <f>I690</f>
        <v>18.7</v>
      </c>
      <c r="J689" s="21">
        <f t="shared" si="45"/>
        <v>99.999999999999972</v>
      </c>
    </row>
    <row r="690" spans="2:10" s="36" customFormat="1" ht="15" x14ac:dyDescent="0.2">
      <c r="B690" s="30" t="s">
        <v>127</v>
      </c>
      <c r="C690" s="18" t="s">
        <v>571</v>
      </c>
      <c r="D690" s="18" t="s">
        <v>351</v>
      </c>
      <c r="E690" s="18" t="s">
        <v>351</v>
      </c>
      <c r="F690" s="9" t="s">
        <v>633</v>
      </c>
      <c r="G690" s="18" t="s">
        <v>128</v>
      </c>
      <c r="H690" s="20">
        <f>100-81.3</f>
        <v>18.700000000000003</v>
      </c>
      <c r="I690" s="20">
        <v>18.7</v>
      </c>
      <c r="J690" s="21">
        <f t="shared" si="45"/>
        <v>99.999999999999972</v>
      </c>
    </row>
    <row r="691" spans="2:10" s="16" customFormat="1" x14ac:dyDescent="0.25">
      <c r="B691" s="40" t="s">
        <v>376</v>
      </c>
      <c r="C691" s="13" t="s">
        <v>571</v>
      </c>
      <c r="D691" s="13" t="s">
        <v>351</v>
      </c>
      <c r="E691" s="13" t="s">
        <v>186</v>
      </c>
      <c r="F691" s="13"/>
      <c r="G691" s="13"/>
      <c r="H691" s="14">
        <f>H692+H701+H696</f>
        <v>3668.3</v>
      </c>
      <c r="I691" s="14">
        <f>I692+I701+I696</f>
        <v>3630.7999999999997</v>
      </c>
      <c r="J691" s="15">
        <f t="shared" si="45"/>
        <v>98.977728102935956</v>
      </c>
    </row>
    <row r="692" spans="2:10" s="36" customFormat="1" ht="25.5" hidden="1" x14ac:dyDescent="0.2">
      <c r="B692" s="17" t="s">
        <v>240</v>
      </c>
      <c r="C692" s="18" t="s">
        <v>571</v>
      </c>
      <c r="D692" s="18" t="s">
        <v>351</v>
      </c>
      <c r="E692" s="18" t="s">
        <v>186</v>
      </c>
      <c r="F692" s="9" t="s">
        <v>241</v>
      </c>
      <c r="G692" s="18"/>
      <c r="H692" s="20">
        <f t="shared" ref="H692:I694" si="47">H693</f>
        <v>0</v>
      </c>
      <c r="I692" s="20">
        <f t="shared" si="47"/>
        <v>0</v>
      </c>
      <c r="J692" s="21" t="e">
        <f t="shared" si="45"/>
        <v>#DIV/0!</v>
      </c>
    </row>
    <row r="693" spans="2:10" s="36" customFormat="1" ht="25.5" hidden="1" x14ac:dyDescent="0.2">
      <c r="B693" s="30" t="s">
        <v>572</v>
      </c>
      <c r="C693" s="18" t="s">
        <v>571</v>
      </c>
      <c r="D693" s="18" t="s">
        <v>351</v>
      </c>
      <c r="E693" s="18" t="s">
        <v>186</v>
      </c>
      <c r="F693" s="9" t="s">
        <v>573</v>
      </c>
      <c r="G693" s="18"/>
      <c r="H693" s="20">
        <f t="shared" si="47"/>
        <v>0</v>
      </c>
      <c r="I693" s="20">
        <f t="shared" si="47"/>
        <v>0</v>
      </c>
      <c r="J693" s="21" t="e">
        <f t="shared" si="45"/>
        <v>#DIV/0!</v>
      </c>
    </row>
    <row r="694" spans="2:10" s="36" customFormat="1" ht="25.5" hidden="1" x14ac:dyDescent="0.2">
      <c r="B694" s="42" t="s">
        <v>634</v>
      </c>
      <c r="C694" s="18" t="s">
        <v>571</v>
      </c>
      <c r="D694" s="18" t="s">
        <v>351</v>
      </c>
      <c r="E694" s="18" t="s">
        <v>186</v>
      </c>
      <c r="F694" s="9" t="s">
        <v>635</v>
      </c>
      <c r="G694" s="18"/>
      <c r="H694" s="20">
        <f t="shared" si="47"/>
        <v>0</v>
      </c>
      <c r="I694" s="20">
        <f t="shared" si="47"/>
        <v>0</v>
      </c>
      <c r="J694" s="21" t="e">
        <f t="shared" si="45"/>
        <v>#DIV/0!</v>
      </c>
    </row>
    <row r="695" spans="2:10" s="36" customFormat="1" ht="15" hidden="1" x14ac:dyDescent="0.2">
      <c r="B695" s="42" t="s">
        <v>41</v>
      </c>
      <c r="C695" s="18" t="s">
        <v>571</v>
      </c>
      <c r="D695" s="18" t="s">
        <v>351</v>
      </c>
      <c r="E695" s="18" t="s">
        <v>186</v>
      </c>
      <c r="F695" s="9" t="s">
        <v>635</v>
      </c>
      <c r="G695" s="18" t="s">
        <v>24</v>
      </c>
      <c r="H695" s="20">
        <f>5-5</f>
        <v>0</v>
      </c>
      <c r="I695" s="20"/>
      <c r="J695" s="21" t="e">
        <f t="shared" si="45"/>
        <v>#DIV/0!</v>
      </c>
    </row>
    <row r="696" spans="2:10" s="36" customFormat="1" ht="25.5" x14ac:dyDescent="0.2">
      <c r="B696" s="24" t="s">
        <v>484</v>
      </c>
      <c r="C696" s="18" t="s">
        <v>571</v>
      </c>
      <c r="D696" s="18" t="s">
        <v>351</v>
      </c>
      <c r="E696" s="18" t="s">
        <v>186</v>
      </c>
      <c r="F696" s="18" t="s">
        <v>43</v>
      </c>
      <c r="G696" s="18"/>
      <c r="H696" s="20">
        <f t="shared" ref="H696:I699" si="48">H697</f>
        <v>24.5</v>
      </c>
      <c r="I696" s="20">
        <f t="shared" si="48"/>
        <v>24.5</v>
      </c>
      <c r="J696" s="21">
        <f t="shared" si="45"/>
        <v>100</v>
      </c>
    </row>
    <row r="697" spans="2:10" s="36" customFormat="1" ht="25.5" x14ac:dyDescent="0.2">
      <c r="B697" s="24" t="s">
        <v>44</v>
      </c>
      <c r="C697" s="18" t="s">
        <v>571</v>
      </c>
      <c r="D697" s="18" t="s">
        <v>351</v>
      </c>
      <c r="E697" s="18" t="s">
        <v>186</v>
      </c>
      <c r="F697" s="18" t="s">
        <v>45</v>
      </c>
      <c r="G697" s="18"/>
      <c r="H697" s="20">
        <f t="shared" si="48"/>
        <v>24.5</v>
      </c>
      <c r="I697" s="20">
        <f t="shared" si="48"/>
        <v>24.5</v>
      </c>
      <c r="J697" s="21">
        <f t="shared" si="45"/>
        <v>100</v>
      </c>
    </row>
    <row r="698" spans="2:10" s="36" customFormat="1" ht="25.5" x14ac:dyDescent="0.2">
      <c r="B698" s="17" t="s">
        <v>52</v>
      </c>
      <c r="C698" s="18" t="s">
        <v>571</v>
      </c>
      <c r="D698" s="18" t="s">
        <v>351</v>
      </c>
      <c r="E698" s="18" t="s">
        <v>186</v>
      </c>
      <c r="F698" s="18" t="s">
        <v>53</v>
      </c>
      <c r="G698" s="18"/>
      <c r="H698" s="20">
        <f t="shared" si="48"/>
        <v>24.5</v>
      </c>
      <c r="I698" s="20">
        <f t="shared" si="48"/>
        <v>24.5</v>
      </c>
      <c r="J698" s="21">
        <f t="shared" si="45"/>
        <v>100</v>
      </c>
    </row>
    <row r="699" spans="2:10" s="36" customFormat="1" ht="76.5" x14ac:dyDescent="0.2">
      <c r="B699" s="27" t="s">
        <v>54</v>
      </c>
      <c r="C699" s="18" t="s">
        <v>571</v>
      </c>
      <c r="D699" s="18" t="s">
        <v>351</v>
      </c>
      <c r="E699" s="18" t="s">
        <v>186</v>
      </c>
      <c r="F699" s="9" t="s">
        <v>55</v>
      </c>
      <c r="G699" s="18"/>
      <c r="H699" s="20">
        <f t="shared" si="48"/>
        <v>24.5</v>
      </c>
      <c r="I699" s="20">
        <f t="shared" si="48"/>
        <v>24.5</v>
      </c>
      <c r="J699" s="21">
        <f t="shared" si="45"/>
        <v>100</v>
      </c>
    </row>
    <row r="700" spans="2:10" s="36" customFormat="1" ht="15" x14ac:dyDescent="0.2">
      <c r="B700" s="27" t="s">
        <v>29</v>
      </c>
      <c r="C700" s="18" t="s">
        <v>571</v>
      </c>
      <c r="D700" s="18" t="s">
        <v>351</v>
      </c>
      <c r="E700" s="18" t="s">
        <v>186</v>
      </c>
      <c r="F700" s="9" t="s">
        <v>55</v>
      </c>
      <c r="G700" s="18" t="s">
        <v>30</v>
      </c>
      <c r="H700" s="20">
        <v>24.5</v>
      </c>
      <c r="I700" s="20">
        <v>24.5</v>
      </c>
      <c r="J700" s="21">
        <f t="shared" si="45"/>
        <v>100</v>
      </c>
    </row>
    <row r="701" spans="2:10" s="36" customFormat="1" ht="25.5" x14ac:dyDescent="0.2">
      <c r="B701" s="30" t="s">
        <v>353</v>
      </c>
      <c r="C701" s="18" t="s">
        <v>571</v>
      </c>
      <c r="D701" s="18" t="s">
        <v>351</v>
      </c>
      <c r="E701" s="18" t="s">
        <v>186</v>
      </c>
      <c r="F701" s="9" t="s">
        <v>354</v>
      </c>
      <c r="G701" s="18"/>
      <c r="H701" s="20">
        <f>H702+H714</f>
        <v>3643.8</v>
      </c>
      <c r="I701" s="20">
        <f>I702+I714</f>
        <v>3606.2999999999997</v>
      </c>
      <c r="J701" s="21">
        <f t="shared" si="45"/>
        <v>98.970854602338207</v>
      </c>
    </row>
    <row r="702" spans="2:10" s="36" customFormat="1" ht="15" x14ac:dyDescent="0.2">
      <c r="B702" s="17" t="s">
        <v>355</v>
      </c>
      <c r="C702" s="18" t="s">
        <v>571</v>
      </c>
      <c r="D702" s="18" t="s">
        <v>351</v>
      </c>
      <c r="E702" s="18" t="s">
        <v>186</v>
      </c>
      <c r="F702" s="9" t="s">
        <v>356</v>
      </c>
      <c r="G702" s="18"/>
      <c r="H702" s="20">
        <f>H704+H707+H710+H703</f>
        <v>215</v>
      </c>
      <c r="I702" s="20">
        <f>I704+I707+I710+I703</f>
        <v>215</v>
      </c>
      <c r="J702" s="21">
        <f t="shared" si="45"/>
        <v>100</v>
      </c>
    </row>
    <row r="703" spans="2:10" s="36" customFormat="1" ht="15" hidden="1" x14ac:dyDescent="0.2">
      <c r="B703" s="42" t="s">
        <v>41</v>
      </c>
      <c r="C703" s="18" t="s">
        <v>571</v>
      </c>
      <c r="D703" s="18" t="s">
        <v>351</v>
      </c>
      <c r="E703" s="18" t="s">
        <v>186</v>
      </c>
      <c r="F703" s="9" t="s">
        <v>590</v>
      </c>
      <c r="G703" s="18" t="s">
        <v>24</v>
      </c>
      <c r="H703" s="20">
        <v>0</v>
      </c>
      <c r="I703" s="20"/>
      <c r="J703" s="21" t="e">
        <f t="shared" si="45"/>
        <v>#DIV/0!</v>
      </c>
    </row>
    <row r="704" spans="2:10" s="36" customFormat="1" ht="25.5" x14ac:dyDescent="0.2">
      <c r="B704" s="37" t="s">
        <v>601</v>
      </c>
      <c r="C704" s="18" t="s">
        <v>571</v>
      </c>
      <c r="D704" s="18" t="s">
        <v>351</v>
      </c>
      <c r="E704" s="18" t="s">
        <v>186</v>
      </c>
      <c r="F704" s="9" t="s">
        <v>602</v>
      </c>
      <c r="G704" s="18"/>
      <c r="H704" s="20">
        <f>H705</f>
        <v>30</v>
      </c>
      <c r="I704" s="20">
        <f>I705</f>
        <v>30</v>
      </c>
      <c r="J704" s="21">
        <f t="shared" si="45"/>
        <v>100</v>
      </c>
    </row>
    <row r="705" spans="2:10" s="36" customFormat="1" ht="38.25" x14ac:dyDescent="0.2">
      <c r="B705" s="30" t="s">
        <v>603</v>
      </c>
      <c r="C705" s="18" t="s">
        <v>571</v>
      </c>
      <c r="D705" s="18" t="s">
        <v>351</v>
      </c>
      <c r="E705" s="18" t="s">
        <v>186</v>
      </c>
      <c r="F705" s="9" t="s">
        <v>604</v>
      </c>
      <c r="G705" s="18"/>
      <c r="H705" s="20">
        <f>H706</f>
        <v>30</v>
      </c>
      <c r="I705" s="20">
        <f>I706</f>
        <v>30</v>
      </c>
      <c r="J705" s="21">
        <f t="shared" si="45"/>
        <v>100</v>
      </c>
    </row>
    <row r="706" spans="2:10" s="36" customFormat="1" ht="15" x14ac:dyDescent="0.2">
      <c r="B706" s="30" t="s">
        <v>432</v>
      </c>
      <c r="C706" s="18" t="s">
        <v>571</v>
      </c>
      <c r="D706" s="18" t="s">
        <v>351</v>
      </c>
      <c r="E706" s="18" t="s">
        <v>186</v>
      </c>
      <c r="F706" s="9" t="s">
        <v>604</v>
      </c>
      <c r="G706" s="18" t="s">
        <v>433</v>
      </c>
      <c r="H706" s="20">
        <f>190-160</f>
        <v>30</v>
      </c>
      <c r="I706" s="20">
        <v>30</v>
      </c>
      <c r="J706" s="21">
        <f t="shared" si="45"/>
        <v>100</v>
      </c>
    </row>
    <row r="707" spans="2:10" s="36" customFormat="1" ht="25.5" x14ac:dyDescent="0.2">
      <c r="B707" s="30" t="s">
        <v>583</v>
      </c>
      <c r="C707" s="18" t="s">
        <v>571</v>
      </c>
      <c r="D707" s="18" t="s">
        <v>351</v>
      </c>
      <c r="E707" s="18" t="s">
        <v>186</v>
      </c>
      <c r="F707" s="9" t="s">
        <v>584</v>
      </c>
      <c r="G707" s="18"/>
      <c r="H707" s="20">
        <f>H708</f>
        <v>85</v>
      </c>
      <c r="I707" s="20">
        <f>I708</f>
        <v>85</v>
      </c>
      <c r="J707" s="21">
        <f t="shared" si="45"/>
        <v>100</v>
      </c>
    </row>
    <row r="708" spans="2:10" s="36" customFormat="1" ht="15" x14ac:dyDescent="0.2">
      <c r="B708" s="42" t="s">
        <v>48</v>
      </c>
      <c r="C708" s="18" t="s">
        <v>571</v>
      </c>
      <c r="D708" s="18" t="s">
        <v>351</v>
      </c>
      <c r="E708" s="18" t="s">
        <v>186</v>
      </c>
      <c r="F708" s="9" t="s">
        <v>636</v>
      </c>
      <c r="G708" s="18"/>
      <c r="H708" s="20">
        <f>H709</f>
        <v>85</v>
      </c>
      <c r="I708" s="20">
        <f>I709</f>
        <v>85</v>
      </c>
      <c r="J708" s="21">
        <f t="shared" si="45"/>
        <v>100</v>
      </c>
    </row>
    <row r="709" spans="2:10" s="36" customFormat="1" ht="15" x14ac:dyDescent="0.2">
      <c r="B709" s="42" t="s">
        <v>41</v>
      </c>
      <c r="C709" s="18" t="s">
        <v>571</v>
      </c>
      <c r="D709" s="18" t="s">
        <v>351</v>
      </c>
      <c r="E709" s="18" t="s">
        <v>186</v>
      </c>
      <c r="F709" s="9" t="s">
        <v>636</v>
      </c>
      <c r="G709" s="18" t="s">
        <v>24</v>
      </c>
      <c r="H709" s="20">
        <f>115-30</f>
        <v>85</v>
      </c>
      <c r="I709" s="20">
        <v>85</v>
      </c>
      <c r="J709" s="21">
        <f t="shared" si="45"/>
        <v>100</v>
      </c>
    </row>
    <row r="710" spans="2:10" s="36" customFormat="1" ht="25.5" x14ac:dyDescent="0.2">
      <c r="B710" s="30" t="s">
        <v>606</v>
      </c>
      <c r="C710" s="18" t="s">
        <v>571</v>
      </c>
      <c r="D710" s="18" t="s">
        <v>351</v>
      </c>
      <c r="E710" s="18" t="s">
        <v>186</v>
      </c>
      <c r="F710" s="9" t="s">
        <v>607</v>
      </c>
      <c r="G710" s="18"/>
      <c r="H710" s="20">
        <f>H711</f>
        <v>100</v>
      </c>
      <c r="I710" s="20">
        <f>I711</f>
        <v>100</v>
      </c>
      <c r="J710" s="21">
        <f t="shared" si="45"/>
        <v>100</v>
      </c>
    </row>
    <row r="711" spans="2:10" s="36" customFormat="1" ht="15" x14ac:dyDescent="0.2">
      <c r="B711" s="17" t="s">
        <v>637</v>
      </c>
      <c r="C711" s="18" t="s">
        <v>571</v>
      </c>
      <c r="D711" s="18" t="s">
        <v>351</v>
      </c>
      <c r="E711" s="18" t="s">
        <v>186</v>
      </c>
      <c r="F711" s="9" t="s">
        <v>638</v>
      </c>
      <c r="G711" s="18"/>
      <c r="H711" s="20">
        <f>H712+H713</f>
        <v>100</v>
      </c>
      <c r="I711" s="20">
        <f>I712+I713</f>
        <v>100</v>
      </c>
      <c r="J711" s="21">
        <f t="shared" si="45"/>
        <v>100</v>
      </c>
    </row>
    <row r="712" spans="2:10" s="36" customFormat="1" ht="15" hidden="1" x14ac:dyDescent="0.2">
      <c r="B712" s="42" t="s">
        <v>29</v>
      </c>
      <c r="C712" s="18" t="s">
        <v>571</v>
      </c>
      <c r="D712" s="18" t="s">
        <v>351</v>
      </c>
      <c r="E712" s="18" t="s">
        <v>186</v>
      </c>
      <c r="F712" s="9" t="s">
        <v>638</v>
      </c>
      <c r="G712" s="18" t="s">
        <v>30</v>
      </c>
      <c r="H712" s="20">
        <f>8.4-8.4</f>
        <v>0</v>
      </c>
      <c r="I712" s="20"/>
      <c r="J712" s="21" t="e">
        <f t="shared" si="45"/>
        <v>#DIV/0!</v>
      </c>
    </row>
    <row r="713" spans="2:10" s="36" customFormat="1" ht="15" x14ac:dyDescent="0.2">
      <c r="B713" s="42" t="s">
        <v>41</v>
      </c>
      <c r="C713" s="18" t="s">
        <v>571</v>
      </c>
      <c r="D713" s="18" t="s">
        <v>351</v>
      </c>
      <c r="E713" s="18" t="s">
        <v>186</v>
      </c>
      <c r="F713" s="9" t="s">
        <v>638</v>
      </c>
      <c r="G713" s="18" t="s">
        <v>24</v>
      </c>
      <c r="H713" s="20">
        <f>91.6+8.4</f>
        <v>100</v>
      </c>
      <c r="I713" s="20">
        <v>100</v>
      </c>
      <c r="J713" s="21">
        <f t="shared" ref="J713:J743" si="49">I713/H713*100</f>
        <v>100</v>
      </c>
    </row>
    <row r="714" spans="2:10" s="36" customFormat="1" ht="15" x14ac:dyDescent="0.2">
      <c r="B714" s="17" t="s">
        <v>639</v>
      </c>
      <c r="C714" s="18" t="s">
        <v>571</v>
      </c>
      <c r="D714" s="18" t="s">
        <v>351</v>
      </c>
      <c r="E714" s="18" t="s">
        <v>186</v>
      </c>
      <c r="F714" s="9" t="s">
        <v>640</v>
      </c>
      <c r="G714" s="18"/>
      <c r="H714" s="20">
        <f>H715+H721</f>
        <v>3428.8</v>
      </c>
      <c r="I714" s="20">
        <f>I715+I721</f>
        <v>3391.2999999999997</v>
      </c>
      <c r="J714" s="21">
        <f t="shared" si="49"/>
        <v>98.906322911805873</v>
      </c>
    </row>
    <row r="715" spans="2:10" s="36" customFormat="1" ht="15" x14ac:dyDescent="0.2">
      <c r="B715" s="17" t="s">
        <v>641</v>
      </c>
      <c r="C715" s="18" t="s">
        <v>571</v>
      </c>
      <c r="D715" s="18" t="s">
        <v>351</v>
      </c>
      <c r="E715" s="18" t="s">
        <v>186</v>
      </c>
      <c r="F715" s="9" t="s">
        <v>642</v>
      </c>
      <c r="G715" s="18"/>
      <c r="H715" s="20">
        <f>H716+H719</f>
        <v>3399.6000000000004</v>
      </c>
      <c r="I715" s="20">
        <f>I716+I719</f>
        <v>3362.1</v>
      </c>
      <c r="J715" s="21">
        <f t="shared" si="49"/>
        <v>98.896929050476515</v>
      </c>
    </row>
    <row r="716" spans="2:10" s="36" customFormat="1" ht="15" x14ac:dyDescent="0.2">
      <c r="B716" s="17" t="s">
        <v>637</v>
      </c>
      <c r="C716" s="18" t="s">
        <v>571</v>
      </c>
      <c r="D716" s="18" t="s">
        <v>351</v>
      </c>
      <c r="E716" s="18" t="s">
        <v>186</v>
      </c>
      <c r="F716" s="9" t="s">
        <v>643</v>
      </c>
      <c r="G716" s="18"/>
      <c r="H716" s="20">
        <f>H717+H718</f>
        <v>3399.6000000000004</v>
      </c>
      <c r="I716" s="20">
        <f>I717+I718</f>
        <v>3362.1</v>
      </c>
      <c r="J716" s="21">
        <f t="shared" si="49"/>
        <v>98.896929050476515</v>
      </c>
    </row>
    <row r="717" spans="2:10" s="36" customFormat="1" ht="15" x14ac:dyDescent="0.2">
      <c r="B717" s="42" t="s">
        <v>29</v>
      </c>
      <c r="C717" s="18" t="s">
        <v>571</v>
      </c>
      <c r="D717" s="18" t="s">
        <v>351</v>
      </c>
      <c r="E717" s="18" t="s">
        <v>186</v>
      </c>
      <c r="F717" s="9" t="s">
        <v>643</v>
      </c>
      <c r="G717" s="18" t="s">
        <v>30</v>
      </c>
      <c r="H717" s="20">
        <f>3110.8-19.5</f>
        <v>3091.3</v>
      </c>
      <c r="I717" s="20">
        <v>3088.5</v>
      </c>
      <c r="J717" s="21">
        <f t="shared" si="49"/>
        <v>99.909423220004527</v>
      </c>
    </row>
    <row r="718" spans="2:10" s="36" customFormat="1" ht="15" x14ac:dyDescent="0.2">
      <c r="B718" s="42" t="s">
        <v>41</v>
      </c>
      <c r="C718" s="18" t="s">
        <v>571</v>
      </c>
      <c r="D718" s="18" t="s">
        <v>351</v>
      </c>
      <c r="E718" s="18" t="s">
        <v>186</v>
      </c>
      <c r="F718" s="9" t="s">
        <v>643</v>
      </c>
      <c r="G718" s="18" t="s">
        <v>24</v>
      </c>
      <c r="H718" s="20">
        <f>288.8+19.5</f>
        <v>308.3</v>
      </c>
      <c r="I718" s="20">
        <v>273.60000000000002</v>
      </c>
      <c r="J718" s="21">
        <f t="shared" si="49"/>
        <v>88.744729159909184</v>
      </c>
    </row>
    <row r="719" spans="2:10" s="36" customFormat="1" ht="76.5" hidden="1" x14ac:dyDescent="0.2">
      <c r="B719" s="27" t="s">
        <v>54</v>
      </c>
      <c r="C719" s="18" t="s">
        <v>571</v>
      </c>
      <c r="D719" s="18" t="s">
        <v>351</v>
      </c>
      <c r="E719" s="18" t="s">
        <v>186</v>
      </c>
      <c r="F719" s="9" t="s">
        <v>644</v>
      </c>
      <c r="G719" s="18"/>
      <c r="H719" s="20">
        <f>H720</f>
        <v>0</v>
      </c>
      <c r="I719" s="20">
        <f>I720</f>
        <v>0</v>
      </c>
      <c r="J719" s="21" t="e">
        <f t="shared" si="49"/>
        <v>#DIV/0!</v>
      </c>
    </row>
    <row r="720" spans="2:10" s="36" customFormat="1" ht="15" hidden="1" x14ac:dyDescent="0.2">
      <c r="B720" s="27" t="s">
        <v>29</v>
      </c>
      <c r="C720" s="18" t="s">
        <v>571</v>
      </c>
      <c r="D720" s="18" t="s">
        <v>351</v>
      </c>
      <c r="E720" s="18" t="s">
        <v>186</v>
      </c>
      <c r="F720" s="9" t="s">
        <v>644</v>
      </c>
      <c r="G720" s="18" t="s">
        <v>30</v>
      </c>
      <c r="H720" s="20"/>
      <c r="I720" s="20">
        <v>0</v>
      </c>
      <c r="J720" s="21" t="e">
        <f t="shared" si="49"/>
        <v>#DIV/0!</v>
      </c>
    </row>
    <row r="721" spans="2:10" s="36" customFormat="1" ht="25.5" x14ac:dyDescent="0.2">
      <c r="B721" s="42" t="s">
        <v>645</v>
      </c>
      <c r="C721" s="18" t="s">
        <v>571</v>
      </c>
      <c r="D721" s="18" t="s">
        <v>351</v>
      </c>
      <c r="E721" s="18" t="s">
        <v>186</v>
      </c>
      <c r="F721" s="9" t="s">
        <v>646</v>
      </c>
      <c r="G721" s="18"/>
      <c r="H721" s="20">
        <f>H722</f>
        <v>29.2</v>
      </c>
      <c r="I721" s="20">
        <f>I722</f>
        <v>29.2</v>
      </c>
      <c r="J721" s="21">
        <f t="shared" si="49"/>
        <v>100</v>
      </c>
    </row>
    <row r="722" spans="2:10" s="36" customFormat="1" ht="15" x14ac:dyDescent="0.2">
      <c r="B722" s="42" t="s">
        <v>41</v>
      </c>
      <c r="C722" s="18" t="s">
        <v>571</v>
      </c>
      <c r="D722" s="18" t="s">
        <v>351</v>
      </c>
      <c r="E722" s="18" t="s">
        <v>186</v>
      </c>
      <c r="F722" s="9" t="s">
        <v>647</v>
      </c>
      <c r="G722" s="18" t="s">
        <v>24</v>
      </c>
      <c r="H722" s="20">
        <f>40.5-11.3</f>
        <v>29.2</v>
      </c>
      <c r="I722" s="20">
        <v>29.2</v>
      </c>
      <c r="J722" s="21">
        <f t="shared" si="49"/>
        <v>100</v>
      </c>
    </row>
    <row r="723" spans="2:10" s="16" customFormat="1" x14ac:dyDescent="0.25">
      <c r="B723" s="12" t="s">
        <v>420</v>
      </c>
      <c r="C723" s="13" t="s">
        <v>571</v>
      </c>
      <c r="D723" s="13" t="s">
        <v>421</v>
      </c>
      <c r="E723" s="13"/>
      <c r="F723" s="13"/>
      <c r="G723" s="13"/>
      <c r="H723" s="14">
        <f>H724+H730</f>
        <v>3458.5</v>
      </c>
      <c r="I723" s="14">
        <f>I724+I730</f>
        <v>3458.5</v>
      </c>
      <c r="J723" s="15">
        <f t="shared" si="49"/>
        <v>100</v>
      </c>
    </row>
    <row r="724" spans="2:10" s="16" customFormat="1" x14ac:dyDescent="0.25">
      <c r="B724" s="12" t="s">
        <v>429</v>
      </c>
      <c r="C724" s="13" t="s">
        <v>571</v>
      </c>
      <c r="D724" s="13" t="s">
        <v>421</v>
      </c>
      <c r="E724" s="13" t="s">
        <v>184</v>
      </c>
      <c r="F724" s="13"/>
      <c r="G724" s="13"/>
      <c r="H724" s="14">
        <f>H725</f>
        <v>1685.8</v>
      </c>
      <c r="I724" s="14">
        <f>I725</f>
        <v>1685.8</v>
      </c>
      <c r="J724" s="15">
        <f t="shared" si="49"/>
        <v>100</v>
      </c>
    </row>
    <row r="725" spans="2:10" s="36" customFormat="1" ht="25.5" x14ac:dyDescent="0.2">
      <c r="B725" s="30" t="s">
        <v>353</v>
      </c>
      <c r="C725" s="18" t="s">
        <v>571</v>
      </c>
      <c r="D725" s="18" t="s">
        <v>421</v>
      </c>
      <c r="E725" s="18" t="s">
        <v>184</v>
      </c>
      <c r="F725" s="9" t="s">
        <v>354</v>
      </c>
      <c r="G725" s="18"/>
      <c r="H725" s="20">
        <f t="shared" ref="H725:I728" si="50">H726</f>
        <v>1685.8</v>
      </c>
      <c r="I725" s="20">
        <f t="shared" si="50"/>
        <v>1685.8</v>
      </c>
      <c r="J725" s="21">
        <f t="shared" si="49"/>
        <v>100</v>
      </c>
    </row>
    <row r="726" spans="2:10" s="36" customFormat="1" ht="15" x14ac:dyDescent="0.2">
      <c r="B726" s="17" t="s">
        <v>355</v>
      </c>
      <c r="C726" s="18" t="s">
        <v>571</v>
      </c>
      <c r="D726" s="18" t="s">
        <v>421</v>
      </c>
      <c r="E726" s="18" t="s">
        <v>184</v>
      </c>
      <c r="F726" s="9" t="s">
        <v>356</v>
      </c>
      <c r="G726" s="18"/>
      <c r="H726" s="20">
        <f t="shared" si="50"/>
        <v>1685.8</v>
      </c>
      <c r="I726" s="20">
        <f t="shared" si="50"/>
        <v>1685.8</v>
      </c>
      <c r="J726" s="21">
        <f t="shared" si="49"/>
        <v>100</v>
      </c>
    </row>
    <row r="727" spans="2:10" s="36" customFormat="1" ht="25.5" x14ac:dyDescent="0.2">
      <c r="B727" s="37" t="s">
        <v>601</v>
      </c>
      <c r="C727" s="18" t="s">
        <v>571</v>
      </c>
      <c r="D727" s="18" t="s">
        <v>421</v>
      </c>
      <c r="E727" s="18" t="s">
        <v>184</v>
      </c>
      <c r="F727" s="9" t="s">
        <v>602</v>
      </c>
      <c r="G727" s="18"/>
      <c r="H727" s="20">
        <f t="shared" si="50"/>
        <v>1685.8</v>
      </c>
      <c r="I727" s="20">
        <f t="shared" si="50"/>
        <v>1685.8</v>
      </c>
      <c r="J727" s="21">
        <f t="shared" si="49"/>
        <v>100</v>
      </c>
    </row>
    <row r="728" spans="2:10" s="36" customFormat="1" ht="38.25" x14ac:dyDescent="0.2">
      <c r="B728" s="30" t="s">
        <v>603</v>
      </c>
      <c r="C728" s="18" t="s">
        <v>571</v>
      </c>
      <c r="D728" s="18" t="s">
        <v>421</v>
      </c>
      <c r="E728" s="18" t="s">
        <v>184</v>
      </c>
      <c r="F728" s="9" t="s">
        <v>604</v>
      </c>
      <c r="G728" s="18"/>
      <c r="H728" s="20">
        <f t="shared" si="50"/>
        <v>1685.8</v>
      </c>
      <c r="I728" s="20">
        <f t="shared" si="50"/>
        <v>1685.8</v>
      </c>
      <c r="J728" s="21">
        <f t="shared" si="49"/>
        <v>100</v>
      </c>
    </row>
    <row r="729" spans="2:10" s="36" customFormat="1" ht="15" x14ac:dyDescent="0.2">
      <c r="B729" s="30" t="s">
        <v>427</v>
      </c>
      <c r="C729" s="18" t="s">
        <v>571</v>
      </c>
      <c r="D729" s="18" t="s">
        <v>421</v>
      </c>
      <c r="E729" s="18" t="s">
        <v>184</v>
      </c>
      <c r="F729" s="9" t="s">
        <v>604</v>
      </c>
      <c r="G729" s="18" t="s">
        <v>428</v>
      </c>
      <c r="H729" s="20">
        <f>1609+76.8</f>
        <v>1685.8</v>
      </c>
      <c r="I729" s="20">
        <v>1685.8</v>
      </c>
      <c r="J729" s="21">
        <f t="shared" si="49"/>
        <v>100</v>
      </c>
    </row>
    <row r="730" spans="2:10" s="16" customFormat="1" x14ac:dyDescent="0.25">
      <c r="B730" s="12" t="s">
        <v>648</v>
      </c>
      <c r="C730" s="13" t="s">
        <v>571</v>
      </c>
      <c r="D730" s="13" t="s">
        <v>421</v>
      </c>
      <c r="E730" s="13" t="s">
        <v>18</v>
      </c>
      <c r="F730" s="13"/>
      <c r="G730" s="13"/>
      <c r="H730" s="14">
        <f>H731</f>
        <v>1772.7</v>
      </c>
      <c r="I730" s="14">
        <f>I731</f>
        <v>1772.7</v>
      </c>
      <c r="J730" s="15">
        <f t="shared" si="49"/>
        <v>100</v>
      </c>
    </row>
    <row r="731" spans="2:10" s="36" customFormat="1" ht="25.5" x14ac:dyDescent="0.2">
      <c r="B731" s="30" t="s">
        <v>353</v>
      </c>
      <c r="C731" s="18" t="s">
        <v>571</v>
      </c>
      <c r="D731" s="18" t="s">
        <v>421</v>
      </c>
      <c r="E731" s="18" t="s">
        <v>18</v>
      </c>
      <c r="F731" s="9" t="s">
        <v>354</v>
      </c>
      <c r="G731" s="18"/>
      <c r="H731" s="20">
        <f t="shared" ref="H731:I733" si="51">H732</f>
        <v>1772.7</v>
      </c>
      <c r="I731" s="20">
        <f t="shared" si="51"/>
        <v>1772.7</v>
      </c>
      <c r="J731" s="21">
        <f t="shared" si="49"/>
        <v>100</v>
      </c>
    </row>
    <row r="732" spans="2:10" s="36" customFormat="1" ht="15" x14ac:dyDescent="0.2">
      <c r="B732" s="17" t="s">
        <v>355</v>
      </c>
      <c r="C732" s="18" t="s">
        <v>571</v>
      </c>
      <c r="D732" s="18" t="s">
        <v>421</v>
      </c>
      <c r="E732" s="18" t="s">
        <v>18</v>
      </c>
      <c r="F732" s="9" t="s">
        <v>356</v>
      </c>
      <c r="G732" s="18"/>
      <c r="H732" s="20">
        <f t="shared" si="51"/>
        <v>1772.7</v>
      </c>
      <c r="I732" s="20">
        <f t="shared" si="51"/>
        <v>1772.7</v>
      </c>
      <c r="J732" s="21">
        <f t="shared" si="49"/>
        <v>100</v>
      </c>
    </row>
    <row r="733" spans="2:10" s="36" customFormat="1" ht="25.5" x14ac:dyDescent="0.2">
      <c r="B733" s="37" t="s">
        <v>601</v>
      </c>
      <c r="C733" s="18" t="s">
        <v>571</v>
      </c>
      <c r="D733" s="18" t="s">
        <v>421</v>
      </c>
      <c r="E733" s="18" t="s">
        <v>18</v>
      </c>
      <c r="F733" s="9" t="s">
        <v>602</v>
      </c>
      <c r="G733" s="18"/>
      <c r="H733" s="20">
        <f t="shared" si="51"/>
        <v>1772.7</v>
      </c>
      <c r="I733" s="20">
        <f t="shared" si="51"/>
        <v>1772.7</v>
      </c>
      <c r="J733" s="21">
        <f t="shared" si="49"/>
        <v>100</v>
      </c>
    </row>
    <row r="734" spans="2:10" s="36" customFormat="1" ht="38.25" x14ac:dyDescent="0.2">
      <c r="B734" s="30" t="s">
        <v>603</v>
      </c>
      <c r="C734" s="18" t="s">
        <v>571</v>
      </c>
      <c r="D734" s="18" t="s">
        <v>421</v>
      </c>
      <c r="E734" s="18" t="s">
        <v>18</v>
      </c>
      <c r="F734" s="9" t="s">
        <v>604</v>
      </c>
      <c r="G734" s="18"/>
      <c r="H734" s="20">
        <f>H736+H735</f>
        <v>1772.7</v>
      </c>
      <c r="I734" s="20">
        <f>I736+I735</f>
        <v>1772.7</v>
      </c>
      <c r="J734" s="21">
        <f t="shared" si="49"/>
        <v>100</v>
      </c>
    </row>
    <row r="735" spans="2:10" s="36" customFormat="1" ht="15" x14ac:dyDescent="0.2">
      <c r="B735" s="42" t="s">
        <v>41</v>
      </c>
      <c r="C735" s="18" t="s">
        <v>571</v>
      </c>
      <c r="D735" s="18" t="s">
        <v>421</v>
      </c>
      <c r="E735" s="18" t="s">
        <v>18</v>
      </c>
      <c r="F735" s="9" t="s">
        <v>604</v>
      </c>
      <c r="G735" s="18" t="s">
        <v>24</v>
      </c>
      <c r="H735" s="20">
        <f>3+0.5</f>
        <v>3.5</v>
      </c>
      <c r="I735" s="20">
        <v>3.5</v>
      </c>
      <c r="J735" s="21">
        <f t="shared" si="49"/>
        <v>100</v>
      </c>
    </row>
    <row r="736" spans="2:10" s="36" customFormat="1" ht="15" x14ac:dyDescent="0.2">
      <c r="B736" s="30" t="s">
        <v>432</v>
      </c>
      <c r="C736" s="18" t="s">
        <v>571</v>
      </c>
      <c r="D736" s="18" t="s">
        <v>421</v>
      </c>
      <c r="E736" s="18" t="s">
        <v>18</v>
      </c>
      <c r="F736" s="9" t="s">
        <v>604</v>
      </c>
      <c r="G736" s="18" t="s">
        <v>433</v>
      </c>
      <c r="H736" s="20">
        <f>1984.7-215-0.5</f>
        <v>1769.2</v>
      </c>
      <c r="I736" s="20">
        <v>1769.2</v>
      </c>
      <c r="J736" s="21">
        <f t="shared" si="49"/>
        <v>100</v>
      </c>
    </row>
    <row r="737" spans="2:11" s="45" customFormat="1" x14ac:dyDescent="0.25">
      <c r="B737" s="47" t="s">
        <v>452</v>
      </c>
      <c r="C737" s="13" t="s">
        <v>571</v>
      </c>
      <c r="D737" s="13" t="s">
        <v>90</v>
      </c>
      <c r="E737" s="13"/>
      <c r="F737" s="8"/>
      <c r="G737" s="13"/>
      <c r="H737" s="14">
        <f>H738</f>
        <v>56</v>
      </c>
      <c r="I737" s="14">
        <f>I738</f>
        <v>56</v>
      </c>
      <c r="J737" s="15">
        <f t="shared" si="49"/>
        <v>100</v>
      </c>
    </row>
    <row r="738" spans="2:11" s="45" customFormat="1" x14ac:dyDescent="0.25">
      <c r="B738" s="47" t="s">
        <v>453</v>
      </c>
      <c r="C738" s="13" t="s">
        <v>571</v>
      </c>
      <c r="D738" s="13" t="s">
        <v>90</v>
      </c>
      <c r="E738" s="13" t="s">
        <v>15</v>
      </c>
      <c r="F738" s="8"/>
      <c r="G738" s="13"/>
      <c r="H738" s="14">
        <f>H739</f>
        <v>56</v>
      </c>
      <c r="I738" s="14">
        <f>I739</f>
        <v>56</v>
      </c>
      <c r="J738" s="15">
        <f t="shared" si="49"/>
        <v>100</v>
      </c>
    </row>
    <row r="739" spans="2:11" s="36" customFormat="1" ht="25.5" x14ac:dyDescent="0.2">
      <c r="B739" s="30" t="s">
        <v>454</v>
      </c>
      <c r="C739" s="18" t="s">
        <v>571</v>
      </c>
      <c r="D739" s="18" t="s">
        <v>90</v>
      </c>
      <c r="E739" s="18" t="s">
        <v>15</v>
      </c>
      <c r="F739" s="9" t="s">
        <v>455</v>
      </c>
      <c r="G739" s="18"/>
      <c r="H739" s="20">
        <f t="shared" ref="H739:I741" si="52">H740</f>
        <v>56</v>
      </c>
      <c r="I739" s="20">
        <f t="shared" si="52"/>
        <v>56</v>
      </c>
      <c r="J739" s="21">
        <f t="shared" si="49"/>
        <v>100</v>
      </c>
    </row>
    <row r="740" spans="2:11" s="36" customFormat="1" ht="25.5" x14ac:dyDescent="0.2">
      <c r="B740" s="17" t="s">
        <v>456</v>
      </c>
      <c r="C740" s="18" t="s">
        <v>571</v>
      </c>
      <c r="D740" s="18" t="s">
        <v>90</v>
      </c>
      <c r="E740" s="18" t="s">
        <v>15</v>
      </c>
      <c r="F740" s="9" t="s">
        <v>457</v>
      </c>
      <c r="G740" s="18"/>
      <c r="H740" s="20">
        <f t="shared" si="52"/>
        <v>56</v>
      </c>
      <c r="I740" s="20">
        <f t="shared" si="52"/>
        <v>56</v>
      </c>
      <c r="J740" s="21">
        <f t="shared" si="49"/>
        <v>100</v>
      </c>
    </row>
    <row r="741" spans="2:11" s="36" customFormat="1" ht="15" x14ac:dyDescent="0.2">
      <c r="B741" s="37" t="s">
        <v>460</v>
      </c>
      <c r="C741" s="18" t="s">
        <v>571</v>
      </c>
      <c r="D741" s="18" t="s">
        <v>90</v>
      </c>
      <c r="E741" s="18" t="s">
        <v>15</v>
      </c>
      <c r="F741" s="9" t="s">
        <v>461</v>
      </c>
      <c r="G741" s="18"/>
      <c r="H741" s="20">
        <f t="shared" si="52"/>
        <v>56</v>
      </c>
      <c r="I741" s="20">
        <f t="shared" si="52"/>
        <v>56</v>
      </c>
      <c r="J741" s="21">
        <f t="shared" si="49"/>
        <v>100</v>
      </c>
    </row>
    <row r="742" spans="2:11" s="36" customFormat="1" ht="15" x14ac:dyDescent="0.2">
      <c r="B742" s="30" t="s">
        <v>171</v>
      </c>
      <c r="C742" s="18" t="s">
        <v>571</v>
      </c>
      <c r="D742" s="18" t="s">
        <v>90</v>
      </c>
      <c r="E742" s="18" t="s">
        <v>15</v>
      </c>
      <c r="F742" s="9" t="s">
        <v>461</v>
      </c>
      <c r="G742" s="18" t="s">
        <v>128</v>
      </c>
      <c r="H742" s="20">
        <v>56</v>
      </c>
      <c r="I742" s="20">
        <v>56</v>
      </c>
      <c r="J742" s="21">
        <f t="shared" si="49"/>
        <v>100</v>
      </c>
    </row>
    <row r="743" spans="2:11" s="16" customFormat="1" x14ac:dyDescent="0.25">
      <c r="B743" s="12" t="s">
        <v>649</v>
      </c>
      <c r="C743" s="13"/>
      <c r="D743" s="13"/>
      <c r="E743" s="13"/>
      <c r="F743" s="13"/>
      <c r="G743" s="13"/>
      <c r="H743" s="14">
        <f>H9+H420+H445+H459+H545+H598</f>
        <v>630704.69999999995</v>
      </c>
      <c r="I743" s="14">
        <f>I9+I420+I445+I459+I545+I598</f>
        <v>475490.5</v>
      </c>
      <c r="J743" s="15">
        <f t="shared" si="49"/>
        <v>75.390353044776745</v>
      </c>
      <c r="K743" s="61"/>
    </row>
    <row r="744" spans="2:11" x14ac:dyDescent="0.2">
      <c r="C744" s="63"/>
      <c r="D744" s="63"/>
      <c r="E744" s="64"/>
      <c r="F744" s="64"/>
      <c r="G744" s="63"/>
      <c r="H744" s="65"/>
      <c r="I744" s="65"/>
      <c r="J744" s="65"/>
    </row>
    <row r="745" spans="2:11" x14ac:dyDescent="0.2">
      <c r="C745" s="63"/>
      <c r="D745" s="63"/>
      <c r="E745" s="64"/>
      <c r="F745" s="64"/>
      <c r="G745" s="63"/>
      <c r="H745" s="66"/>
      <c r="I745" s="66"/>
      <c r="J745" s="66"/>
    </row>
    <row r="746" spans="2:11" x14ac:dyDescent="0.2">
      <c r="C746" s="63"/>
      <c r="D746" s="63"/>
      <c r="E746" s="64"/>
      <c r="F746" s="64"/>
      <c r="G746" s="63"/>
      <c r="H746" s="65"/>
      <c r="I746" s="65"/>
      <c r="J746" s="65"/>
    </row>
    <row r="747" spans="2:11" x14ac:dyDescent="0.2">
      <c r="C747" s="63"/>
      <c r="D747" s="63"/>
      <c r="E747" s="64"/>
      <c r="F747" s="64"/>
      <c r="G747" s="63"/>
      <c r="H747" s="65"/>
      <c r="I747" s="65"/>
      <c r="J747" s="65"/>
    </row>
    <row r="748" spans="2:11" x14ac:dyDescent="0.2">
      <c r="C748" s="63"/>
      <c r="D748" s="63"/>
      <c r="E748" s="64"/>
      <c r="F748" s="64"/>
      <c r="G748" s="63"/>
      <c r="H748" s="67"/>
      <c r="I748" s="67"/>
      <c r="J748" s="67"/>
    </row>
    <row r="749" spans="2:11" x14ac:dyDescent="0.2">
      <c r="C749" s="63"/>
      <c r="D749" s="63"/>
      <c r="E749" s="64"/>
      <c r="F749" s="64"/>
      <c r="G749" s="63"/>
      <c r="H749" s="65"/>
      <c r="I749" s="65"/>
      <c r="J749" s="65"/>
    </row>
    <row r="750" spans="2:11" x14ac:dyDescent="0.2">
      <c r="C750" s="63"/>
      <c r="D750" s="63"/>
      <c r="E750" s="64"/>
      <c r="F750" s="64"/>
      <c r="G750" s="63"/>
      <c r="H750" s="65"/>
      <c r="I750" s="65"/>
      <c r="J750" s="65"/>
    </row>
    <row r="751" spans="2:11" x14ac:dyDescent="0.2">
      <c r="B751" s="3"/>
      <c r="C751" s="63"/>
      <c r="D751" s="63"/>
      <c r="E751" s="64"/>
      <c r="F751" s="64"/>
      <c r="G751" s="63"/>
      <c r="H751" s="68"/>
      <c r="I751" s="68"/>
      <c r="J751" s="68"/>
    </row>
    <row r="752" spans="2:11" x14ac:dyDescent="0.2">
      <c r="B752" s="3"/>
      <c r="C752" s="63"/>
      <c r="D752" s="63"/>
      <c r="E752" s="64"/>
      <c r="F752" s="64"/>
      <c r="G752" s="63"/>
      <c r="H752" s="69"/>
      <c r="I752" s="69"/>
      <c r="J752" s="69"/>
    </row>
    <row r="753" spans="2:10" x14ac:dyDescent="0.2">
      <c r="B753" s="3"/>
      <c r="C753" s="63"/>
      <c r="D753" s="64"/>
      <c r="E753" s="64"/>
      <c r="F753" s="64"/>
      <c r="G753" s="63"/>
      <c r="H753" s="68"/>
      <c r="I753" s="68"/>
      <c r="J753" s="68"/>
    </row>
    <row r="754" spans="2:10" x14ac:dyDescent="0.2">
      <c r="B754" s="3"/>
      <c r="C754" s="64"/>
      <c r="D754" s="64"/>
      <c r="E754" s="64"/>
      <c r="F754" s="64"/>
      <c r="G754" s="70"/>
      <c r="I754" s="71" t="s">
        <v>650</v>
      </c>
    </row>
    <row r="755" spans="2:10" x14ac:dyDescent="0.2">
      <c r="B755" s="3"/>
      <c r="C755" s="64"/>
      <c r="D755" s="64"/>
      <c r="E755" s="64"/>
      <c r="F755" s="64"/>
      <c r="G755" s="70"/>
    </row>
    <row r="763" spans="2:10" ht="36" customHeight="1" x14ac:dyDescent="0.2">
      <c r="B763" s="3"/>
    </row>
  </sheetData>
  <mergeCells count="5">
    <mergeCell ref="E2:G2"/>
    <mergeCell ref="E3:J3"/>
    <mergeCell ref="I4:J4"/>
    <mergeCell ref="B5:J5"/>
    <mergeCell ref="G1:J1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вед</vt:lpstr>
      <vt:lpstr>'расходы вед'!Область_печати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ДФ-15-007</dc:creator>
  <cp:lastModifiedBy>ДФ-15-007</cp:lastModifiedBy>
  <dcterms:created xsi:type="dcterms:W3CDTF">2022-03-05T08:09:04Z</dcterms:created>
  <dcterms:modified xsi:type="dcterms:W3CDTF">2022-03-05T08:11:57Z</dcterms:modified>
</cp:coreProperties>
</file>