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Корректировка бюджета 28.04.2025\ПС\"/>
    </mc:Choice>
  </mc:AlternateContent>
  <bookViews>
    <workbookView xWindow="0" yWindow="0" windowWidth="28800" windowHeight="11925"/>
  </bookViews>
  <sheets>
    <sheet name="Прил 1" sheetId="1" r:id="rId1"/>
    <sheet name="Прил 2" sheetId="10" r:id="rId2"/>
    <sheet name="Приложение 3" sheetId="11" r:id="rId3"/>
    <sheet name="Приложение 4" sheetId="12" r:id="rId4"/>
    <sheet name="Приложение 5" sheetId="13" r:id="rId5"/>
  </sheets>
  <definedNames>
    <definedName name="_xlnm._FilterDatabase" localSheetId="0" hidden="1">'Прил 1'!$A$7:$E$7</definedName>
    <definedName name="_xlnm._FilterDatabase" localSheetId="2" hidden="1">'Приложение 3'!$A$7:$WWB$746</definedName>
    <definedName name="_xlnm._FilterDatabase" localSheetId="3" hidden="1">'Приложение 4'!$A$7:$WVX$854</definedName>
    <definedName name="_xlnm._FilterDatabase" localSheetId="4" hidden="1">'Приложение 5'!$A$10:$AR$540</definedName>
    <definedName name="А" localSheetId="0">#REF!</definedName>
    <definedName name="А" localSheetId="1">'Прил 2'!$1:$1048576</definedName>
    <definedName name="А" localSheetId="2">#REF!</definedName>
    <definedName name="А" localSheetId="3">#REF!</definedName>
    <definedName name="А" localSheetId="4">#REF!</definedName>
    <definedName name="А">#REF!</definedName>
    <definedName name="В" localSheetId="1">#REF!</definedName>
    <definedName name="В" localSheetId="2">#REF!</definedName>
    <definedName name="В" localSheetId="3">#REF!</definedName>
    <definedName name="В" localSheetId="4">#REF!</definedName>
    <definedName name="В">#REF!</definedName>
    <definedName name="_xlnm.Print_Titles" localSheetId="1">'Прил 2'!$4:$4</definedName>
    <definedName name="_xlnm.Print_Titles" localSheetId="3">'Приложение 4'!$5:$5</definedName>
    <definedName name="К" localSheetId="1">#REF!</definedName>
    <definedName name="К" localSheetId="2">#REF!</definedName>
    <definedName name="К" localSheetId="3">#REF!</definedName>
    <definedName name="К" localSheetId="4">#REF!</definedName>
    <definedName name="К">#REF!</definedName>
    <definedName name="_xlnm.Print_Area" localSheetId="0">'Прил 1'!$A$1:$E$24</definedName>
    <definedName name="_xlnm.Print_Area" localSheetId="1">'Прил 2'!$A$1:$K$206</definedName>
    <definedName name="_xlnm.Print_Area" localSheetId="2">'Приложение 3'!$A$1:$P$746</definedName>
    <definedName name="_xlnm.Print_Area" localSheetId="3">'Приложение 4'!$A$1:$R$855</definedName>
    <definedName name="_xlnm.Print_Area" localSheetId="4">'Приложение 5'!$A$1:$P$540</definedName>
    <definedName name="С" localSheetId="1">#REF!</definedName>
    <definedName name="С" localSheetId="2">#REF!</definedName>
    <definedName name="С" localSheetId="3">#REF!</definedName>
    <definedName name="С" localSheetId="4">#REF!</definedName>
    <definedName name="С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7" i="12" l="1"/>
  <c r="J425" i="13"/>
  <c r="L418" i="12"/>
  <c r="J166" i="13"/>
  <c r="J214" i="13"/>
  <c r="L396" i="12"/>
  <c r="J596" i="11"/>
  <c r="J618" i="11"/>
  <c r="K642" i="11" l="1"/>
  <c r="K643" i="11"/>
  <c r="K644" i="11"/>
  <c r="K645" i="11"/>
  <c r="K646" i="11"/>
  <c r="K647" i="11"/>
  <c r="K648" i="11"/>
  <c r="K649" i="11"/>
  <c r="K650" i="11"/>
  <c r="K651" i="11"/>
  <c r="K652" i="11"/>
  <c r="K653" i="11"/>
  <c r="K654" i="11"/>
  <c r="K655" i="11"/>
  <c r="K656" i="11"/>
  <c r="H642" i="11"/>
  <c r="I642" i="11"/>
  <c r="J642" i="11"/>
  <c r="L642" i="11"/>
  <c r="M642" i="11"/>
  <c r="N642" i="11"/>
  <c r="O642" i="11"/>
  <c r="G642" i="11"/>
  <c r="K692" i="11"/>
  <c r="O691" i="11"/>
  <c r="O690" i="11" s="1"/>
  <c r="O689" i="11" s="1"/>
  <c r="O688" i="11" s="1"/>
  <c r="O687" i="11" s="1"/>
  <c r="N691" i="11"/>
  <c r="M691" i="11"/>
  <c r="M690" i="11" s="1"/>
  <c r="M689" i="11" s="1"/>
  <c r="M688" i="11" s="1"/>
  <c r="M687" i="11" s="1"/>
  <c r="L691" i="11"/>
  <c r="J691" i="11"/>
  <c r="I691" i="11"/>
  <c r="I690" i="11" s="1"/>
  <c r="I689" i="11" s="1"/>
  <c r="I688" i="11" s="1"/>
  <c r="I687" i="11" s="1"/>
  <c r="H691" i="11"/>
  <c r="G691" i="11"/>
  <c r="K691" i="11" s="1"/>
  <c r="N690" i="11"/>
  <c r="N689" i="11" s="1"/>
  <c r="N688" i="11" s="1"/>
  <c r="N687" i="11" s="1"/>
  <c r="L690" i="11"/>
  <c r="L689" i="11" s="1"/>
  <c r="L688" i="11" s="1"/>
  <c r="L687" i="11" s="1"/>
  <c r="J690" i="11"/>
  <c r="J689" i="11" s="1"/>
  <c r="H690" i="11"/>
  <c r="H689" i="11" s="1"/>
  <c r="H688" i="11" s="1"/>
  <c r="H687" i="11" s="1"/>
  <c r="M750" i="12"/>
  <c r="M751" i="12"/>
  <c r="M752" i="12"/>
  <c r="M753" i="12"/>
  <c r="M754" i="12"/>
  <c r="J750" i="12"/>
  <c r="K750" i="12"/>
  <c r="L750" i="12"/>
  <c r="O750" i="12"/>
  <c r="P750" i="12"/>
  <c r="I750" i="12"/>
  <c r="M756" i="12"/>
  <c r="M757" i="12"/>
  <c r="M758" i="12"/>
  <c r="M759" i="12"/>
  <c r="M760" i="12"/>
  <c r="M761" i="12"/>
  <c r="M762" i="12"/>
  <c r="M763" i="12"/>
  <c r="M764" i="12"/>
  <c r="M765" i="12"/>
  <c r="J757" i="12"/>
  <c r="K757" i="12"/>
  <c r="L757" i="12"/>
  <c r="O757" i="12"/>
  <c r="P757" i="12"/>
  <c r="I757" i="12"/>
  <c r="J758" i="12"/>
  <c r="K758" i="12"/>
  <c r="L758" i="12"/>
  <c r="O758" i="12"/>
  <c r="P758" i="12"/>
  <c r="J759" i="12"/>
  <c r="K759" i="12"/>
  <c r="L759" i="12"/>
  <c r="N759" i="12"/>
  <c r="N758" i="12" s="1"/>
  <c r="N757" i="12" s="1"/>
  <c r="N750" i="12" s="1"/>
  <c r="O759" i="12"/>
  <c r="P759" i="12"/>
  <c r="J760" i="12"/>
  <c r="K760" i="12"/>
  <c r="L760" i="12"/>
  <c r="N760" i="12"/>
  <c r="O760" i="12"/>
  <c r="P760" i="12"/>
  <c r="Q760" i="12"/>
  <c r="Q759" i="12" s="1"/>
  <c r="Q758" i="12" s="1"/>
  <c r="Q757" i="12" s="1"/>
  <c r="Q750" i="12" s="1"/>
  <c r="J761" i="12"/>
  <c r="K761" i="12"/>
  <c r="L761" i="12"/>
  <c r="N761" i="12"/>
  <c r="O761" i="12"/>
  <c r="P761" i="12"/>
  <c r="Q761" i="12"/>
  <c r="I758" i="12"/>
  <c r="I759" i="12"/>
  <c r="I760" i="12"/>
  <c r="I761" i="12"/>
  <c r="K314" i="13"/>
  <c r="K315" i="13"/>
  <c r="K316" i="13"/>
  <c r="K317" i="13"/>
  <c r="K318" i="13"/>
  <c r="K319" i="13"/>
  <c r="H314" i="13"/>
  <c r="I314" i="13"/>
  <c r="J314" i="13"/>
  <c r="L314" i="13"/>
  <c r="M314" i="13"/>
  <c r="N314" i="13"/>
  <c r="O314" i="13"/>
  <c r="G314" i="13"/>
  <c r="J315" i="13"/>
  <c r="L711" i="12"/>
  <c r="J528" i="11"/>
  <c r="J688" i="11" l="1"/>
  <c r="G690" i="11"/>
  <c r="G689" i="11" s="1"/>
  <c r="G688" i="11" s="1"/>
  <c r="G687" i="11" s="1"/>
  <c r="K690" i="11" l="1"/>
  <c r="K689" i="11"/>
  <c r="K688" i="11"/>
  <c r="J687" i="11"/>
  <c r="K687" i="11" s="1"/>
  <c r="M308" i="12" l="1"/>
  <c r="M309" i="12"/>
  <c r="M310" i="12"/>
  <c r="M311" i="12"/>
  <c r="K307" i="12"/>
  <c r="L307" i="12"/>
  <c r="M307" i="12" s="1"/>
  <c r="N307" i="12"/>
  <c r="P307" i="12"/>
  <c r="Q307" i="12"/>
  <c r="I307" i="12"/>
  <c r="J812" i="12"/>
  <c r="J811" i="12" s="1"/>
  <c r="O812" i="12"/>
  <c r="O811" i="12" s="1"/>
  <c r="Q812" i="12"/>
  <c r="Q811" i="12" s="1"/>
  <c r="L814" i="12"/>
  <c r="M814" i="12" s="1"/>
  <c r="Q813" i="12"/>
  <c r="P813" i="12"/>
  <c r="P812" i="12" s="1"/>
  <c r="P811" i="12" s="1"/>
  <c r="O813" i="12"/>
  <c r="N813" i="12"/>
  <c r="N812" i="12" s="1"/>
  <c r="N811" i="12" s="1"/>
  <c r="K813" i="12"/>
  <c r="K812" i="12" s="1"/>
  <c r="K811" i="12" s="1"/>
  <c r="J813" i="12"/>
  <c r="I813" i="12"/>
  <c r="I812" i="12" s="1"/>
  <c r="I811" i="12" s="1"/>
  <c r="R811" i="12" l="1"/>
  <c r="R812" i="12"/>
  <c r="L813" i="12"/>
  <c r="J412" i="11"/>
  <c r="J29" i="11"/>
  <c r="J111" i="13"/>
  <c r="J131" i="13"/>
  <c r="M813" i="12" l="1"/>
  <c r="L812" i="12"/>
  <c r="L262" i="12"/>
  <c r="J342" i="11"/>
  <c r="J347" i="11"/>
  <c r="J420" i="13"/>
  <c r="J355" i="11"/>
  <c r="L275" i="12"/>
  <c r="J433" i="13"/>
  <c r="M812" i="12" l="1"/>
  <c r="L811" i="12"/>
  <c r="J30" i="11"/>
  <c r="L26" i="12"/>
  <c r="L27" i="12"/>
  <c r="L783" i="12"/>
  <c r="J132" i="13"/>
  <c r="J617" i="11"/>
  <c r="J616" i="11"/>
  <c r="J417" i="11"/>
  <c r="L330" i="12"/>
  <c r="J445" i="13"/>
  <c r="J537" i="11"/>
  <c r="L371" i="12"/>
  <c r="L417" i="12"/>
  <c r="L416" i="12"/>
  <c r="J217" i="13"/>
  <c r="J212" i="13"/>
  <c r="M811" i="12" l="1"/>
  <c r="J630" i="11"/>
  <c r="J629" i="11"/>
  <c r="L430" i="12"/>
  <c r="L429" i="12"/>
  <c r="J168" i="13"/>
  <c r="J169" i="13"/>
  <c r="J363" i="13" l="1"/>
  <c r="J361" i="13"/>
  <c r="L148" i="12"/>
  <c r="L150" i="12"/>
  <c r="J187" i="11"/>
  <c r="J189" i="11"/>
  <c r="J318" i="11" l="1"/>
  <c r="J170" i="11"/>
  <c r="L587" i="12"/>
  <c r="L614" i="12"/>
  <c r="J508" i="13"/>
  <c r="J505" i="13"/>
  <c r="C30" i="10" l="1"/>
  <c r="D32" i="10"/>
  <c r="D30" i="10" s="1"/>
  <c r="K34" i="10"/>
  <c r="H34" i="10"/>
  <c r="E34" i="10"/>
  <c r="J33" i="10"/>
  <c r="I33" i="10"/>
  <c r="G33" i="10"/>
  <c r="H33" i="10" s="1"/>
  <c r="F33" i="10"/>
  <c r="D33" i="10"/>
  <c r="C33" i="10"/>
  <c r="K33" i="10" l="1"/>
  <c r="E33" i="10"/>
  <c r="J718" i="11"/>
  <c r="L498" i="12"/>
  <c r="L506" i="12"/>
  <c r="J240" i="13"/>
  <c r="J191" i="13"/>
  <c r="L518" i="12"/>
  <c r="J736" i="11"/>
  <c r="L525" i="12" l="1"/>
  <c r="L524" i="12"/>
  <c r="J17" i="11"/>
  <c r="J16" i="11"/>
  <c r="J438" i="13" l="1"/>
  <c r="L280" i="12"/>
  <c r="J360" i="11"/>
  <c r="J206" i="13" l="1"/>
  <c r="L279" i="12"/>
  <c r="J359" i="11"/>
  <c r="J437" i="13"/>
  <c r="L824" i="12" l="1"/>
  <c r="J304" i="11"/>
  <c r="L605" i="12"/>
  <c r="J513" i="13"/>
  <c r="P539" i="13" l="1"/>
  <c r="M539" i="13"/>
  <c r="K539" i="13"/>
  <c r="H539" i="13"/>
  <c r="O538" i="13"/>
  <c r="N538" i="13"/>
  <c r="N537" i="13" s="1"/>
  <c r="N536" i="13" s="1"/>
  <c r="L538" i="13"/>
  <c r="J538" i="13"/>
  <c r="I538" i="13"/>
  <c r="G538" i="13"/>
  <c r="F538" i="13"/>
  <c r="F537" i="13" s="1"/>
  <c r="F536" i="13" s="1"/>
  <c r="L537" i="13"/>
  <c r="L536" i="13" s="1"/>
  <c r="P535" i="13"/>
  <c r="M535" i="13"/>
  <c r="J535" i="13"/>
  <c r="J534" i="13" s="1"/>
  <c r="G535" i="13"/>
  <c r="F535" i="13"/>
  <c r="O534" i="13"/>
  <c r="N534" i="13"/>
  <c r="N533" i="13" s="1"/>
  <c r="L534" i="13"/>
  <c r="L533" i="13" s="1"/>
  <c r="I534" i="13"/>
  <c r="F534" i="13"/>
  <c r="F533" i="13" s="1"/>
  <c r="O532" i="13"/>
  <c r="O531" i="13" s="1"/>
  <c r="N532" i="13"/>
  <c r="N531" i="13" s="1"/>
  <c r="N530" i="13" s="1"/>
  <c r="L532" i="13"/>
  <c r="J532" i="13"/>
  <c r="I532" i="13"/>
  <c r="I531" i="13" s="1"/>
  <c r="I530" i="13" s="1"/>
  <c r="G532" i="13"/>
  <c r="G531" i="13" s="1"/>
  <c r="F532" i="13"/>
  <c r="F531" i="13" s="1"/>
  <c r="F530" i="13" s="1"/>
  <c r="J531" i="13"/>
  <c r="J530" i="13" s="1"/>
  <c r="P529" i="13"/>
  <c r="M529" i="13"/>
  <c r="G529" i="13"/>
  <c r="G528" i="13" s="1"/>
  <c r="G527" i="13" s="1"/>
  <c r="F529" i="13"/>
  <c r="O528" i="13"/>
  <c r="O527" i="13" s="1"/>
  <c r="N528" i="13"/>
  <c r="L528" i="13"/>
  <c r="I528" i="13"/>
  <c r="I527" i="13" s="1"/>
  <c r="O526" i="13"/>
  <c r="N526" i="13"/>
  <c r="N525" i="13" s="1"/>
  <c r="N524" i="13" s="1"/>
  <c r="L526" i="13"/>
  <c r="L525" i="13" s="1"/>
  <c r="L524" i="13" s="1"/>
  <c r="J526" i="13"/>
  <c r="I526" i="13"/>
  <c r="I525" i="13" s="1"/>
  <c r="I524" i="13" s="1"/>
  <c r="G526" i="13"/>
  <c r="F526" i="13"/>
  <c r="F525" i="13" s="1"/>
  <c r="F524" i="13" s="1"/>
  <c r="O522" i="13"/>
  <c r="N522" i="13"/>
  <c r="N521" i="13" s="1"/>
  <c r="L522" i="13"/>
  <c r="J522" i="13"/>
  <c r="I522" i="13"/>
  <c r="M522" i="13" s="1"/>
  <c r="G522" i="13"/>
  <c r="F522" i="13"/>
  <c r="F521" i="13" s="1"/>
  <c r="L521" i="13"/>
  <c r="I521" i="13"/>
  <c r="O520" i="13"/>
  <c r="O519" i="13" s="1"/>
  <c r="N520" i="13"/>
  <c r="N519" i="13" s="1"/>
  <c r="L520" i="13"/>
  <c r="J520" i="13"/>
  <c r="J519" i="13" s="1"/>
  <c r="I520" i="13"/>
  <c r="I519" i="13" s="1"/>
  <c r="G520" i="13"/>
  <c r="F520" i="13"/>
  <c r="F519" i="13" s="1"/>
  <c r="P515" i="13"/>
  <c r="M515" i="13"/>
  <c r="K515" i="13"/>
  <c r="H515" i="13"/>
  <c r="P514" i="13"/>
  <c r="M514" i="13"/>
  <c r="J514" i="13"/>
  <c r="G514" i="13"/>
  <c r="F514" i="13"/>
  <c r="O513" i="13"/>
  <c r="P513" i="13" s="1"/>
  <c r="N513" i="13"/>
  <c r="N512" i="13" s="1"/>
  <c r="N511" i="13" s="1"/>
  <c r="L513" i="13"/>
  <c r="K513" i="13"/>
  <c r="I513" i="13"/>
  <c r="M513" i="13" s="1"/>
  <c r="G513" i="13"/>
  <c r="F513" i="13"/>
  <c r="L512" i="13"/>
  <c r="L511" i="13" s="1"/>
  <c r="P510" i="13"/>
  <c r="M510" i="13"/>
  <c r="J510" i="13"/>
  <c r="J509" i="13" s="1"/>
  <c r="G510" i="13"/>
  <c r="F510" i="13"/>
  <c r="F509" i="13" s="1"/>
  <c r="O509" i="13"/>
  <c r="N509" i="13"/>
  <c r="L509" i="13"/>
  <c r="I509" i="13"/>
  <c r="M509" i="13" s="1"/>
  <c r="P508" i="13"/>
  <c r="M508" i="13"/>
  <c r="K508" i="13"/>
  <c r="H508" i="13"/>
  <c r="O507" i="13"/>
  <c r="N507" i="13"/>
  <c r="L507" i="13"/>
  <c r="J507" i="13"/>
  <c r="I507" i="13"/>
  <c r="G507" i="13"/>
  <c r="F507" i="13"/>
  <c r="P506" i="13"/>
  <c r="M506" i="13"/>
  <c r="K506" i="13"/>
  <c r="H506" i="13"/>
  <c r="O505" i="13"/>
  <c r="O504" i="13" s="1"/>
  <c r="N505" i="13"/>
  <c r="N504" i="13" s="1"/>
  <c r="L505" i="13"/>
  <c r="J504" i="13"/>
  <c r="I505" i="13"/>
  <c r="I504" i="13" s="1"/>
  <c r="G505" i="13"/>
  <c r="F505" i="13"/>
  <c r="F504" i="13" s="1"/>
  <c r="G504" i="13"/>
  <c r="P502" i="13"/>
  <c r="M502" i="13"/>
  <c r="K502" i="13"/>
  <c r="H502" i="13"/>
  <c r="P501" i="13"/>
  <c r="M501" i="13"/>
  <c r="K501" i="13"/>
  <c r="H501" i="13"/>
  <c r="O500" i="13"/>
  <c r="O499" i="13" s="1"/>
  <c r="N500" i="13"/>
  <c r="N499" i="13" s="1"/>
  <c r="L500" i="13"/>
  <c r="L499" i="13" s="1"/>
  <c r="J500" i="13"/>
  <c r="I500" i="13"/>
  <c r="I499" i="13" s="1"/>
  <c r="G500" i="13"/>
  <c r="F500" i="13"/>
  <c r="F499" i="13" s="1"/>
  <c r="P497" i="13"/>
  <c r="M497" i="13"/>
  <c r="K497" i="13"/>
  <c r="H497" i="13"/>
  <c r="P496" i="13"/>
  <c r="M496" i="13"/>
  <c r="K496" i="13"/>
  <c r="H496" i="13"/>
  <c r="O495" i="13"/>
  <c r="N495" i="13"/>
  <c r="L495" i="13"/>
  <c r="J495" i="13"/>
  <c r="I495" i="13"/>
  <c r="G495" i="13"/>
  <c r="F495" i="13"/>
  <c r="P494" i="13"/>
  <c r="M494" i="13"/>
  <c r="J494" i="13"/>
  <c r="G494" i="13"/>
  <c r="F494" i="13"/>
  <c r="F493" i="13" s="1"/>
  <c r="O493" i="13"/>
  <c r="N493" i="13"/>
  <c r="L493" i="13"/>
  <c r="I493" i="13"/>
  <c r="G493" i="13"/>
  <c r="O489" i="13"/>
  <c r="N489" i="13"/>
  <c r="N488" i="13" s="1"/>
  <c r="L489" i="13"/>
  <c r="L488" i="13" s="1"/>
  <c r="J489" i="13"/>
  <c r="I489" i="13"/>
  <c r="G489" i="13"/>
  <c r="F489" i="13"/>
  <c r="F488" i="13" s="1"/>
  <c r="J488" i="13"/>
  <c r="I488" i="13"/>
  <c r="P487" i="13"/>
  <c r="M487" i="13"/>
  <c r="K487" i="13"/>
  <c r="H487" i="13"/>
  <c r="P486" i="13"/>
  <c r="M486" i="13"/>
  <c r="K486" i="13"/>
  <c r="H486" i="13"/>
  <c r="P485" i="13"/>
  <c r="M485" i="13"/>
  <c r="K485" i="13"/>
  <c r="H485" i="13"/>
  <c r="O484" i="13"/>
  <c r="N484" i="13"/>
  <c r="L484" i="13"/>
  <c r="J484" i="13"/>
  <c r="I484" i="13"/>
  <c r="G484" i="13"/>
  <c r="F484" i="13"/>
  <c r="P483" i="13"/>
  <c r="M483" i="13"/>
  <c r="J483" i="13"/>
  <c r="J482" i="13" s="1"/>
  <c r="G483" i="13"/>
  <c r="O482" i="13"/>
  <c r="N482" i="13"/>
  <c r="L482" i="13"/>
  <c r="I482" i="13"/>
  <c r="F482" i="13"/>
  <c r="P481" i="13"/>
  <c r="M481" i="13"/>
  <c r="K481" i="13"/>
  <c r="H481" i="13"/>
  <c r="O480" i="13"/>
  <c r="N480" i="13"/>
  <c r="L480" i="13"/>
  <c r="J480" i="13"/>
  <c r="I480" i="13"/>
  <c r="G480" i="13"/>
  <c r="F480" i="13"/>
  <c r="P479" i="13"/>
  <c r="M479" i="13"/>
  <c r="K479" i="13"/>
  <c r="H479" i="13"/>
  <c r="O478" i="13"/>
  <c r="N478" i="13"/>
  <c r="M478" i="13"/>
  <c r="K478" i="13"/>
  <c r="H478" i="13"/>
  <c r="O477" i="13"/>
  <c r="N477" i="13"/>
  <c r="L477" i="13"/>
  <c r="L476" i="13" s="1"/>
  <c r="J477" i="13"/>
  <c r="J476" i="13" s="1"/>
  <c r="I477" i="13"/>
  <c r="G477" i="13"/>
  <c r="F477" i="13"/>
  <c r="F476" i="13" s="1"/>
  <c r="P474" i="13"/>
  <c r="M474" i="13"/>
  <c r="K474" i="13"/>
  <c r="H474" i="13"/>
  <c r="O473" i="13"/>
  <c r="N473" i="13"/>
  <c r="N472" i="13" s="1"/>
  <c r="L473" i="13"/>
  <c r="J473" i="13"/>
  <c r="I473" i="13"/>
  <c r="I472" i="13" s="1"/>
  <c r="G473" i="13"/>
  <c r="F473" i="13"/>
  <c r="F472" i="13" s="1"/>
  <c r="P470" i="13"/>
  <c r="M470" i="13"/>
  <c r="J470" i="13"/>
  <c r="G470" i="13"/>
  <c r="H470" i="13" s="1"/>
  <c r="P469" i="13"/>
  <c r="M469" i="13"/>
  <c r="J469" i="13"/>
  <c r="J468" i="13" s="1"/>
  <c r="G469" i="13"/>
  <c r="O468" i="13"/>
  <c r="N468" i="13"/>
  <c r="L468" i="13"/>
  <c r="I468" i="13"/>
  <c r="F468" i="13"/>
  <c r="N467" i="13"/>
  <c r="N466" i="13" s="1"/>
  <c r="L467" i="13"/>
  <c r="F467" i="13"/>
  <c r="F466" i="13" s="1"/>
  <c r="O464" i="13"/>
  <c r="N464" i="13"/>
  <c r="N463" i="13" s="1"/>
  <c r="L464" i="13"/>
  <c r="J464" i="13"/>
  <c r="J463" i="13" s="1"/>
  <c r="I464" i="13"/>
  <c r="I463" i="13" s="1"/>
  <c r="G464" i="13"/>
  <c r="F464" i="13"/>
  <c r="F463" i="13" s="1"/>
  <c r="O462" i="13"/>
  <c r="N462" i="13"/>
  <c r="N461" i="13" s="1"/>
  <c r="L462" i="13"/>
  <c r="J462" i="13"/>
  <c r="I462" i="13"/>
  <c r="M462" i="13" s="1"/>
  <c r="G462" i="13"/>
  <c r="F462" i="13"/>
  <c r="F461" i="13" s="1"/>
  <c r="L461" i="13"/>
  <c r="J461" i="13"/>
  <c r="P460" i="13"/>
  <c r="M460" i="13"/>
  <c r="K460" i="13"/>
  <c r="H460" i="13"/>
  <c r="O459" i="13"/>
  <c r="N459" i="13"/>
  <c r="L459" i="13"/>
  <c r="J459" i="13"/>
  <c r="I459" i="13"/>
  <c r="G459" i="13"/>
  <c r="F459" i="13"/>
  <c r="P458" i="13"/>
  <c r="M458" i="13"/>
  <c r="K458" i="13"/>
  <c r="H458" i="13"/>
  <c r="P457" i="13"/>
  <c r="O457" i="13"/>
  <c r="N457" i="13"/>
  <c r="L457" i="13"/>
  <c r="J457" i="13"/>
  <c r="K457" i="13" s="1"/>
  <c r="I457" i="13"/>
  <c r="G457" i="13"/>
  <c r="H457" i="13" s="1"/>
  <c r="F457" i="13"/>
  <c r="O454" i="13"/>
  <c r="P454" i="13" s="1"/>
  <c r="L454" i="13"/>
  <c r="J454" i="13"/>
  <c r="J453" i="13" s="1"/>
  <c r="G454" i="13"/>
  <c r="N453" i="13"/>
  <c r="I453" i="13"/>
  <c r="F453" i="13"/>
  <c r="P452" i="13"/>
  <c r="M452" i="13"/>
  <c r="K452" i="13"/>
  <c r="H452" i="13"/>
  <c r="O451" i="13"/>
  <c r="N451" i="13"/>
  <c r="N450" i="13" s="1"/>
  <c r="N449" i="13" s="1"/>
  <c r="L451" i="13"/>
  <c r="J451" i="13"/>
  <c r="I451" i="13"/>
  <c r="G451" i="13"/>
  <c r="F451" i="13"/>
  <c r="P447" i="13"/>
  <c r="M447" i="13"/>
  <c r="K447" i="13"/>
  <c r="H447" i="13"/>
  <c r="O446" i="13"/>
  <c r="N446" i="13"/>
  <c r="L446" i="13"/>
  <c r="J446" i="13"/>
  <c r="I446" i="13"/>
  <c r="G446" i="13"/>
  <c r="F446" i="13"/>
  <c r="O445" i="13"/>
  <c r="N445" i="13"/>
  <c r="N444" i="13" s="1"/>
  <c r="M445" i="13"/>
  <c r="G445" i="13"/>
  <c r="H445" i="13" s="1"/>
  <c r="L444" i="13"/>
  <c r="I444" i="13"/>
  <c r="I443" i="13" s="1"/>
  <c r="F444" i="13"/>
  <c r="F443" i="13" s="1"/>
  <c r="P442" i="13"/>
  <c r="M442" i="13"/>
  <c r="K442" i="13"/>
  <c r="H442" i="13"/>
  <c r="O441" i="13"/>
  <c r="N441" i="13"/>
  <c r="L441" i="13"/>
  <c r="J441" i="13"/>
  <c r="I441" i="13"/>
  <c r="G441" i="13"/>
  <c r="F441" i="13"/>
  <c r="P440" i="13"/>
  <c r="M440" i="13"/>
  <c r="J440" i="13"/>
  <c r="J439" i="13" s="1"/>
  <c r="G440" i="13"/>
  <c r="G439" i="13" s="1"/>
  <c r="F440" i="13"/>
  <c r="O439" i="13"/>
  <c r="N439" i="13"/>
  <c r="L439" i="13"/>
  <c r="I439" i="13"/>
  <c r="P438" i="13"/>
  <c r="M438" i="13"/>
  <c r="K438" i="13"/>
  <c r="H438" i="13"/>
  <c r="O437" i="13"/>
  <c r="O436" i="13" s="1"/>
  <c r="N437" i="13"/>
  <c r="N436" i="13" s="1"/>
  <c r="L437" i="13"/>
  <c r="I437" i="13"/>
  <c r="I436" i="13" s="1"/>
  <c r="G437" i="13"/>
  <c r="F437" i="13"/>
  <c r="F436" i="13" s="1"/>
  <c r="J436" i="13"/>
  <c r="G436" i="13"/>
  <c r="O433" i="13"/>
  <c r="P433" i="13" s="1"/>
  <c r="N433" i="13"/>
  <c r="N432" i="13" s="1"/>
  <c r="N431" i="13" s="1"/>
  <c r="L433" i="13"/>
  <c r="I433" i="13"/>
  <c r="I432" i="13" s="1"/>
  <c r="I431" i="13" s="1"/>
  <c r="G433" i="13"/>
  <c r="H433" i="13" s="1"/>
  <c r="F433" i="13"/>
  <c r="F432" i="13"/>
  <c r="F431" i="13" s="1"/>
  <c r="P430" i="13"/>
  <c r="M430" i="13"/>
  <c r="K430" i="13"/>
  <c r="H430" i="13"/>
  <c r="O429" i="13"/>
  <c r="N429" i="13"/>
  <c r="L429" i="13"/>
  <c r="J429" i="13"/>
  <c r="I429" i="13"/>
  <c r="G429" i="13"/>
  <c r="F429" i="13"/>
  <c r="P428" i="13"/>
  <c r="M428" i="13"/>
  <c r="J428" i="13"/>
  <c r="J427" i="13" s="1"/>
  <c r="G428" i="13"/>
  <c r="G427" i="13" s="1"/>
  <c r="O427" i="13"/>
  <c r="N427" i="13"/>
  <c r="N426" i="13" s="1"/>
  <c r="L427" i="13"/>
  <c r="L426" i="13" s="1"/>
  <c r="I427" i="13"/>
  <c r="F427" i="13"/>
  <c r="F426" i="13" s="1"/>
  <c r="P425" i="13"/>
  <c r="M425" i="13"/>
  <c r="J424" i="13"/>
  <c r="G425" i="13"/>
  <c r="G424" i="13" s="1"/>
  <c r="G423" i="13" s="1"/>
  <c r="O424" i="13"/>
  <c r="O423" i="13" s="1"/>
  <c r="N424" i="13"/>
  <c r="L424" i="13"/>
  <c r="I424" i="13"/>
  <c r="I423" i="13" s="1"/>
  <c r="F424" i="13"/>
  <c r="F423" i="13" s="1"/>
  <c r="L423" i="13"/>
  <c r="P422" i="13"/>
  <c r="M422" i="13"/>
  <c r="K422" i="13"/>
  <c r="H422" i="13"/>
  <c r="O421" i="13"/>
  <c r="N421" i="13"/>
  <c r="L421" i="13"/>
  <c r="J421" i="13"/>
  <c r="I421" i="13"/>
  <c r="G421" i="13"/>
  <c r="F421" i="13"/>
  <c r="P420" i="13"/>
  <c r="M420" i="13"/>
  <c r="G420" i="13"/>
  <c r="F420" i="13"/>
  <c r="F418" i="13" s="1"/>
  <c r="P419" i="13"/>
  <c r="M419" i="13"/>
  <c r="K419" i="13"/>
  <c r="H419" i="13"/>
  <c r="O418" i="13"/>
  <c r="N418" i="13"/>
  <c r="L418" i="13"/>
  <c r="M418" i="13" s="1"/>
  <c r="I418" i="13"/>
  <c r="P417" i="13"/>
  <c r="M417" i="13"/>
  <c r="J417" i="13"/>
  <c r="J415" i="13" s="1"/>
  <c r="G417" i="13"/>
  <c r="F417" i="13"/>
  <c r="F415" i="13" s="1"/>
  <c r="P416" i="13"/>
  <c r="M416" i="13"/>
  <c r="K416" i="13"/>
  <c r="H416" i="13"/>
  <c r="O415" i="13"/>
  <c r="O414" i="13" s="1"/>
  <c r="N415" i="13"/>
  <c r="L415" i="13"/>
  <c r="I415" i="13"/>
  <c r="I414" i="13" s="1"/>
  <c r="P411" i="13"/>
  <c r="M411" i="13"/>
  <c r="K411" i="13"/>
  <c r="H411" i="13"/>
  <c r="O410" i="13"/>
  <c r="N410" i="13"/>
  <c r="L410" i="13"/>
  <c r="J410" i="13"/>
  <c r="J409" i="13" s="1"/>
  <c r="I410" i="13"/>
  <c r="I409" i="13" s="1"/>
  <c r="G410" i="13"/>
  <c r="F410" i="13"/>
  <c r="F409" i="13" s="1"/>
  <c r="O409" i="13"/>
  <c r="N409" i="13"/>
  <c r="P408" i="13"/>
  <c r="M408" i="13"/>
  <c r="K408" i="13"/>
  <c r="H408" i="13"/>
  <c r="O407" i="13"/>
  <c r="O405" i="13" s="1"/>
  <c r="O404" i="13" s="1"/>
  <c r="N407" i="13"/>
  <c r="L407" i="13"/>
  <c r="L405" i="13" s="1"/>
  <c r="J407" i="13"/>
  <c r="I407" i="13"/>
  <c r="I405" i="13" s="1"/>
  <c r="I404" i="13" s="1"/>
  <c r="G407" i="13"/>
  <c r="G405" i="13" s="1"/>
  <c r="G404" i="13" s="1"/>
  <c r="F407" i="13"/>
  <c r="P406" i="13"/>
  <c r="M406" i="13"/>
  <c r="K406" i="13"/>
  <c r="H406" i="13"/>
  <c r="P403" i="13"/>
  <c r="M403" i="13"/>
  <c r="K403" i="13"/>
  <c r="H403" i="13"/>
  <c r="O402" i="13"/>
  <c r="N402" i="13"/>
  <c r="N401" i="13" s="1"/>
  <c r="L402" i="13"/>
  <c r="J402" i="13"/>
  <c r="I402" i="13"/>
  <c r="G402" i="13"/>
  <c r="F402" i="13"/>
  <c r="F401" i="13" s="1"/>
  <c r="I401" i="13"/>
  <c r="P400" i="13"/>
  <c r="M400" i="13"/>
  <c r="K400" i="13"/>
  <c r="H400" i="13"/>
  <c r="P399" i="13"/>
  <c r="M399" i="13"/>
  <c r="K399" i="13"/>
  <c r="H399" i="13"/>
  <c r="O398" i="13"/>
  <c r="N398" i="13"/>
  <c r="L398" i="13"/>
  <c r="J398" i="13"/>
  <c r="J397" i="13" s="1"/>
  <c r="I398" i="13"/>
  <c r="I397" i="13" s="1"/>
  <c r="G398" i="13"/>
  <c r="G397" i="13" s="1"/>
  <c r="F398" i="13"/>
  <c r="F397" i="13" s="1"/>
  <c r="N397" i="13"/>
  <c r="O395" i="13"/>
  <c r="L395" i="13"/>
  <c r="J395" i="13"/>
  <c r="G395" i="13"/>
  <c r="F395" i="13"/>
  <c r="N394" i="13"/>
  <c r="I394" i="13"/>
  <c r="G394" i="13"/>
  <c r="F394" i="13"/>
  <c r="P393" i="13"/>
  <c r="M393" i="13"/>
  <c r="K393" i="13"/>
  <c r="H393" i="13"/>
  <c r="P392" i="13"/>
  <c r="L392" i="13"/>
  <c r="J392" i="13"/>
  <c r="J391" i="13" s="1"/>
  <c r="I392" i="13"/>
  <c r="I391" i="13" s="1"/>
  <c r="G392" i="13"/>
  <c r="G391" i="13" s="1"/>
  <c r="F392" i="13"/>
  <c r="F391" i="13" s="1"/>
  <c r="O391" i="13"/>
  <c r="N391" i="13"/>
  <c r="P390" i="13"/>
  <c r="L390" i="13"/>
  <c r="J390" i="13"/>
  <c r="J389" i="13" s="1"/>
  <c r="I390" i="13"/>
  <c r="I389" i="13" s="1"/>
  <c r="G390" i="13"/>
  <c r="F390" i="13"/>
  <c r="F389" i="13" s="1"/>
  <c r="O389" i="13"/>
  <c r="N389" i="13"/>
  <c r="P387" i="13"/>
  <c r="M387" i="13"/>
  <c r="J387" i="13"/>
  <c r="J386" i="13" s="1"/>
  <c r="J385" i="13" s="1"/>
  <c r="G387" i="13"/>
  <c r="F387" i="13"/>
  <c r="F386" i="13" s="1"/>
  <c r="F385" i="13" s="1"/>
  <c r="O386" i="13"/>
  <c r="O385" i="13" s="1"/>
  <c r="N386" i="13"/>
  <c r="N385" i="13" s="1"/>
  <c r="L386" i="13"/>
  <c r="I386" i="13"/>
  <c r="I385" i="13" s="1"/>
  <c r="P382" i="13"/>
  <c r="M382" i="13"/>
  <c r="K382" i="13"/>
  <c r="H382" i="13"/>
  <c r="O381" i="13"/>
  <c r="N381" i="13"/>
  <c r="N380" i="13" s="1"/>
  <c r="N379" i="13" s="1"/>
  <c r="L381" i="13"/>
  <c r="J381" i="13"/>
  <c r="J380" i="13" s="1"/>
  <c r="J379" i="13" s="1"/>
  <c r="I381" i="13"/>
  <c r="I380" i="13" s="1"/>
  <c r="I379" i="13" s="1"/>
  <c r="G381" i="13"/>
  <c r="F381" i="13"/>
  <c r="F380" i="13" s="1"/>
  <c r="F379" i="13" s="1"/>
  <c r="P378" i="13"/>
  <c r="M378" i="13"/>
  <c r="K378" i="13"/>
  <c r="H378" i="13"/>
  <c r="O377" i="13"/>
  <c r="N377" i="13"/>
  <c r="N376" i="13" s="1"/>
  <c r="L377" i="13"/>
  <c r="L376" i="13" s="1"/>
  <c r="J377" i="13"/>
  <c r="I377" i="13"/>
  <c r="I376" i="13" s="1"/>
  <c r="G377" i="13"/>
  <c r="G376" i="13" s="1"/>
  <c r="F377" i="13"/>
  <c r="P375" i="13"/>
  <c r="M375" i="13"/>
  <c r="K375" i="13"/>
  <c r="H375" i="13"/>
  <c r="O374" i="13"/>
  <c r="N374" i="13"/>
  <c r="L374" i="13"/>
  <c r="J374" i="13"/>
  <c r="I374" i="13"/>
  <c r="G374" i="13"/>
  <c r="F374" i="13"/>
  <c r="O373" i="13"/>
  <c r="N373" i="13"/>
  <c r="L373" i="13"/>
  <c r="J373" i="13"/>
  <c r="I373" i="13"/>
  <c r="G373" i="13"/>
  <c r="F373" i="13"/>
  <c r="P372" i="13"/>
  <c r="M372" i="13"/>
  <c r="K372" i="13"/>
  <c r="H372" i="13"/>
  <c r="P371" i="13"/>
  <c r="M371" i="13"/>
  <c r="K371" i="13"/>
  <c r="H371" i="13"/>
  <c r="O370" i="13"/>
  <c r="N370" i="13"/>
  <c r="L370" i="13"/>
  <c r="L369" i="13" s="1"/>
  <c r="J370" i="13"/>
  <c r="J369" i="13" s="1"/>
  <c r="I370" i="13"/>
  <c r="G370" i="13"/>
  <c r="F370" i="13"/>
  <c r="P368" i="13"/>
  <c r="M368" i="13"/>
  <c r="J368" i="13"/>
  <c r="G368" i="13"/>
  <c r="F368" i="13"/>
  <c r="F366" i="13" s="1"/>
  <c r="P367" i="13"/>
  <c r="M367" i="13"/>
  <c r="K367" i="13"/>
  <c r="H367" i="13"/>
  <c r="O366" i="13"/>
  <c r="N366" i="13"/>
  <c r="L366" i="13"/>
  <c r="M366" i="13" s="1"/>
  <c r="I366" i="13"/>
  <c r="P365" i="13"/>
  <c r="M365" i="13"/>
  <c r="K365" i="13"/>
  <c r="H365" i="13"/>
  <c r="O364" i="13"/>
  <c r="N364" i="13"/>
  <c r="L364" i="13"/>
  <c r="J364" i="13"/>
  <c r="I364" i="13"/>
  <c r="G364" i="13"/>
  <c r="F364" i="13"/>
  <c r="P363" i="13"/>
  <c r="M363" i="13"/>
  <c r="K363" i="13"/>
  <c r="H363" i="13"/>
  <c r="O362" i="13"/>
  <c r="N362" i="13"/>
  <c r="L362" i="13"/>
  <c r="J362" i="13"/>
  <c r="I362" i="13"/>
  <c r="G362" i="13"/>
  <c r="F362" i="13"/>
  <c r="P361" i="13"/>
  <c r="M361" i="13"/>
  <c r="K361" i="13"/>
  <c r="H361" i="13"/>
  <c r="O360" i="13"/>
  <c r="N360" i="13"/>
  <c r="L360" i="13"/>
  <c r="J360" i="13"/>
  <c r="I360" i="13"/>
  <c r="G360" i="13"/>
  <c r="F360" i="13"/>
  <c r="P359" i="13"/>
  <c r="M359" i="13"/>
  <c r="K359" i="13"/>
  <c r="H359" i="13"/>
  <c r="O358" i="13"/>
  <c r="N358" i="13"/>
  <c r="L358" i="13"/>
  <c r="M358" i="13" s="1"/>
  <c r="J358" i="13"/>
  <c r="I358" i="13"/>
  <c r="G358" i="13"/>
  <c r="F358" i="13"/>
  <c r="O356" i="13"/>
  <c r="O354" i="13" s="1"/>
  <c r="N356" i="13"/>
  <c r="L356" i="13"/>
  <c r="J356" i="13"/>
  <c r="J354" i="13" s="1"/>
  <c r="I356" i="13"/>
  <c r="I354" i="13" s="1"/>
  <c r="I353" i="13" s="1"/>
  <c r="G356" i="13"/>
  <c r="F356" i="13"/>
  <c r="F354" i="13" s="1"/>
  <c r="F353" i="13" s="1"/>
  <c r="P355" i="13"/>
  <c r="M355" i="13"/>
  <c r="K355" i="13"/>
  <c r="H355" i="13"/>
  <c r="P351" i="13"/>
  <c r="M351" i="13"/>
  <c r="K351" i="13"/>
  <c r="H351" i="13"/>
  <c r="O350" i="13"/>
  <c r="N350" i="13"/>
  <c r="N349" i="13" s="1"/>
  <c r="L350" i="13"/>
  <c r="J350" i="13"/>
  <c r="I350" i="13"/>
  <c r="I349" i="13" s="1"/>
  <c r="G350" i="13"/>
  <c r="F350" i="13"/>
  <c r="F349" i="13" s="1"/>
  <c r="J349" i="13"/>
  <c r="P348" i="13"/>
  <c r="M348" i="13"/>
  <c r="K348" i="13"/>
  <c r="H348" i="13"/>
  <c r="O347" i="13"/>
  <c r="N347" i="13"/>
  <c r="L347" i="13"/>
  <c r="J347" i="13"/>
  <c r="I347" i="13"/>
  <c r="G347" i="13"/>
  <c r="F347" i="13"/>
  <c r="P346" i="13"/>
  <c r="L346" i="13"/>
  <c r="L345" i="13" s="1"/>
  <c r="J346" i="13"/>
  <c r="I346" i="13"/>
  <c r="I345" i="13" s="1"/>
  <c r="G346" i="13"/>
  <c r="F346" i="13"/>
  <c r="F345" i="13" s="1"/>
  <c r="O345" i="13"/>
  <c r="P345" i="13" s="1"/>
  <c r="N345" i="13"/>
  <c r="P343" i="13"/>
  <c r="M343" i="13"/>
  <c r="J343" i="13"/>
  <c r="J342" i="13" s="1"/>
  <c r="G343" i="13"/>
  <c r="F343" i="13"/>
  <c r="F342" i="13" s="1"/>
  <c r="O342" i="13"/>
  <c r="N342" i="13"/>
  <c r="L342" i="13"/>
  <c r="I342" i="13"/>
  <c r="O341" i="13"/>
  <c r="N341" i="13"/>
  <c r="N340" i="13" s="1"/>
  <c r="L341" i="13"/>
  <c r="L340" i="13" s="1"/>
  <c r="J341" i="13"/>
  <c r="I341" i="13"/>
  <c r="G341" i="13"/>
  <c r="F341" i="13"/>
  <c r="F340" i="13" s="1"/>
  <c r="O340" i="13"/>
  <c r="G340" i="13"/>
  <c r="P336" i="13"/>
  <c r="M336" i="13"/>
  <c r="J336" i="13"/>
  <c r="G336" i="13"/>
  <c r="F336" i="13"/>
  <c r="F333" i="13" s="1"/>
  <c r="P335" i="13"/>
  <c r="M335" i="13"/>
  <c r="K335" i="13"/>
  <c r="H335" i="13"/>
  <c r="P334" i="13"/>
  <c r="M334" i="13"/>
  <c r="K334" i="13"/>
  <c r="H334" i="13"/>
  <c r="O333" i="13"/>
  <c r="N333" i="13"/>
  <c r="P333" i="13" s="1"/>
  <c r="L333" i="13"/>
  <c r="I333" i="13"/>
  <c r="P332" i="13"/>
  <c r="M332" i="13"/>
  <c r="K332" i="13"/>
  <c r="H332" i="13"/>
  <c r="O331" i="13"/>
  <c r="N331" i="13"/>
  <c r="N330" i="13" s="1"/>
  <c r="L331" i="13"/>
  <c r="L330" i="13" s="1"/>
  <c r="J331" i="13"/>
  <c r="I331" i="13"/>
  <c r="I330" i="13" s="1"/>
  <c r="G331" i="13"/>
  <c r="G330" i="13" s="1"/>
  <c r="F331" i="13"/>
  <c r="F330" i="13" s="1"/>
  <c r="F329" i="13" s="1"/>
  <c r="P328" i="13"/>
  <c r="M328" i="13"/>
  <c r="J328" i="13"/>
  <c r="J327" i="13" s="1"/>
  <c r="K327" i="13" s="1"/>
  <c r="G328" i="13"/>
  <c r="G327" i="13" s="1"/>
  <c r="H327" i="13" s="1"/>
  <c r="O327" i="13"/>
  <c r="P327" i="13" s="1"/>
  <c r="N327" i="13"/>
  <c r="N326" i="13" s="1"/>
  <c r="L327" i="13"/>
  <c r="I327" i="13"/>
  <c r="I326" i="13" s="1"/>
  <c r="F327" i="13"/>
  <c r="F326" i="13" s="1"/>
  <c r="P325" i="13"/>
  <c r="M325" i="13"/>
  <c r="K325" i="13"/>
  <c r="H325" i="13"/>
  <c r="O324" i="13"/>
  <c r="N324" i="13"/>
  <c r="L324" i="13"/>
  <c r="J324" i="13"/>
  <c r="I324" i="13"/>
  <c r="G324" i="13"/>
  <c r="F324" i="13"/>
  <c r="P323" i="13"/>
  <c r="M323" i="13"/>
  <c r="J323" i="13"/>
  <c r="H323" i="13"/>
  <c r="P322" i="13"/>
  <c r="M322" i="13"/>
  <c r="K322" i="13"/>
  <c r="H322" i="13"/>
  <c r="P321" i="13"/>
  <c r="M321" i="13"/>
  <c r="K321" i="13"/>
  <c r="H321" i="13"/>
  <c r="P320" i="13"/>
  <c r="M320" i="13"/>
  <c r="J320" i="13"/>
  <c r="K320" i="13" s="1"/>
  <c r="H320" i="13"/>
  <c r="O319" i="13"/>
  <c r="N319" i="13"/>
  <c r="L319" i="13"/>
  <c r="L318" i="13" s="1"/>
  <c r="I319" i="13"/>
  <c r="G319" i="13"/>
  <c r="F319" i="13"/>
  <c r="P316" i="13"/>
  <c r="M316" i="13"/>
  <c r="H316" i="13"/>
  <c r="P315" i="13"/>
  <c r="M315" i="13"/>
  <c r="H315" i="13"/>
  <c r="P314" i="13"/>
  <c r="N313" i="13"/>
  <c r="J313" i="13"/>
  <c r="I313" i="13"/>
  <c r="F314" i="13"/>
  <c r="F313" i="13" s="1"/>
  <c r="L313" i="13"/>
  <c r="P312" i="13"/>
  <c r="M312" i="13"/>
  <c r="K312" i="13"/>
  <c r="H312" i="13"/>
  <c r="O311" i="13"/>
  <c r="N311" i="13"/>
  <c r="L311" i="13"/>
  <c r="J311" i="13"/>
  <c r="I311" i="13"/>
  <c r="G311" i="13"/>
  <c r="F311" i="13"/>
  <c r="P310" i="13"/>
  <c r="M310" i="13"/>
  <c r="J310" i="13"/>
  <c r="J309" i="13" s="1"/>
  <c r="G310" i="13"/>
  <c r="O309" i="13"/>
  <c r="N309" i="13"/>
  <c r="L309" i="13"/>
  <c r="I309" i="13"/>
  <c r="F309" i="13"/>
  <c r="P308" i="13"/>
  <c r="M308" i="13"/>
  <c r="K308" i="13"/>
  <c r="H308" i="13"/>
  <c r="O307" i="13"/>
  <c r="N307" i="13"/>
  <c r="L307" i="13"/>
  <c r="J307" i="13"/>
  <c r="K307" i="13" s="1"/>
  <c r="I307" i="13"/>
  <c r="G307" i="13"/>
  <c r="F307" i="13"/>
  <c r="O306" i="13"/>
  <c r="O305" i="13" s="1"/>
  <c r="N306" i="13"/>
  <c r="L306" i="13"/>
  <c r="J306" i="13"/>
  <c r="I306" i="13"/>
  <c r="I305" i="13" s="1"/>
  <c r="G306" i="13"/>
  <c r="G305" i="13" s="1"/>
  <c r="F306" i="13"/>
  <c r="O304" i="13"/>
  <c r="O303" i="13" s="1"/>
  <c r="N304" i="13"/>
  <c r="N303" i="13" s="1"/>
  <c r="L304" i="13"/>
  <c r="J304" i="13"/>
  <c r="I304" i="13"/>
  <c r="I303" i="13" s="1"/>
  <c r="H304" i="13"/>
  <c r="G304" i="13"/>
  <c r="F304" i="13"/>
  <c r="F303" i="13" s="1"/>
  <c r="G303" i="13"/>
  <c r="O302" i="13"/>
  <c r="O301" i="13" s="1"/>
  <c r="N302" i="13"/>
  <c r="L302" i="13"/>
  <c r="J302" i="13"/>
  <c r="I302" i="13"/>
  <c r="I301" i="13" s="1"/>
  <c r="G302" i="13"/>
  <c r="G301" i="13" s="1"/>
  <c r="F302" i="13"/>
  <c r="O300" i="13"/>
  <c r="N300" i="13"/>
  <c r="L300" i="13"/>
  <c r="J300" i="13"/>
  <c r="I300" i="13"/>
  <c r="G300" i="13"/>
  <c r="H300" i="13" s="1"/>
  <c r="F300" i="13"/>
  <c r="O299" i="13"/>
  <c r="N299" i="13"/>
  <c r="L299" i="13"/>
  <c r="J299" i="13"/>
  <c r="J298" i="13" s="1"/>
  <c r="I299" i="13"/>
  <c r="G299" i="13"/>
  <c r="F299" i="13"/>
  <c r="F298" i="13" s="1"/>
  <c r="O295" i="13"/>
  <c r="N295" i="13"/>
  <c r="L295" i="13"/>
  <c r="L294" i="13" s="1"/>
  <c r="J295" i="13"/>
  <c r="I295" i="13"/>
  <c r="I294" i="13" s="1"/>
  <c r="I293" i="13" s="1"/>
  <c r="G295" i="13"/>
  <c r="F295" i="13"/>
  <c r="F294" i="13" s="1"/>
  <c r="F293" i="13" s="1"/>
  <c r="N294" i="13"/>
  <c r="N293" i="13" s="1"/>
  <c r="O292" i="13"/>
  <c r="N292" i="13"/>
  <c r="N291" i="13" s="1"/>
  <c r="L292" i="13"/>
  <c r="J292" i="13"/>
  <c r="I292" i="13"/>
  <c r="I291" i="13" s="1"/>
  <c r="G292" i="13"/>
  <c r="G291" i="13" s="1"/>
  <c r="H291" i="13" s="1"/>
  <c r="F292" i="13"/>
  <c r="F291" i="13" s="1"/>
  <c r="P290" i="13"/>
  <c r="M290" i="13"/>
  <c r="J290" i="13"/>
  <c r="G290" i="13"/>
  <c r="G288" i="13" s="1"/>
  <c r="F290" i="13"/>
  <c r="P289" i="13"/>
  <c r="M289" i="13"/>
  <c r="K289" i="13"/>
  <c r="H289" i="13"/>
  <c r="O288" i="13"/>
  <c r="N288" i="13"/>
  <c r="L288" i="13"/>
  <c r="I288" i="13"/>
  <c r="P287" i="13"/>
  <c r="M287" i="13"/>
  <c r="J287" i="13"/>
  <c r="J286" i="13" s="1"/>
  <c r="G287" i="13"/>
  <c r="G286" i="13" s="1"/>
  <c r="F287" i="13"/>
  <c r="F286" i="13" s="1"/>
  <c r="O286" i="13"/>
  <c r="N286" i="13"/>
  <c r="L286" i="13"/>
  <c r="I286" i="13"/>
  <c r="M286" i="13" s="1"/>
  <c r="O285" i="13"/>
  <c r="N285" i="13"/>
  <c r="L285" i="13"/>
  <c r="J285" i="13"/>
  <c r="I285" i="13"/>
  <c r="I284" i="13" s="1"/>
  <c r="G285" i="13"/>
  <c r="G284" i="13" s="1"/>
  <c r="F285" i="13"/>
  <c r="O284" i="13"/>
  <c r="P283" i="13"/>
  <c r="M283" i="13"/>
  <c r="J283" i="13"/>
  <c r="J282" i="13" s="1"/>
  <c r="G283" i="13"/>
  <c r="G282" i="13" s="1"/>
  <c r="F283" i="13"/>
  <c r="F282" i="13" s="1"/>
  <c r="O282" i="13"/>
  <c r="N282" i="13"/>
  <c r="L282" i="13"/>
  <c r="I282" i="13"/>
  <c r="O281" i="13"/>
  <c r="O280" i="13" s="1"/>
  <c r="N281" i="13"/>
  <c r="L281" i="13"/>
  <c r="M281" i="13" s="1"/>
  <c r="J281" i="13"/>
  <c r="I281" i="13"/>
  <c r="G281" i="13"/>
  <c r="G280" i="13" s="1"/>
  <c r="F281" i="13"/>
  <c r="I280" i="13"/>
  <c r="P279" i="13"/>
  <c r="M279" i="13"/>
  <c r="J279" i="13"/>
  <c r="J278" i="13" s="1"/>
  <c r="G279" i="13"/>
  <c r="G278" i="13" s="1"/>
  <c r="O278" i="13"/>
  <c r="N278" i="13"/>
  <c r="L278" i="13"/>
  <c r="I278" i="13"/>
  <c r="F278" i="13"/>
  <c r="P277" i="13"/>
  <c r="M277" i="13"/>
  <c r="J277" i="13"/>
  <c r="G277" i="13"/>
  <c r="F277" i="13"/>
  <c r="F276" i="13" s="1"/>
  <c r="O276" i="13"/>
  <c r="N276" i="13"/>
  <c r="L276" i="13"/>
  <c r="I276" i="13"/>
  <c r="P275" i="13"/>
  <c r="M275" i="13"/>
  <c r="J275" i="13"/>
  <c r="J274" i="13" s="1"/>
  <c r="G275" i="13"/>
  <c r="F275" i="13"/>
  <c r="F274" i="13" s="1"/>
  <c r="O274" i="13"/>
  <c r="N274" i="13"/>
  <c r="L274" i="13"/>
  <c r="I274" i="13"/>
  <c r="O273" i="13"/>
  <c r="N273" i="13"/>
  <c r="N272" i="13" s="1"/>
  <c r="L273" i="13"/>
  <c r="J273" i="13"/>
  <c r="I273" i="13"/>
  <c r="I272" i="13" s="1"/>
  <c r="G273" i="13"/>
  <c r="F273" i="13"/>
  <c r="F272" i="13" s="1"/>
  <c r="L272" i="13"/>
  <c r="P271" i="13"/>
  <c r="M271" i="13"/>
  <c r="J271" i="13"/>
  <c r="J270" i="13" s="1"/>
  <c r="G271" i="13"/>
  <c r="F271" i="13"/>
  <c r="F270" i="13" s="1"/>
  <c r="O270" i="13"/>
  <c r="N270" i="13"/>
  <c r="L270" i="13"/>
  <c r="I270" i="13"/>
  <c r="P269" i="13"/>
  <c r="M269" i="13"/>
  <c r="J269" i="13"/>
  <c r="G269" i="13"/>
  <c r="H269" i="13" s="1"/>
  <c r="O268" i="13"/>
  <c r="N268" i="13"/>
  <c r="L268" i="13"/>
  <c r="I268" i="13"/>
  <c r="F268" i="13"/>
  <c r="P267" i="13"/>
  <c r="M267" i="13"/>
  <c r="J267" i="13"/>
  <c r="G267" i="13"/>
  <c r="P266" i="13"/>
  <c r="M266" i="13"/>
  <c r="J266" i="13"/>
  <c r="J265" i="13" s="1"/>
  <c r="G266" i="13"/>
  <c r="O265" i="13"/>
  <c r="N265" i="13"/>
  <c r="L265" i="13"/>
  <c r="I265" i="13"/>
  <c r="F265" i="13"/>
  <c r="P262" i="13"/>
  <c r="M262" i="13"/>
  <c r="J262" i="13"/>
  <c r="G262" i="13"/>
  <c r="F262" i="13"/>
  <c r="F261" i="13" s="1"/>
  <c r="O261" i="13"/>
  <c r="N261" i="13"/>
  <c r="L261" i="13"/>
  <c r="I261" i="13"/>
  <c r="O260" i="13"/>
  <c r="N260" i="13"/>
  <c r="N259" i="13" s="1"/>
  <c r="L260" i="13"/>
  <c r="J260" i="13"/>
  <c r="J259" i="13" s="1"/>
  <c r="I260" i="13"/>
  <c r="I259" i="13" s="1"/>
  <c r="G260" i="13"/>
  <c r="F260" i="13"/>
  <c r="F259" i="13" s="1"/>
  <c r="L259" i="13"/>
  <c r="P258" i="13"/>
  <c r="M258" i="13"/>
  <c r="K258" i="13"/>
  <c r="H258" i="13"/>
  <c r="O257" i="13"/>
  <c r="N257" i="13"/>
  <c r="L257" i="13"/>
  <c r="J257" i="13"/>
  <c r="I257" i="13"/>
  <c r="G257" i="13"/>
  <c r="F257" i="13"/>
  <c r="P255" i="13"/>
  <c r="M255" i="13"/>
  <c r="J255" i="13"/>
  <c r="J254" i="13" s="1"/>
  <c r="G255" i="13"/>
  <c r="F255" i="13"/>
  <c r="F254" i="13" s="1"/>
  <c r="O254" i="13"/>
  <c r="N254" i="13"/>
  <c r="L254" i="13"/>
  <c r="I254" i="13"/>
  <c r="O253" i="13"/>
  <c r="N253" i="13"/>
  <c r="N252" i="13" s="1"/>
  <c r="L253" i="13"/>
  <c r="K253" i="13"/>
  <c r="I253" i="13"/>
  <c r="I252" i="13" s="1"/>
  <c r="H253" i="13"/>
  <c r="L252" i="13"/>
  <c r="J252" i="13"/>
  <c r="G252" i="13"/>
  <c r="F252" i="13"/>
  <c r="O251" i="13"/>
  <c r="N251" i="13"/>
  <c r="N250" i="13" s="1"/>
  <c r="L251" i="13"/>
  <c r="J251" i="13"/>
  <c r="I251" i="13"/>
  <c r="I250" i="13" s="1"/>
  <c r="G251" i="13"/>
  <c r="G250" i="13" s="1"/>
  <c r="F251" i="13"/>
  <c r="O250" i="13"/>
  <c r="P249" i="13"/>
  <c r="L249" i="13"/>
  <c r="J249" i="13"/>
  <c r="I249" i="13"/>
  <c r="I248" i="13" s="1"/>
  <c r="G249" i="13"/>
  <c r="G248" i="13" s="1"/>
  <c r="F249" i="13"/>
  <c r="O248" i="13"/>
  <c r="N248" i="13"/>
  <c r="P247" i="13"/>
  <c r="M247" i="13"/>
  <c r="J247" i="13"/>
  <c r="G247" i="13"/>
  <c r="G246" i="13" s="1"/>
  <c r="F247" i="13"/>
  <c r="F246" i="13" s="1"/>
  <c r="O246" i="13"/>
  <c r="N246" i="13"/>
  <c r="L246" i="13"/>
  <c r="I246" i="13"/>
  <c r="P242" i="13"/>
  <c r="M242" i="13"/>
  <c r="K242" i="13"/>
  <c r="H242" i="13"/>
  <c r="P241" i="13"/>
  <c r="M241" i="13"/>
  <c r="K241" i="13"/>
  <c r="H241" i="13"/>
  <c r="P240" i="13"/>
  <c r="M240" i="13"/>
  <c r="K240" i="13"/>
  <c r="H240" i="13"/>
  <c r="P239" i="13"/>
  <c r="M239" i="13"/>
  <c r="K239" i="13"/>
  <c r="H239" i="13"/>
  <c r="O238" i="13"/>
  <c r="P238" i="13" s="1"/>
  <c r="N238" i="13"/>
  <c r="L238" i="13"/>
  <c r="J238" i="13"/>
  <c r="I238" i="13"/>
  <c r="G238" i="13"/>
  <c r="F238" i="13"/>
  <c r="O237" i="13"/>
  <c r="O235" i="13" s="1"/>
  <c r="N237" i="13"/>
  <c r="N235" i="13" s="1"/>
  <c r="L237" i="13"/>
  <c r="J237" i="13"/>
  <c r="J235" i="13" s="1"/>
  <c r="I237" i="13"/>
  <c r="I235" i="13" s="1"/>
  <c r="G237" i="13"/>
  <c r="H237" i="13" s="1"/>
  <c r="F237" i="13"/>
  <c r="P236" i="13"/>
  <c r="M236" i="13"/>
  <c r="K236" i="13"/>
  <c r="H236" i="13"/>
  <c r="F235" i="13"/>
  <c r="F231" i="13" s="1"/>
  <c r="O234" i="13"/>
  <c r="P234" i="13" s="1"/>
  <c r="L234" i="13"/>
  <c r="M234" i="13" s="1"/>
  <c r="J234" i="13"/>
  <c r="G234" i="13"/>
  <c r="P233" i="13"/>
  <c r="L233" i="13"/>
  <c r="M233" i="13" s="1"/>
  <c r="J233" i="13"/>
  <c r="J232" i="13" s="1"/>
  <c r="G233" i="13"/>
  <c r="H233" i="13" s="1"/>
  <c r="N232" i="13"/>
  <c r="I232" i="13"/>
  <c r="F232" i="13"/>
  <c r="P230" i="13"/>
  <c r="M230" i="13"/>
  <c r="K230" i="13"/>
  <c r="H230" i="13"/>
  <c r="P229" i="13"/>
  <c r="M229" i="13"/>
  <c r="K229" i="13"/>
  <c r="H229" i="13"/>
  <c r="O228" i="13"/>
  <c r="O227" i="13" s="1"/>
  <c r="N228" i="13"/>
  <c r="N227" i="13" s="1"/>
  <c r="L228" i="13"/>
  <c r="J228" i="13"/>
  <c r="I228" i="13"/>
  <c r="I227" i="13" s="1"/>
  <c r="G228" i="13"/>
  <c r="F228" i="13"/>
  <c r="F227" i="13" s="1"/>
  <c r="P226" i="13"/>
  <c r="M226" i="13"/>
  <c r="J226" i="13"/>
  <c r="G226" i="13"/>
  <c r="F226" i="13"/>
  <c r="P225" i="13"/>
  <c r="M225" i="13"/>
  <c r="J225" i="13"/>
  <c r="G225" i="13"/>
  <c r="F225" i="13"/>
  <c r="O224" i="13"/>
  <c r="P224" i="13" s="1"/>
  <c r="N224" i="13"/>
  <c r="N223" i="13" s="1"/>
  <c r="L224" i="13"/>
  <c r="I224" i="13"/>
  <c r="I223" i="13" s="1"/>
  <c r="P222" i="13"/>
  <c r="M222" i="13"/>
  <c r="K222" i="13"/>
  <c r="H222" i="13"/>
  <c r="O221" i="13"/>
  <c r="O218" i="13" s="1"/>
  <c r="N221" i="13"/>
  <c r="L221" i="13"/>
  <c r="L218" i="13" s="1"/>
  <c r="J221" i="13"/>
  <c r="I221" i="13"/>
  <c r="I218" i="13" s="1"/>
  <c r="G221" i="13"/>
  <c r="F221" i="13"/>
  <c r="P220" i="13"/>
  <c r="M220" i="13"/>
  <c r="J220" i="13"/>
  <c r="G220" i="13"/>
  <c r="F220" i="13"/>
  <c r="P219" i="13"/>
  <c r="M219" i="13"/>
  <c r="K219" i="13"/>
  <c r="H219" i="13"/>
  <c r="P217" i="13"/>
  <c r="M217" i="13"/>
  <c r="K217" i="13"/>
  <c r="H217" i="13"/>
  <c r="O216" i="13"/>
  <c r="N216" i="13"/>
  <c r="L216" i="13"/>
  <c r="J216" i="13"/>
  <c r="I216" i="13"/>
  <c r="G216" i="13"/>
  <c r="F216" i="13"/>
  <c r="P215" i="13"/>
  <c r="M215" i="13"/>
  <c r="K215" i="13"/>
  <c r="H215" i="13"/>
  <c r="O214" i="13"/>
  <c r="N214" i="13"/>
  <c r="L214" i="13"/>
  <c r="I214" i="13"/>
  <c r="G214" i="13"/>
  <c r="F214" i="13"/>
  <c r="O213" i="13"/>
  <c r="N213" i="13"/>
  <c r="N210" i="13" s="1"/>
  <c r="L213" i="13"/>
  <c r="J213" i="13"/>
  <c r="I213" i="13"/>
  <c r="G213" i="13"/>
  <c r="F213" i="13"/>
  <c r="P212" i="13"/>
  <c r="M212" i="13"/>
  <c r="K212" i="13"/>
  <c r="H212" i="13"/>
  <c r="P211" i="13"/>
  <c r="M211" i="13"/>
  <c r="J211" i="13"/>
  <c r="G211" i="13"/>
  <c r="H211" i="13" s="1"/>
  <c r="P208" i="13"/>
  <c r="M208" i="13"/>
  <c r="K208" i="13"/>
  <c r="H208" i="13"/>
  <c r="P207" i="13"/>
  <c r="M207" i="13"/>
  <c r="K207" i="13"/>
  <c r="H207" i="13"/>
  <c r="P206" i="13"/>
  <c r="M206" i="13"/>
  <c r="K206" i="13"/>
  <c r="H206" i="13"/>
  <c r="O205" i="13"/>
  <c r="N205" i="13"/>
  <c r="N204" i="13" s="1"/>
  <c r="L205" i="13"/>
  <c r="J205" i="13"/>
  <c r="I205" i="13"/>
  <c r="I204" i="13" s="1"/>
  <c r="G205" i="13"/>
  <c r="G204" i="13" s="1"/>
  <c r="F205" i="13"/>
  <c r="K202" i="13"/>
  <c r="O201" i="13"/>
  <c r="O200" i="13" s="1"/>
  <c r="N201" i="13"/>
  <c r="N200" i="13" s="1"/>
  <c r="M201" i="13"/>
  <c r="M200" i="13" s="1"/>
  <c r="L201" i="13"/>
  <c r="L200" i="13" s="1"/>
  <c r="J201" i="13"/>
  <c r="J200" i="13" s="1"/>
  <c r="I201" i="13"/>
  <c r="I200" i="13" s="1"/>
  <c r="H201" i="13"/>
  <c r="H200" i="13" s="1"/>
  <c r="G201" i="13"/>
  <c r="P200" i="13"/>
  <c r="G200" i="13"/>
  <c r="K200" i="13" s="1"/>
  <c r="P199" i="13"/>
  <c r="M199" i="13"/>
  <c r="J199" i="13"/>
  <c r="G199" i="13"/>
  <c r="F199" i="13"/>
  <c r="F198" i="13" s="1"/>
  <c r="F197" i="13" s="1"/>
  <c r="O198" i="13"/>
  <c r="N198" i="13"/>
  <c r="N197" i="13" s="1"/>
  <c r="M198" i="13"/>
  <c r="L198" i="13"/>
  <c r="I198" i="13"/>
  <c r="I197" i="13" s="1"/>
  <c r="O197" i="13"/>
  <c r="P197" i="13" s="1"/>
  <c r="L197" i="13"/>
  <c r="O196" i="13"/>
  <c r="N196" i="13"/>
  <c r="L196" i="13"/>
  <c r="J196" i="13"/>
  <c r="J195" i="13" s="1"/>
  <c r="I196" i="13"/>
  <c r="I195" i="13" s="1"/>
  <c r="G196" i="13"/>
  <c r="G195" i="13" s="1"/>
  <c r="F196" i="13"/>
  <c r="F195" i="13" s="1"/>
  <c r="O195" i="13"/>
  <c r="O194" i="13"/>
  <c r="O193" i="13" s="1"/>
  <c r="P193" i="13" s="1"/>
  <c r="N194" i="13"/>
  <c r="N193" i="13" s="1"/>
  <c r="L194" i="13"/>
  <c r="J194" i="13"/>
  <c r="I194" i="13"/>
  <c r="I193" i="13" s="1"/>
  <c r="G194" i="13"/>
  <c r="G193" i="13" s="1"/>
  <c r="F194" i="13"/>
  <c r="F193" i="13" s="1"/>
  <c r="P191" i="13"/>
  <c r="M191" i="13"/>
  <c r="J190" i="13"/>
  <c r="G191" i="13"/>
  <c r="O190" i="13"/>
  <c r="P190" i="13" s="1"/>
  <c r="N190" i="13"/>
  <c r="L190" i="13"/>
  <c r="I190" i="13"/>
  <c r="F190" i="13"/>
  <c r="O189" i="13"/>
  <c r="O186" i="13" s="1"/>
  <c r="N189" i="13"/>
  <c r="L189" i="13"/>
  <c r="J189" i="13"/>
  <c r="J186" i="13" s="1"/>
  <c r="I189" i="13"/>
  <c r="G189" i="13"/>
  <c r="F189" i="13"/>
  <c r="F186" i="13" s="1"/>
  <c r="F183" i="13" s="1"/>
  <c r="P188" i="13"/>
  <c r="M188" i="13"/>
  <c r="K188" i="13"/>
  <c r="H188" i="13"/>
  <c r="P187" i="13"/>
  <c r="M187" i="13"/>
  <c r="K187" i="13"/>
  <c r="H187" i="13"/>
  <c r="I186" i="13"/>
  <c r="G186" i="13"/>
  <c r="P185" i="13"/>
  <c r="M185" i="13"/>
  <c r="J185" i="13"/>
  <c r="J184" i="13" s="1"/>
  <c r="H185" i="13"/>
  <c r="G185" i="13"/>
  <c r="O184" i="13"/>
  <c r="N184" i="13"/>
  <c r="L184" i="13"/>
  <c r="I184" i="13"/>
  <c r="F184" i="13"/>
  <c r="P182" i="13"/>
  <c r="M182" i="13"/>
  <c r="K182" i="13"/>
  <c r="H182" i="13"/>
  <c r="O181" i="13"/>
  <c r="O180" i="13" s="1"/>
  <c r="N181" i="13"/>
  <c r="N180" i="13" s="1"/>
  <c r="L181" i="13"/>
  <c r="J181" i="13"/>
  <c r="I181" i="13"/>
  <c r="I180" i="13" s="1"/>
  <c r="G181" i="13"/>
  <c r="G180" i="13" s="1"/>
  <c r="F181" i="13"/>
  <c r="F180" i="13" s="1"/>
  <c r="P179" i="13"/>
  <c r="M179" i="13"/>
  <c r="K179" i="13"/>
  <c r="H179" i="13"/>
  <c r="P178" i="13"/>
  <c r="M178" i="13"/>
  <c r="K178" i="13"/>
  <c r="H178" i="13"/>
  <c r="P177" i="13"/>
  <c r="M177" i="13"/>
  <c r="K177" i="13"/>
  <c r="H177" i="13"/>
  <c r="O176" i="13"/>
  <c r="O175" i="13" s="1"/>
  <c r="N176" i="13"/>
  <c r="L176" i="13"/>
  <c r="J176" i="13"/>
  <c r="J175" i="13" s="1"/>
  <c r="I176" i="13"/>
  <c r="I175" i="13" s="1"/>
  <c r="G176" i="13"/>
  <c r="G175" i="13" s="1"/>
  <c r="F176" i="13"/>
  <c r="F175" i="13" s="1"/>
  <c r="P174" i="13"/>
  <c r="M174" i="13"/>
  <c r="K174" i="13"/>
  <c r="H174" i="13"/>
  <c r="P173" i="13"/>
  <c r="M173" i="13"/>
  <c r="K173" i="13"/>
  <c r="H173" i="13"/>
  <c r="P172" i="13"/>
  <c r="M172" i="13"/>
  <c r="J172" i="13"/>
  <c r="J171" i="13" s="1"/>
  <c r="G172" i="13"/>
  <c r="H172" i="13" s="1"/>
  <c r="F172" i="13"/>
  <c r="F171" i="13" s="1"/>
  <c r="O171" i="13"/>
  <c r="P171" i="13" s="1"/>
  <c r="N171" i="13"/>
  <c r="L171" i="13"/>
  <c r="I171" i="13"/>
  <c r="P170" i="13"/>
  <c r="M170" i="13"/>
  <c r="J170" i="13"/>
  <c r="G170" i="13"/>
  <c r="H170" i="13" s="1"/>
  <c r="P169" i="13"/>
  <c r="M169" i="13"/>
  <c r="G169" i="13"/>
  <c r="K169" i="13" s="1"/>
  <c r="F169" i="13"/>
  <c r="P168" i="13"/>
  <c r="M168" i="13"/>
  <c r="G168" i="13"/>
  <c r="H168" i="13" s="1"/>
  <c r="O167" i="13"/>
  <c r="P167" i="13" s="1"/>
  <c r="N167" i="13"/>
  <c r="L167" i="13"/>
  <c r="I167" i="13"/>
  <c r="P166" i="13"/>
  <c r="M166" i="13"/>
  <c r="G166" i="13"/>
  <c r="K166" i="13" s="1"/>
  <c r="F166" i="13"/>
  <c r="H166" i="13" s="1"/>
  <c r="P165" i="13"/>
  <c r="L165" i="13"/>
  <c r="J165" i="13"/>
  <c r="I165" i="13"/>
  <c r="I163" i="13" s="1"/>
  <c r="G165" i="13"/>
  <c r="F165" i="13"/>
  <c r="P164" i="13"/>
  <c r="M164" i="13"/>
  <c r="J164" i="13"/>
  <c r="G164" i="13"/>
  <c r="F164" i="13"/>
  <c r="O163" i="13"/>
  <c r="P163" i="13" s="1"/>
  <c r="N163" i="13"/>
  <c r="L163" i="13"/>
  <c r="P162" i="13"/>
  <c r="M162" i="13"/>
  <c r="J162" i="13"/>
  <c r="G162" i="13"/>
  <c r="F162" i="13"/>
  <c r="P161" i="13"/>
  <c r="M161" i="13"/>
  <c r="J161" i="13"/>
  <c r="G161" i="13"/>
  <c r="H161" i="13" s="1"/>
  <c r="O160" i="13"/>
  <c r="P160" i="13" s="1"/>
  <c r="N160" i="13"/>
  <c r="L160" i="13"/>
  <c r="I160" i="13"/>
  <c r="P159" i="13"/>
  <c r="M159" i="13"/>
  <c r="J159" i="13"/>
  <c r="J158" i="13" s="1"/>
  <c r="G159" i="13"/>
  <c r="O158" i="13"/>
  <c r="P158" i="13" s="1"/>
  <c r="N158" i="13"/>
  <c r="L158" i="13"/>
  <c r="I158" i="13"/>
  <c r="F158" i="13"/>
  <c r="P154" i="13"/>
  <c r="M154" i="13"/>
  <c r="J154" i="13"/>
  <c r="J153" i="13" s="1"/>
  <c r="J152" i="13" s="1"/>
  <c r="G154" i="13"/>
  <c r="G153" i="13" s="1"/>
  <c r="F154" i="13"/>
  <c r="F153" i="13" s="1"/>
  <c r="F152" i="13" s="1"/>
  <c r="F151" i="13" s="1"/>
  <c r="O153" i="13"/>
  <c r="N153" i="13"/>
  <c r="L153" i="13"/>
  <c r="M153" i="13" s="1"/>
  <c r="I153" i="13"/>
  <c r="I152" i="13" s="1"/>
  <c r="I151" i="13" s="1"/>
  <c r="O152" i="13"/>
  <c r="O151" i="13" s="1"/>
  <c r="N152" i="13"/>
  <c r="N151" i="13" s="1"/>
  <c r="L152" i="13"/>
  <c r="P150" i="13"/>
  <c r="M150" i="13"/>
  <c r="K150" i="13"/>
  <c r="H150" i="13"/>
  <c r="O149" i="13"/>
  <c r="N149" i="13"/>
  <c r="N148" i="13" s="1"/>
  <c r="L149" i="13"/>
  <c r="J149" i="13"/>
  <c r="I149" i="13"/>
  <c r="I148" i="13" s="1"/>
  <c r="G149" i="13"/>
  <c r="G148" i="13" s="1"/>
  <c r="F149" i="13"/>
  <c r="F148" i="13" s="1"/>
  <c r="P147" i="13"/>
  <c r="M147" i="13"/>
  <c r="K147" i="13"/>
  <c r="H147" i="13"/>
  <c r="O146" i="13"/>
  <c r="O145" i="13" s="1"/>
  <c r="N146" i="13"/>
  <c r="L146" i="13"/>
  <c r="J146" i="13"/>
  <c r="I146" i="13"/>
  <c r="I145" i="13" s="1"/>
  <c r="G146" i="13"/>
  <c r="G145" i="13" s="1"/>
  <c r="F146" i="13"/>
  <c r="F145" i="13" s="1"/>
  <c r="J145" i="13"/>
  <c r="P144" i="13"/>
  <c r="M144" i="13"/>
  <c r="K144" i="13"/>
  <c r="H144" i="13"/>
  <c r="O143" i="13"/>
  <c r="N143" i="13"/>
  <c r="L143" i="13"/>
  <c r="J143" i="13"/>
  <c r="I143" i="13"/>
  <c r="G143" i="13"/>
  <c r="F143" i="13"/>
  <c r="P142" i="13"/>
  <c r="M142" i="13"/>
  <c r="K142" i="13"/>
  <c r="H142" i="13"/>
  <c r="O141" i="13"/>
  <c r="N141" i="13"/>
  <c r="L141" i="13"/>
  <c r="J141" i="13"/>
  <c r="I141" i="13"/>
  <c r="G141" i="13"/>
  <c r="F141" i="13"/>
  <c r="O140" i="13"/>
  <c r="O139" i="13" s="1"/>
  <c r="N140" i="13"/>
  <c r="L140" i="13"/>
  <c r="J140" i="13"/>
  <c r="I140" i="13"/>
  <c r="I139" i="13" s="1"/>
  <c r="G140" i="13"/>
  <c r="G139" i="13" s="1"/>
  <c r="F140" i="13"/>
  <c r="P138" i="13"/>
  <c r="M138" i="13"/>
  <c r="K138" i="13"/>
  <c r="H138" i="13"/>
  <c r="P137" i="13"/>
  <c r="M137" i="13"/>
  <c r="J137" i="13"/>
  <c r="J136" i="13" s="1"/>
  <c r="G137" i="13"/>
  <c r="G136" i="13" s="1"/>
  <c r="H136" i="13" s="1"/>
  <c r="O136" i="13"/>
  <c r="N136" i="13"/>
  <c r="L136" i="13"/>
  <c r="I136" i="13"/>
  <c r="F136" i="13"/>
  <c r="O135" i="13"/>
  <c r="N135" i="13"/>
  <c r="N134" i="13" s="1"/>
  <c r="L135" i="13"/>
  <c r="L134" i="13" s="1"/>
  <c r="J135" i="13"/>
  <c r="I135" i="13"/>
  <c r="I134" i="13" s="1"/>
  <c r="G135" i="13"/>
  <c r="F135" i="13"/>
  <c r="F134" i="13" s="1"/>
  <c r="J134" i="13"/>
  <c r="O133" i="13"/>
  <c r="N133" i="13"/>
  <c r="L133" i="13"/>
  <c r="J133" i="13"/>
  <c r="I133" i="13"/>
  <c r="G133" i="13"/>
  <c r="H133" i="13" s="1"/>
  <c r="F133" i="13"/>
  <c r="O132" i="13"/>
  <c r="N132" i="13"/>
  <c r="L132" i="13"/>
  <c r="I132" i="13"/>
  <c r="G132" i="13"/>
  <c r="F132" i="13"/>
  <c r="O131" i="13"/>
  <c r="N131" i="13"/>
  <c r="L131" i="13"/>
  <c r="I131" i="13"/>
  <c r="G131" i="13"/>
  <c r="F131" i="13"/>
  <c r="O129" i="13"/>
  <c r="N129" i="13"/>
  <c r="L129" i="13"/>
  <c r="L128" i="13" s="1"/>
  <c r="M128" i="13" s="1"/>
  <c r="J129" i="13"/>
  <c r="J128" i="13" s="1"/>
  <c r="I129" i="13"/>
  <c r="I128" i="13" s="1"/>
  <c r="G129" i="13"/>
  <c r="F129" i="13"/>
  <c r="F128" i="13" s="1"/>
  <c r="N128" i="13"/>
  <c r="P126" i="13"/>
  <c r="M126" i="13"/>
  <c r="K126" i="13"/>
  <c r="H126" i="13"/>
  <c r="P125" i="13"/>
  <c r="M125" i="13"/>
  <c r="K125" i="13"/>
  <c r="H125" i="13"/>
  <c r="O124" i="13"/>
  <c r="N124" i="13"/>
  <c r="N123" i="13" s="1"/>
  <c r="L124" i="13"/>
  <c r="J124" i="13"/>
  <c r="I124" i="13"/>
  <c r="I123" i="13" s="1"/>
  <c r="G124" i="13"/>
  <c r="F124" i="13"/>
  <c r="F123" i="13" s="1"/>
  <c r="P122" i="13"/>
  <c r="M122" i="13"/>
  <c r="K122" i="13"/>
  <c r="H122" i="13"/>
  <c r="O121" i="13"/>
  <c r="O120" i="13" s="1"/>
  <c r="N121" i="13"/>
  <c r="L121" i="13"/>
  <c r="J121" i="13"/>
  <c r="I121" i="13"/>
  <c r="I120" i="13" s="1"/>
  <c r="G121" i="13"/>
  <c r="G120" i="13" s="1"/>
  <c r="F121" i="13"/>
  <c r="P119" i="13"/>
  <c r="M119" i="13"/>
  <c r="J119" i="13"/>
  <c r="G119" i="13"/>
  <c r="G118" i="13" s="1"/>
  <c r="O118" i="13"/>
  <c r="O117" i="13" s="1"/>
  <c r="N118" i="13"/>
  <c r="L118" i="13"/>
  <c r="J118" i="13"/>
  <c r="I118" i="13"/>
  <c r="I117" i="13" s="1"/>
  <c r="F118" i="13"/>
  <c r="F117" i="13" s="1"/>
  <c r="P116" i="13"/>
  <c r="M116" i="13"/>
  <c r="K116" i="13"/>
  <c r="H116" i="13"/>
  <c r="O115" i="13"/>
  <c r="N115" i="13"/>
  <c r="N114" i="13" s="1"/>
  <c r="L115" i="13"/>
  <c r="J115" i="13"/>
  <c r="I115" i="13"/>
  <c r="I114" i="13" s="1"/>
  <c r="G115" i="13"/>
  <c r="G114" i="13" s="1"/>
  <c r="F115" i="13"/>
  <c r="F114" i="13" s="1"/>
  <c r="P111" i="13"/>
  <c r="M111" i="13"/>
  <c r="K111" i="13"/>
  <c r="H111" i="13"/>
  <c r="O110" i="13"/>
  <c r="N110" i="13"/>
  <c r="N109" i="13" s="1"/>
  <c r="L110" i="13"/>
  <c r="J110" i="13"/>
  <c r="I110" i="13"/>
  <c r="I109" i="13" s="1"/>
  <c r="G110" i="13"/>
  <c r="G109" i="13" s="1"/>
  <c r="F110" i="13"/>
  <c r="F109" i="13" s="1"/>
  <c r="O108" i="13"/>
  <c r="O107" i="13" s="1"/>
  <c r="N108" i="13"/>
  <c r="L108" i="13"/>
  <c r="J108" i="13"/>
  <c r="I108" i="13"/>
  <c r="I107" i="13" s="1"/>
  <c r="I106" i="13" s="1"/>
  <c r="G108" i="13"/>
  <c r="F108" i="13"/>
  <c r="G107" i="13"/>
  <c r="P105" i="13"/>
  <c r="M105" i="13"/>
  <c r="K105" i="13"/>
  <c r="H105" i="13"/>
  <c r="O104" i="13"/>
  <c r="P104" i="13" s="1"/>
  <c r="N104" i="13"/>
  <c r="L104" i="13"/>
  <c r="J104" i="13"/>
  <c r="I104" i="13"/>
  <c r="G104" i="13"/>
  <c r="F104" i="13"/>
  <c r="P103" i="13"/>
  <c r="M103" i="13"/>
  <c r="K103" i="13"/>
  <c r="H103" i="13"/>
  <c r="O102" i="13"/>
  <c r="O101" i="13" s="1"/>
  <c r="N102" i="13"/>
  <c r="L102" i="13"/>
  <c r="J102" i="13"/>
  <c r="I102" i="13"/>
  <c r="I101" i="13" s="1"/>
  <c r="G102" i="13"/>
  <c r="G101" i="13" s="1"/>
  <c r="F102" i="13"/>
  <c r="J98" i="13"/>
  <c r="K98" i="13" s="1"/>
  <c r="O97" i="13"/>
  <c r="N97" i="13"/>
  <c r="M97" i="13"/>
  <c r="L97" i="13"/>
  <c r="I97" i="13"/>
  <c r="H97" i="13"/>
  <c r="G97" i="13"/>
  <c r="O96" i="13"/>
  <c r="N96" i="13"/>
  <c r="N95" i="13" s="1"/>
  <c r="L96" i="13"/>
  <c r="L95" i="13" s="1"/>
  <c r="J96" i="13"/>
  <c r="J95" i="13" s="1"/>
  <c r="I96" i="13"/>
  <c r="I95" i="13" s="1"/>
  <c r="G96" i="13"/>
  <c r="F96" i="13"/>
  <c r="F95" i="13" s="1"/>
  <c r="P94" i="13"/>
  <c r="M94" i="13"/>
  <c r="J94" i="13"/>
  <c r="G94" i="13"/>
  <c r="O93" i="13"/>
  <c r="N93" i="13"/>
  <c r="L93" i="13"/>
  <c r="I93" i="13"/>
  <c r="F93" i="13"/>
  <c r="P92" i="13"/>
  <c r="M92" i="13"/>
  <c r="K92" i="13"/>
  <c r="H92" i="13"/>
  <c r="O91" i="13"/>
  <c r="P91" i="13" s="1"/>
  <c r="N91" i="13"/>
  <c r="L91" i="13"/>
  <c r="J91" i="13"/>
  <c r="I91" i="13"/>
  <c r="G91" i="13"/>
  <c r="F91" i="13"/>
  <c r="P90" i="13"/>
  <c r="M90" i="13"/>
  <c r="K90" i="13"/>
  <c r="H90" i="13"/>
  <c r="O89" i="13"/>
  <c r="N89" i="13"/>
  <c r="L89" i="13"/>
  <c r="J89" i="13"/>
  <c r="I89" i="13"/>
  <c r="G89" i="13"/>
  <c r="F89" i="13"/>
  <c r="P88" i="13"/>
  <c r="M88" i="13"/>
  <c r="J88" i="13"/>
  <c r="J87" i="13" s="1"/>
  <c r="G88" i="13"/>
  <c r="G87" i="13" s="1"/>
  <c r="O87" i="13"/>
  <c r="P87" i="13" s="1"/>
  <c r="N87" i="13"/>
  <c r="L87" i="13"/>
  <c r="I87" i="13"/>
  <c r="F87" i="13"/>
  <c r="P85" i="13"/>
  <c r="M85" i="13"/>
  <c r="J85" i="13"/>
  <c r="G85" i="13"/>
  <c r="F85" i="13"/>
  <c r="F84" i="13" s="1"/>
  <c r="F83" i="13" s="1"/>
  <c r="O84" i="13"/>
  <c r="N84" i="13"/>
  <c r="N83" i="13" s="1"/>
  <c r="L84" i="13"/>
  <c r="L83" i="13" s="1"/>
  <c r="I84" i="13"/>
  <c r="I83" i="13" s="1"/>
  <c r="G84" i="13"/>
  <c r="P82" i="13"/>
  <c r="M82" i="13"/>
  <c r="J82" i="13"/>
  <c r="G82" i="13"/>
  <c r="F82" i="13"/>
  <c r="F81" i="13" s="1"/>
  <c r="O81" i="13"/>
  <c r="O78" i="13" s="1"/>
  <c r="N81" i="13"/>
  <c r="L81" i="13"/>
  <c r="I81" i="13"/>
  <c r="P80" i="13"/>
  <c r="M80" i="13"/>
  <c r="J80" i="13"/>
  <c r="J79" i="13" s="1"/>
  <c r="G80" i="13"/>
  <c r="F80" i="13"/>
  <c r="F79" i="13" s="1"/>
  <c r="O79" i="13"/>
  <c r="N79" i="13"/>
  <c r="L79" i="13"/>
  <c r="I79" i="13"/>
  <c r="I78" i="13"/>
  <c r="P76" i="13"/>
  <c r="M76" i="13"/>
  <c r="J76" i="13"/>
  <c r="J75" i="13" s="1"/>
  <c r="G76" i="13"/>
  <c r="F76" i="13"/>
  <c r="F75" i="13" s="1"/>
  <c r="O75" i="13"/>
  <c r="N75" i="13"/>
  <c r="L75" i="13"/>
  <c r="I75" i="13"/>
  <c r="O74" i="13"/>
  <c r="N74" i="13"/>
  <c r="L74" i="13"/>
  <c r="L73" i="13" s="1"/>
  <c r="J74" i="13"/>
  <c r="J73" i="13" s="1"/>
  <c r="I74" i="13"/>
  <c r="I73" i="13" s="1"/>
  <c r="G74" i="13"/>
  <c r="F74" i="13"/>
  <c r="F73" i="13" s="1"/>
  <c r="N73" i="13"/>
  <c r="K69" i="13"/>
  <c r="P68" i="13"/>
  <c r="M68" i="13"/>
  <c r="M67" i="13" s="1"/>
  <c r="J68" i="13"/>
  <c r="K68" i="13" s="1"/>
  <c r="H68" i="13"/>
  <c r="H67" i="13" s="1"/>
  <c r="O67" i="13"/>
  <c r="N67" i="13"/>
  <c r="L67" i="13"/>
  <c r="J67" i="13"/>
  <c r="I67" i="13"/>
  <c r="G67" i="13"/>
  <c r="F67" i="13"/>
  <c r="P66" i="13"/>
  <c r="M66" i="13"/>
  <c r="K66" i="13"/>
  <c r="H66" i="13"/>
  <c r="O65" i="13"/>
  <c r="N65" i="13"/>
  <c r="L65" i="13"/>
  <c r="L64" i="13" s="1"/>
  <c r="J65" i="13"/>
  <c r="I65" i="13"/>
  <c r="I64" i="13" s="1"/>
  <c r="G65" i="13"/>
  <c r="F65" i="13"/>
  <c r="O63" i="13"/>
  <c r="O62" i="13" s="1"/>
  <c r="N63" i="13"/>
  <c r="N62" i="13" s="1"/>
  <c r="N61" i="13" s="1"/>
  <c r="L63" i="13"/>
  <c r="L62" i="13" s="1"/>
  <c r="J63" i="13"/>
  <c r="I63" i="13"/>
  <c r="I62" i="13" s="1"/>
  <c r="I61" i="13" s="1"/>
  <c r="G63" i="13"/>
  <c r="F63" i="13"/>
  <c r="F62" i="13" s="1"/>
  <c r="F61" i="13" s="1"/>
  <c r="J62" i="13"/>
  <c r="J61" i="13" s="1"/>
  <c r="O60" i="13"/>
  <c r="N60" i="13"/>
  <c r="N59" i="13" s="1"/>
  <c r="N58" i="13" s="1"/>
  <c r="L60" i="13"/>
  <c r="J60" i="13"/>
  <c r="I60" i="13"/>
  <c r="I59" i="13" s="1"/>
  <c r="I58" i="13" s="1"/>
  <c r="G60" i="13"/>
  <c r="H60" i="13" s="1"/>
  <c r="F60" i="13"/>
  <c r="F59" i="13" s="1"/>
  <c r="F58" i="13" s="1"/>
  <c r="P57" i="13"/>
  <c r="M57" i="13"/>
  <c r="J57" i="13"/>
  <c r="J56" i="13" s="1"/>
  <c r="G57" i="13"/>
  <c r="F57" i="13"/>
  <c r="F56" i="13" s="1"/>
  <c r="F55" i="13" s="1"/>
  <c r="O56" i="13"/>
  <c r="O55" i="13" s="1"/>
  <c r="N56" i="13"/>
  <c r="N55" i="13" s="1"/>
  <c r="L56" i="13"/>
  <c r="I56" i="13"/>
  <c r="I55" i="13" s="1"/>
  <c r="P53" i="13"/>
  <c r="M53" i="13"/>
  <c r="K53" i="13"/>
  <c r="H53" i="13"/>
  <c r="O52" i="13"/>
  <c r="N52" i="13"/>
  <c r="L52" i="13"/>
  <c r="J52" i="13"/>
  <c r="K52" i="13" s="1"/>
  <c r="I52" i="13"/>
  <c r="G52" i="13"/>
  <c r="F52" i="13"/>
  <c r="O51" i="13"/>
  <c r="P51" i="13" s="1"/>
  <c r="N51" i="13"/>
  <c r="N50" i="13" s="1"/>
  <c r="L51" i="13"/>
  <c r="J51" i="13"/>
  <c r="I51" i="13"/>
  <c r="I50" i="13" s="1"/>
  <c r="G51" i="13"/>
  <c r="H51" i="13" s="1"/>
  <c r="F51" i="13"/>
  <c r="F50" i="13" s="1"/>
  <c r="N49" i="13"/>
  <c r="N48" i="13" s="1"/>
  <c r="P46" i="13"/>
  <c r="M46" i="13"/>
  <c r="K46" i="13"/>
  <c r="H46" i="13"/>
  <c r="P45" i="13"/>
  <c r="M45" i="13"/>
  <c r="K45" i="13"/>
  <c r="H45" i="13"/>
  <c r="O44" i="13"/>
  <c r="P44" i="13" s="1"/>
  <c r="N44" i="13"/>
  <c r="N43" i="13" s="1"/>
  <c r="L44" i="13"/>
  <c r="L43" i="13" s="1"/>
  <c r="J44" i="13"/>
  <c r="J43" i="13" s="1"/>
  <c r="I44" i="13"/>
  <c r="I43" i="13" s="1"/>
  <c r="G44" i="13"/>
  <c r="F44" i="13"/>
  <c r="F43" i="13" s="1"/>
  <c r="K42" i="13"/>
  <c r="O41" i="13"/>
  <c r="N41" i="13"/>
  <c r="M41" i="13"/>
  <c r="L41" i="13"/>
  <c r="J41" i="13"/>
  <c r="I41" i="13"/>
  <c r="H41" i="13"/>
  <c r="G41" i="13"/>
  <c r="K41" i="13" s="1"/>
  <c r="K40" i="13"/>
  <c r="O39" i="13"/>
  <c r="N39" i="13"/>
  <c r="M39" i="13"/>
  <c r="L39" i="13"/>
  <c r="J39" i="13"/>
  <c r="I39" i="13"/>
  <c r="H39" i="13"/>
  <c r="G39" i="13"/>
  <c r="P38" i="13"/>
  <c r="M38" i="13"/>
  <c r="K38" i="13"/>
  <c r="H38" i="13"/>
  <c r="O37" i="13"/>
  <c r="N37" i="13"/>
  <c r="L37" i="13"/>
  <c r="J37" i="13"/>
  <c r="I37" i="13"/>
  <c r="G37" i="13"/>
  <c r="F37" i="13"/>
  <c r="P36" i="13"/>
  <c r="M36" i="13"/>
  <c r="K36" i="13"/>
  <c r="H36" i="13"/>
  <c r="P35" i="13"/>
  <c r="M35" i="13"/>
  <c r="K35" i="13"/>
  <c r="H35" i="13"/>
  <c r="O34" i="13"/>
  <c r="P34" i="13" s="1"/>
  <c r="N34" i="13"/>
  <c r="L34" i="13"/>
  <c r="J34" i="13"/>
  <c r="K34" i="13" s="1"/>
  <c r="I34" i="13"/>
  <c r="G34" i="13"/>
  <c r="F34" i="13"/>
  <c r="P33" i="13"/>
  <c r="M33" i="13"/>
  <c r="K33" i="13"/>
  <c r="H33" i="13"/>
  <c r="P32" i="13"/>
  <c r="M32" i="13"/>
  <c r="K32" i="13"/>
  <c r="H32" i="13"/>
  <c r="P31" i="13"/>
  <c r="M31" i="13"/>
  <c r="K31" i="13"/>
  <c r="H31" i="13"/>
  <c r="P30" i="13"/>
  <c r="M30" i="13"/>
  <c r="K30" i="13"/>
  <c r="H30" i="13"/>
  <c r="O29" i="13"/>
  <c r="P29" i="13" s="1"/>
  <c r="N29" i="13"/>
  <c r="L29" i="13"/>
  <c r="J29" i="13"/>
  <c r="I29" i="13"/>
  <c r="G29" i="13"/>
  <c r="F29" i="13"/>
  <c r="P28" i="13"/>
  <c r="M28" i="13"/>
  <c r="K28" i="13"/>
  <c r="H28" i="13"/>
  <c r="P27" i="13"/>
  <c r="M27" i="13"/>
  <c r="K27" i="13"/>
  <c r="H27" i="13"/>
  <c r="P26" i="13"/>
  <c r="M26" i="13"/>
  <c r="K26" i="13"/>
  <c r="H26" i="13"/>
  <c r="P25" i="13"/>
  <c r="M25" i="13"/>
  <c r="K25" i="13"/>
  <c r="H25" i="13"/>
  <c r="P24" i="13"/>
  <c r="M24" i="13"/>
  <c r="K24" i="13"/>
  <c r="H24" i="13"/>
  <c r="O23" i="13"/>
  <c r="N23" i="13"/>
  <c r="L23" i="13"/>
  <c r="J23" i="13"/>
  <c r="I23" i="13"/>
  <c r="G23" i="13"/>
  <c r="H23" i="13" s="1"/>
  <c r="F23" i="13"/>
  <c r="P20" i="13"/>
  <c r="M20" i="13"/>
  <c r="K20" i="13"/>
  <c r="H20" i="13"/>
  <c r="O19" i="13"/>
  <c r="N19" i="13"/>
  <c r="N18" i="13" s="1"/>
  <c r="L19" i="13"/>
  <c r="L18" i="13" s="1"/>
  <c r="J19" i="13"/>
  <c r="I19" i="13"/>
  <c r="G19" i="13"/>
  <c r="F19" i="13"/>
  <c r="F18" i="13" s="1"/>
  <c r="J18" i="13"/>
  <c r="P17" i="13"/>
  <c r="M17" i="13"/>
  <c r="K17" i="13"/>
  <c r="H17" i="13"/>
  <c r="P16" i="13"/>
  <c r="M16" i="13"/>
  <c r="K16" i="13"/>
  <c r="H16" i="13"/>
  <c r="O15" i="13"/>
  <c r="N15" i="13"/>
  <c r="L15" i="13"/>
  <c r="J15" i="13"/>
  <c r="I15" i="13"/>
  <c r="G15" i="13"/>
  <c r="F15" i="13"/>
  <c r="P13" i="13"/>
  <c r="M13" i="13"/>
  <c r="K13" i="13"/>
  <c r="H13" i="13"/>
  <c r="O12" i="13"/>
  <c r="N12" i="13"/>
  <c r="N11" i="13" s="1"/>
  <c r="L12" i="13"/>
  <c r="L11" i="13" s="1"/>
  <c r="J12" i="13"/>
  <c r="J11" i="13" s="1"/>
  <c r="I12" i="13"/>
  <c r="G12" i="13"/>
  <c r="F12" i="13"/>
  <c r="F11" i="13" s="1"/>
  <c r="R853" i="12"/>
  <c r="O853" i="12"/>
  <c r="M853" i="12"/>
  <c r="J853" i="12"/>
  <c r="R851" i="12"/>
  <c r="O851" i="12"/>
  <c r="L851" i="12"/>
  <c r="L850" i="12" s="1"/>
  <c r="I851" i="12"/>
  <c r="Q850" i="12"/>
  <c r="P850" i="12"/>
  <c r="P849" i="12" s="1"/>
  <c r="P848" i="12" s="1"/>
  <c r="P847" i="12" s="1"/>
  <c r="P846" i="12" s="1"/>
  <c r="P845" i="12" s="1"/>
  <c r="N850" i="12"/>
  <c r="K850" i="12"/>
  <c r="K849" i="12" s="1"/>
  <c r="K848" i="12" s="1"/>
  <c r="K847" i="12" s="1"/>
  <c r="K846" i="12" s="1"/>
  <c r="K845" i="12" s="1"/>
  <c r="H850" i="12"/>
  <c r="H849" i="12" s="1"/>
  <c r="H848" i="12" s="1"/>
  <c r="H847" i="12" s="1"/>
  <c r="H846" i="12" s="1"/>
  <c r="H845" i="12" s="1"/>
  <c r="R844" i="12"/>
  <c r="O844" i="12"/>
  <c r="M844" i="12"/>
  <c r="J844" i="12"/>
  <c r="Q843" i="12"/>
  <c r="P843" i="12"/>
  <c r="P842" i="12" s="1"/>
  <c r="P841" i="12" s="1"/>
  <c r="N843" i="12"/>
  <c r="L843" i="12"/>
  <c r="K843" i="12"/>
  <c r="K842" i="12" s="1"/>
  <c r="K841" i="12" s="1"/>
  <c r="I843" i="12"/>
  <c r="H843" i="12"/>
  <c r="I842" i="12"/>
  <c r="Q840" i="12"/>
  <c r="R840" i="12" s="1"/>
  <c r="N840" i="12"/>
  <c r="L840" i="12"/>
  <c r="L839" i="12" s="1"/>
  <c r="I840" i="12"/>
  <c r="H840" i="12"/>
  <c r="H839" i="12" s="1"/>
  <c r="P839" i="12"/>
  <c r="K839" i="12"/>
  <c r="R838" i="12"/>
  <c r="N838" i="12"/>
  <c r="L838" i="12"/>
  <c r="L837" i="12" s="1"/>
  <c r="K838" i="12"/>
  <c r="K837" i="12" s="1"/>
  <c r="I838" i="12"/>
  <c r="H838" i="12"/>
  <c r="H837" i="12" s="1"/>
  <c r="Q837" i="12"/>
  <c r="P837" i="12"/>
  <c r="R836" i="12"/>
  <c r="N836" i="12"/>
  <c r="O836" i="12" s="1"/>
  <c r="L836" i="12"/>
  <c r="K836" i="12"/>
  <c r="K835" i="12" s="1"/>
  <c r="I836" i="12"/>
  <c r="H836" i="12"/>
  <c r="Q835" i="12"/>
  <c r="P835" i="12"/>
  <c r="L835" i="12"/>
  <c r="H835" i="12"/>
  <c r="R829" i="12"/>
  <c r="O829" i="12"/>
  <c r="L829" i="12"/>
  <c r="I829" i="12"/>
  <c r="J829" i="12" s="1"/>
  <c r="Q828" i="12"/>
  <c r="P828" i="12"/>
  <c r="P827" i="12" s="1"/>
  <c r="P826" i="12" s="1"/>
  <c r="P825" i="12" s="1"/>
  <c r="N828" i="12"/>
  <c r="K828" i="12"/>
  <c r="K827" i="12" s="1"/>
  <c r="K826" i="12" s="1"/>
  <c r="K825" i="12" s="1"/>
  <c r="H828" i="12"/>
  <c r="R824" i="12"/>
  <c r="O824" i="12"/>
  <c r="M824" i="12"/>
  <c r="J824" i="12"/>
  <c r="Q823" i="12"/>
  <c r="P823" i="12"/>
  <c r="P822" i="12" s="1"/>
  <c r="N823" i="12"/>
  <c r="L823" i="12"/>
  <c r="K823" i="12"/>
  <c r="K822" i="12" s="1"/>
  <c r="I823" i="12"/>
  <c r="H823" i="12"/>
  <c r="H822" i="12" s="1"/>
  <c r="Q821" i="12"/>
  <c r="Q820" i="12" s="1"/>
  <c r="Q819" i="12" s="1"/>
  <c r="P821" i="12"/>
  <c r="P820" i="12" s="1"/>
  <c r="P819" i="12" s="1"/>
  <c r="N821" i="12"/>
  <c r="N820" i="12" s="1"/>
  <c r="L821" i="12"/>
  <c r="K821" i="12"/>
  <c r="K820" i="12" s="1"/>
  <c r="K819" i="12" s="1"/>
  <c r="I821" i="12"/>
  <c r="I820" i="12" s="1"/>
  <c r="H821" i="12"/>
  <c r="R818" i="12"/>
  <c r="O818" i="12"/>
  <c r="M818" i="12"/>
  <c r="J818" i="12"/>
  <c r="Q817" i="12"/>
  <c r="P817" i="12"/>
  <c r="P816" i="12" s="1"/>
  <c r="N817" i="12"/>
  <c r="N816" i="12" s="1"/>
  <c r="L817" i="12"/>
  <c r="M817" i="12" s="1"/>
  <c r="K817" i="12"/>
  <c r="I817" i="12"/>
  <c r="H817" i="12"/>
  <c r="H816" i="12" s="1"/>
  <c r="L816" i="12"/>
  <c r="K816" i="12"/>
  <c r="R807" i="12"/>
  <c r="O807" i="12"/>
  <c r="M807" i="12"/>
  <c r="J807" i="12"/>
  <c r="Q806" i="12"/>
  <c r="Q805" i="12" s="1"/>
  <c r="P806" i="12"/>
  <c r="P805" i="12" s="1"/>
  <c r="P804" i="12" s="1"/>
  <c r="N806" i="12"/>
  <c r="L806" i="12"/>
  <c r="K806" i="12"/>
  <c r="K805" i="12" s="1"/>
  <c r="I806" i="12"/>
  <c r="H806" i="12"/>
  <c r="H805" i="12" s="1"/>
  <c r="H804" i="12" s="1"/>
  <c r="L805" i="12"/>
  <c r="L804" i="12" s="1"/>
  <c r="K804" i="12"/>
  <c r="R803" i="12"/>
  <c r="O803" i="12"/>
  <c r="M803" i="12"/>
  <c r="J803" i="12"/>
  <c r="Q802" i="12"/>
  <c r="P802" i="12"/>
  <c r="N802" i="12"/>
  <c r="L802" i="12"/>
  <c r="K802" i="12"/>
  <c r="I802" i="12"/>
  <c r="H802" i="12"/>
  <c r="R801" i="12"/>
  <c r="N801" i="12"/>
  <c r="L801" i="12"/>
  <c r="L800" i="12" s="1"/>
  <c r="K801" i="12"/>
  <c r="K800" i="12" s="1"/>
  <c r="K799" i="12" s="1"/>
  <c r="K798" i="12" s="1"/>
  <c r="I801" i="12"/>
  <c r="H801" i="12"/>
  <c r="H800" i="12" s="1"/>
  <c r="Q800" i="12"/>
  <c r="P800" i="12"/>
  <c r="Q794" i="12"/>
  <c r="P794" i="12"/>
  <c r="P793" i="12" s="1"/>
  <c r="P792" i="12" s="1"/>
  <c r="P791" i="12" s="1"/>
  <c r="P790" i="12" s="1"/>
  <c r="P789" i="12" s="1"/>
  <c r="P788" i="12" s="1"/>
  <c r="N794" i="12"/>
  <c r="N793" i="12" s="1"/>
  <c r="L794" i="12"/>
  <c r="L793" i="12" s="1"/>
  <c r="L792" i="12" s="1"/>
  <c r="L791" i="12" s="1"/>
  <c r="K794" i="12"/>
  <c r="K793" i="12" s="1"/>
  <c r="K792" i="12" s="1"/>
  <c r="K791" i="12" s="1"/>
  <c r="K790" i="12" s="1"/>
  <c r="K789" i="12" s="1"/>
  <c r="K788" i="12" s="1"/>
  <c r="I794" i="12"/>
  <c r="H794" i="12"/>
  <c r="H793" i="12" s="1"/>
  <c r="H792" i="12" s="1"/>
  <c r="H791" i="12" s="1"/>
  <c r="H790" i="12" s="1"/>
  <c r="H789" i="12" s="1"/>
  <c r="H788" i="12" s="1"/>
  <c r="R787" i="12"/>
  <c r="O787" i="12"/>
  <c r="L787" i="12"/>
  <c r="I787" i="12"/>
  <c r="I786" i="12" s="1"/>
  <c r="H787" i="12"/>
  <c r="Q786" i="12"/>
  <c r="P786" i="12"/>
  <c r="N786" i="12"/>
  <c r="K786" i="12"/>
  <c r="R785" i="12"/>
  <c r="O785" i="12"/>
  <c r="M785" i="12"/>
  <c r="J785" i="12"/>
  <c r="R784" i="12"/>
  <c r="O784" i="12"/>
  <c r="M784" i="12"/>
  <c r="J784" i="12"/>
  <c r="Q783" i="12"/>
  <c r="P783" i="12"/>
  <c r="N783" i="12"/>
  <c r="L782" i="12"/>
  <c r="K783" i="12"/>
  <c r="K782" i="12" s="1"/>
  <c r="I783" i="12"/>
  <c r="H783" i="12"/>
  <c r="H782" i="12" s="1"/>
  <c r="Q782" i="12"/>
  <c r="R775" i="12"/>
  <c r="O775" i="12"/>
  <c r="M775" i="12"/>
  <c r="J775" i="12"/>
  <c r="Q774" i="12"/>
  <c r="P774" i="12"/>
  <c r="P773" i="12" s="1"/>
  <c r="P772" i="12" s="1"/>
  <c r="P771" i="12" s="1"/>
  <c r="P770" i="12" s="1"/>
  <c r="P769" i="12" s="1"/>
  <c r="N774" i="12"/>
  <c r="N773" i="12" s="1"/>
  <c r="L774" i="12"/>
  <c r="L773" i="12" s="1"/>
  <c r="K774" i="12"/>
  <c r="K773" i="12" s="1"/>
  <c r="K772" i="12" s="1"/>
  <c r="K771" i="12" s="1"/>
  <c r="K770" i="12" s="1"/>
  <c r="K769" i="12" s="1"/>
  <c r="I774" i="12"/>
  <c r="H774" i="12"/>
  <c r="H773" i="12" s="1"/>
  <c r="H772" i="12" s="1"/>
  <c r="H771" i="12" s="1"/>
  <c r="H770" i="12" s="1"/>
  <c r="H769" i="12" s="1"/>
  <c r="R768" i="12"/>
  <c r="O768" i="12"/>
  <c r="M768" i="12"/>
  <c r="J768" i="12"/>
  <c r="Q767" i="12"/>
  <c r="P767" i="12"/>
  <c r="P766" i="12" s="1"/>
  <c r="P765" i="12" s="1"/>
  <c r="P764" i="12" s="1"/>
  <c r="P763" i="12" s="1"/>
  <c r="N767" i="12"/>
  <c r="N766" i="12" s="1"/>
  <c r="L767" i="12"/>
  <c r="L766" i="12" s="1"/>
  <c r="K767" i="12"/>
  <c r="K766" i="12" s="1"/>
  <c r="K765" i="12" s="1"/>
  <c r="K764" i="12" s="1"/>
  <c r="K763" i="12" s="1"/>
  <c r="I767" i="12"/>
  <c r="H767" i="12"/>
  <c r="H766" i="12" s="1"/>
  <c r="H765" i="12" s="1"/>
  <c r="H764" i="12" s="1"/>
  <c r="H763" i="12" s="1"/>
  <c r="R756" i="12"/>
  <c r="O756" i="12"/>
  <c r="J756" i="12"/>
  <c r="Q755" i="12"/>
  <c r="Q754" i="12" s="1"/>
  <c r="P755" i="12"/>
  <c r="P754" i="12" s="1"/>
  <c r="P753" i="12" s="1"/>
  <c r="P752" i="12" s="1"/>
  <c r="P751" i="12" s="1"/>
  <c r="N755" i="12"/>
  <c r="L755" i="12"/>
  <c r="K755" i="12"/>
  <c r="K754" i="12" s="1"/>
  <c r="K753" i="12" s="1"/>
  <c r="K752" i="12" s="1"/>
  <c r="K751" i="12" s="1"/>
  <c r="I755" i="12"/>
  <c r="I754" i="12" s="1"/>
  <c r="H755" i="12"/>
  <c r="H754" i="12" s="1"/>
  <c r="H753" i="12" s="1"/>
  <c r="H752" i="12" s="1"/>
  <c r="H751" i="12" s="1"/>
  <c r="R749" i="12"/>
  <c r="O749" i="12"/>
  <c r="L749" i="12"/>
  <c r="I749" i="12"/>
  <c r="I748" i="12" s="1"/>
  <c r="H749" i="12"/>
  <c r="H748" i="12" s="1"/>
  <c r="Q748" i="12"/>
  <c r="P748" i="12"/>
  <c r="N748" i="12"/>
  <c r="K748" i="12"/>
  <c r="R747" i="12"/>
  <c r="O747" i="12"/>
  <c r="M747" i="12"/>
  <c r="J747" i="12"/>
  <c r="Q746" i="12"/>
  <c r="Q745" i="12" s="1"/>
  <c r="P746" i="12"/>
  <c r="P745" i="12" s="1"/>
  <c r="N746" i="12"/>
  <c r="L746" i="12"/>
  <c r="L745" i="12" s="1"/>
  <c r="K746" i="12"/>
  <c r="K745" i="12" s="1"/>
  <c r="I746" i="12"/>
  <c r="I745" i="12" s="1"/>
  <c r="H746" i="12"/>
  <c r="H745" i="12" s="1"/>
  <c r="R743" i="12"/>
  <c r="O743" i="12"/>
  <c r="M743" i="12"/>
  <c r="J743" i="12"/>
  <c r="Q742" i="12"/>
  <c r="P742" i="12"/>
  <c r="N742" i="12"/>
  <c r="L742" i="12"/>
  <c r="K742" i="12"/>
  <c r="I742" i="12"/>
  <c r="H742" i="12"/>
  <c r="R741" i="12"/>
  <c r="O741" i="12"/>
  <c r="L741" i="12"/>
  <c r="J741" i="12"/>
  <c r="R740" i="12"/>
  <c r="O740" i="12"/>
  <c r="M740" i="12"/>
  <c r="J740" i="12"/>
  <c r="Q739" i="12"/>
  <c r="P739" i="12"/>
  <c r="N739" i="12"/>
  <c r="K739" i="12"/>
  <c r="I739" i="12"/>
  <c r="H739" i="12"/>
  <c r="H738" i="12" s="1"/>
  <c r="R734" i="12"/>
  <c r="O734" i="12"/>
  <c r="M734" i="12"/>
  <c r="J734" i="12"/>
  <c r="Q733" i="12"/>
  <c r="P733" i="12"/>
  <c r="P732" i="12" s="1"/>
  <c r="N733" i="12"/>
  <c r="L733" i="12"/>
  <c r="K733" i="12"/>
  <c r="K732" i="12" s="1"/>
  <c r="I733" i="12"/>
  <c r="I732" i="12" s="1"/>
  <c r="H733" i="12"/>
  <c r="R731" i="12"/>
  <c r="O731" i="12"/>
  <c r="M731" i="12"/>
  <c r="J731" i="12"/>
  <c r="Q730" i="12"/>
  <c r="Q729" i="12" s="1"/>
  <c r="P730" i="12"/>
  <c r="P729" i="12" s="1"/>
  <c r="N730" i="12"/>
  <c r="N729" i="12" s="1"/>
  <c r="L730" i="12"/>
  <c r="K730" i="12"/>
  <c r="K729" i="12" s="1"/>
  <c r="I730" i="12"/>
  <c r="I729" i="12" s="1"/>
  <c r="H730" i="12"/>
  <c r="R728" i="12"/>
  <c r="O728" i="12"/>
  <c r="M728" i="12"/>
  <c r="J728" i="12"/>
  <c r="Q727" i="12"/>
  <c r="P727" i="12"/>
  <c r="N727" i="12"/>
  <c r="L727" i="12"/>
  <c r="K727" i="12"/>
  <c r="I727" i="12"/>
  <c r="H727" i="12"/>
  <c r="R726" i="12"/>
  <c r="O726" i="12"/>
  <c r="M726" i="12"/>
  <c r="J726" i="12"/>
  <c r="Q725" i="12"/>
  <c r="P725" i="12"/>
  <c r="N725" i="12"/>
  <c r="L725" i="12"/>
  <c r="K725" i="12"/>
  <c r="I725" i="12"/>
  <c r="H725" i="12"/>
  <c r="Q724" i="12"/>
  <c r="P724" i="12"/>
  <c r="P723" i="12" s="1"/>
  <c r="N724" i="12"/>
  <c r="N723" i="12" s="1"/>
  <c r="L724" i="12"/>
  <c r="L723" i="12" s="1"/>
  <c r="K724" i="12"/>
  <c r="K723" i="12" s="1"/>
  <c r="I724" i="12"/>
  <c r="H724" i="12"/>
  <c r="H723" i="12" s="1"/>
  <c r="Q720" i="12"/>
  <c r="P720" i="12"/>
  <c r="P719" i="12" s="1"/>
  <c r="P718" i="12" s="1"/>
  <c r="P717" i="12" s="1"/>
  <c r="N720" i="12"/>
  <c r="N719" i="12" s="1"/>
  <c r="L720" i="12"/>
  <c r="L719" i="12" s="1"/>
  <c r="K720" i="12"/>
  <c r="K719" i="12" s="1"/>
  <c r="K718" i="12" s="1"/>
  <c r="K717" i="12" s="1"/>
  <c r="I720" i="12"/>
  <c r="H720" i="12"/>
  <c r="H719" i="12" s="1"/>
  <c r="H718" i="12" s="1"/>
  <c r="H717" i="12" s="1"/>
  <c r="R714" i="12"/>
  <c r="O714" i="12"/>
  <c r="L714" i="12"/>
  <c r="M714" i="12" s="1"/>
  <c r="J714" i="12"/>
  <c r="Q713" i="12"/>
  <c r="Q712" i="12" s="1"/>
  <c r="P713" i="12"/>
  <c r="P712" i="12" s="1"/>
  <c r="N713" i="12"/>
  <c r="K713" i="12"/>
  <c r="K712" i="12" s="1"/>
  <c r="I713" i="12"/>
  <c r="I712" i="12" s="1"/>
  <c r="H713" i="12"/>
  <c r="H712" i="12" s="1"/>
  <c r="R711" i="12"/>
  <c r="O711" i="12"/>
  <c r="M711" i="12"/>
  <c r="J711" i="12"/>
  <c r="Q710" i="12"/>
  <c r="P710" i="12"/>
  <c r="P709" i="12" s="1"/>
  <c r="N710" i="12"/>
  <c r="N709" i="12" s="1"/>
  <c r="L710" i="12"/>
  <c r="K710" i="12"/>
  <c r="K709" i="12" s="1"/>
  <c r="I710" i="12"/>
  <c r="I709" i="12" s="1"/>
  <c r="H710" i="12"/>
  <c r="R708" i="12"/>
  <c r="O708" i="12"/>
  <c r="L708" i="12"/>
  <c r="L707" i="12" s="1"/>
  <c r="I708" i="12"/>
  <c r="I707" i="12" s="1"/>
  <c r="Q707" i="12"/>
  <c r="P707" i="12"/>
  <c r="N707" i="12"/>
  <c r="K707" i="12"/>
  <c r="H707" i="12"/>
  <c r="Q706" i="12"/>
  <c r="P706" i="12"/>
  <c r="P705" i="12" s="1"/>
  <c r="N706" i="12"/>
  <c r="L706" i="12"/>
  <c r="L705" i="12" s="1"/>
  <c r="K706" i="12"/>
  <c r="K705" i="12" s="1"/>
  <c r="I706" i="12"/>
  <c r="I705" i="12" s="1"/>
  <c r="H706" i="12"/>
  <c r="H705" i="12" s="1"/>
  <c r="Q704" i="12"/>
  <c r="P704" i="12"/>
  <c r="P703" i="12" s="1"/>
  <c r="N704" i="12"/>
  <c r="N703" i="12" s="1"/>
  <c r="L704" i="12"/>
  <c r="K704" i="12"/>
  <c r="I704" i="12"/>
  <c r="H704" i="12"/>
  <c r="H703" i="12" s="1"/>
  <c r="L703" i="12"/>
  <c r="Q700" i="12"/>
  <c r="P700" i="12"/>
  <c r="P699" i="12" s="1"/>
  <c r="N700" i="12"/>
  <c r="N699" i="12" s="1"/>
  <c r="L700" i="12"/>
  <c r="L699" i="12" s="1"/>
  <c r="K700" i="12"/>
  <c r="I700" i="12"/>
  <c r="H700" i="12"/>
  <c r="H699" i="12" s="1"/>
  <c r="R698" i="12"/>
  <c r="O698" i="12"/>
  <c r="L698" i="12"/>
  <c r="L697" i="12" s="1"/>
  <c r="I698" i="12"/>
  <c r="I697" i="12" s="1"/>
  <c r="H698" i="12"/>
  <c r="H697" i="12" s="1"/>
  <c r="Q697" i="12"/>
  <c r="P697" i="12"/>
  <c r="N697" i="12"/>
  <c r="K697" i="12"/>
  <c r="Q696" i="12"/>
  <c r="P696" i="12"/>
  <c r="P695" i="12" s="1"/>
  <c r="N696" i="12"/>
  <c r="N695" i="12" s="1"/>
  <c r="L696" i="12"/>
  <c r="K696" i="12"/>
  <c r="I696" i="12"/>
  <c r="H696" i="12"/>
  <c r="H695" i="12" s="1"/>
  <c r="R694" i="12"/>
  <c r="O694" i="12"/>
  <c r="L694" i="12"/>
  <c r="L693" i="12" s="1"/>
  <c r="I694" i="12"/>
  <c r="H694" i="12"/>
  <c r="H693" i="12" s="1"/>
  <c r="Q693" i="12"/>
  <c r="P693" i="12"/>
  <c r="N693" i="12"/>
  <c r="O693" i="12" s="1"/>
  <c r="K693" i="12"/>
  <c r="R692" i="12"/>
  <c r="O692" i="12"/>
  <c r="L692" i="12"/>
  <c r="L691" i="12" s="1"/>
  <c r="I692" i="12"/>
  <c r="Q691" i="12"/>
  <c r="P691" i="12"/>
  <c r="N691" i="12"/>
  <c r="O691" i="12" s="1"/>
  <c r="K691" i="12"/>
  <c r="H691" i="12"/>
  <c r="R690" i="12"/>
  <c r="O690" i="12"/>
  <c r="L690" i="12"/>
  <c r="L689" i="12" s="1"/>
  <c r="I690" i="12"/>
  <c r="H690" i="12"/>
  <c r="H689" i="12" s="1"/>
  <c r="Q689" i="12"/>
  <c r="R689" i="12" s="1"/>
  <c r="P689" i="12"/>
  <c r="N689" i="12"/>
  <c r="K689" i="12"/>
  <c r="Q688" i="12"/>
  <c r="Q687" i="12" s="1"/>
  <c r="P688" i="12"/>
  <c r="P687" i="12" s="1"/>
  <c r="N688" i="12"/>
  <c r="L688" i="12"/>
  <c r="K688" i="12"/>
  <c r="K687" i="12" s="1"/>
  <c r="I688" i="12"/>
  <c r="I687" i="12" s="1"/>
  <c r="H688" i="12"/>
  <c r="R686" i="12"/>
  <c r="O686" i="12"/>
  <c r="L686" i="12"/>
  <c r="L685" i="12" s="1"/>
  <c r="I686" i="12"/>
  <c r="H686" i="12"/>
  <c r="H685" i="12" s="1"/>
  <c r="Q685" i="12"/>
  <c r="P685" i="12"/>
  <c r="N685" i="12"/>
  <c r="K685" i="12"/>
  <c r="R684" i="12"/>
  <c r="O684" i="12"/>
  <c r="L684" i="12"/>
  <c r="I684" i="12"/>
  <c r="I683" i="12" s="1"/>
  <c r="Q683" i="12"/>
  <c r="P683" i="12"/>
  <c r="N683" i="12"/>
  <c r="K683" i="12"/>
  <c r="H683" i="12"/>
  <c r="R682" i="12"/>
  <c r="O682" i="12"/>
  <c r="L682" i="12"/>
  <c r="I682" i="12"/>
  <c r="J682" i="12" s="1"/>
  <c r="Q681" i="12"/>
  <c r="P681" i="12"/>
  <c r="N681" i="12"/>
  <c r="K681" i="12"/>
  <c r="H681" i="12"/>
  <c r="R678" i="12"/>
  <c r="O678" i="12"/>
  <c r="L678" i="12"/>
  <c r="L677" i="12" s="1"/>
  <c r="I678" i="12"/>
  <c r="I677" i="12" s="1"/>
  <c r="H678" i="12"/>
  <c r="H677" i="12" s="1"/>
  <c r="Q677" i="12"/>
  <c r="P677" i="12"/>
  <c r="N677" i="12"/>
  <c r="K677" i="12"/>
  <c r="Q676" i="12"/>
  <c r="Q675" i="12" s="1"/>
  <c r="P676" i="12"/>
  <c r="P675" i="12" s="1"/>
  <c r="N676" i="12"/>
  <c r="L676" i="12"/>
  <c r="K676" i="12"/>
  <c r="K675" i="12" s="1"/>
  <c r="I676" i="12"/>
  <c r="I675" i="12" s="1"/>
  <c r="H676" i="12"/>
  <c r="H675" i="12" s="1"/>
  <c r="R674" i="12"/>
  <c r="O674" i="12"/>
  <c r="M674" i="12"/>
  <c r="J674" i="12"/>
  <c r="Q673" i="12"/>
  <c r="P673" i="12"/>
  <c r="N673" i="12"/>
  <c r="L673" i="12"/>
  <c r="K673" i="12"/>
  <c r="I673" i="12"/>
  <c r="H673" i="12"/>
  <c r="R671" i="12"/>
  <c r="O671" i="12"/>
  <c r="L671" i="12"/>
  <c r="L670" i="12" s="1"/>
  <c r="I671" i="12"/>
  <c r="I670" i="12" s="1"/>
  <c r="H671" i="12"/>
  <c r="H670" i="12" s="1"/>
  <c r="Q670" i="12"/>
  <c r="R670" i="12" s="1"/>
  <c r="P670" i="12"/>
  <c r="N670" i="12"/>
  <c r="K670" i="12"/>
  <c r="Q669" i="12"/>
  <c r="Q668" i="12" s="1"/>
  <c r="P669" i="12"/>
  <c r="N669" i="12"/>
  <c r="M669" i="12"/>
  <c r="K669" i="12"/>
  <c r="K668" i="12" s="1"/>
  <c r="J669" i="12"/>
  <c r="N668" i="12"/>
  <c r="L668" i="12"/>
  <c r="I668" i="12"/>
  <c r="H668" i="12"/>
  <c r="Q667" i="12"/>
  <c r="P667" i="12"/>
  <c r="P666" i="12" s="1"/>
  <c r="N667" i="12"/>
  <c r="L667" i="12"/>
  <c r="L666" i="12" s="1"/>
  <c r="K667" i="12"/>
  <c r="K666" i="12" s="1"/>
  <c r="I667" i="12"/>
  <c r="H667" i="12"/>
  <c r="H666" i="12" s="1"/>
  <c r="R665" i="12"/>
  <c r="N665" i="12"/>
  <c r="N664" i="12" s="1"/>
  <c r="L665" i="12"/>
  <c r="L664" i="12" s="1"/>
  <c r="K665" i="12"/>
  <c r="K664" i="12" s="1"/>
  <c r="I665" i="12"/>
  <c r="H665" i="12"/>
  <c r="H664" i="12" s="1"/>
  <c r="Q664" i="12"/>
  <c r="P664" i="12"/>
  <c r="R663" i="12"/>
  <c r="O663" i="12"/>
  <c r="L663" i="12"/>
  <c r="M663" i="12" s="1"/>
  <c r="I663" i="12"/>
  <c r="H663" i="12"/>
  <c r="H662" i="12" s="1"/>
  <c r="Q662" i="12"/>
  <c r="P662" i="12"/>
  <c r="N662" i="12"/>
  <c r="K662" i="12"/>
  <c r="R657" i="12"/>
  <c r="O657" i="12"/>
  <c r="M657" i="12"/>
  <c r="J657" i="12"/>
  <c r="Q656" i="12"/>
  <c r="P656" i="12"/>
  <c r="P655" i="12" s="1"/>
  <c r="N656" i="12"/>
  <c r="N655" i="12" s="1"/>
  <c r="L656" i="12"/>
  <c r="K656" i="12"/>
  <c r="K655" i="12" s="1"/>
  <c r="I656" i="12"/>
  <c r="I655" i="12" s="1"/>
  <c r="H656" i="12"/>
  <c r="H655" i="12" s="1"/>
  <c r="L655" i="12"/>
  <c r="Q654" i="12"/>
  <c r="P654" i="12"/>
  <c r="P653" i="12" s="1"/>
  <c r="N654" i="12"/>
  <c r="N653" i="12" s="1"/>
  <c r="L654" i="12"/>
  <c r="K654" i="12"/>
  <c r="K653" i="12" s="1"/>
  <c r="I654" i="12"/>
  <c r="H654" i="12"/>
  <c r="H653" i="12" s="1"/>
  <c r="Q652" i="12"/>
  <c r="R652" i="12" s="1"/>
  <c r="P652" i="12"/>
  <c r="P651" i="12" s="1"/>
  <c r="N652" i="12"/>
  <c r="N651" i="12" s="1"/>
  <c r="L652" i="12"/>
  <c r="L651" i="12" s="1"/>
  <c r="K652" i="12"/>
  <c r="K651" i="12" s="1"/>
  <c r="I652" i="12"/>
  <c r="H652" i="12"/>
  <c r="H651" i="12" s="1"/>
  <c r="R648" i="12"/>
  <c r="O648" i="12"/>
  <c r="L648" i="12"/>
  <c r="I648" i="12"/>
  <c r="J648" i="12" s="1"/>
  <c r="Q647" i="12"/>
  <c r="P647" i="12"/>
  <c r="N647" i="12"/>
  <c r="K647" i="12"/>
  <c r="H647" i="12"/>
  <c r="R646" i="12"/>
  <c r="Q646" i="12"/>
  <c r="Q645" i="12" s="1"/>
  <c r="P646" i="12"/>
  <c r="P645" i="12" s="1"/>
  <c r="N646" i="12"/>
  <c r="L646" i="12"/>
  <c r="K646" i="12"/>
  <c r="K645" i="12" s="1"/>
  <c r="I646" i="12"/>
  <c r="H646" i="12"/>
  <c r="H645" i="12" s="1"/>
  <c r="R644" i="12"/>
  <c r="O644" i="12"/>
  <c r="L644" i="12"/>
  <c r="I644" i="12"/>
  <c r="I643" i="12" s="1"/>
  <c r="H644" i="12"/>
  <c r="H643" i="12" s="1"/>
  <c r="Q643" i="12"/>
  <c r="P643" i="12"/>
  <c r="N643" i="12"/>
  <c r="K643" i="12"/>
  <c r="R637" i="12"/>
  <c r="O637" i="12"/>
  <c r="M637" i="12"/>
  <c r="J637" i="12"/>
  <c r="Q636" i="12"/>
  <c r="P636" i="12"/>
  <c r="P635" i="12" s="1"/>
  <c r="P634" i="12" s="1"/>
  <c r="P633" i="12" s="1"/>
  <c r="P632" i="12" s="1"/>
  <c r="P631" i="12" s="1"/>
  <c r="N636" i="12"/>
  <c r="L636" i="12"/>
  <c r="L635" i="12" s="1"/>
  <c r="L634" i="12" s="1"/>
  <c r="L633" i="12" s="1"/>
  <c r="K636" i="12"/>
  <c r="K635" i="12" s="1"/>
  <c r="K634" i="12" s="1"/>
  <c r="K633" i="12" s="1"/>
  <c r="K632" i="12" s="1"/>
  <c r="K631" i="12" s="1"/>
  <c r="I636" i="12"/>
  <c r="H636" i="12"/>
  <c r="H635" i="12" s="1"/>
  <c r="H634" i="12" s="1"/>
  <c r="H633" i="12" s="1"/>
  <c r="H632" i="12" s="1"/>
  <c r="H631" i="12" s="1"/>
  <c r="M630" i="12"/>
  <c r="R629" i="12"/>
  <c r="O629" i="12"/>
  <c r="O628" i="12" s="1"/>
  <c r="L629" i="12"/>
  <c r="M629" i="12" s="1"/>
  <c r="J629" i="12"/>
  <c r="J628" i="12" s="1"/>
  <c r="Q628" i="12"/>
  <c r="Q627" i="12" s="1"/>
  <c r="P628" i="12"/>
  <c r="P627" i="12" s="1"/>
  <c r="P626" i="12" s="1"/>
  <c r="P625" i="12" s="1"/>
  <c r="P624" i="12" s="1"/>
  <c r="P623" i="12" s="1"/>
  <c r="N628" i="12"/>
  <c r="N627" i="12" s="1"/>
  <c r="K628" i="12"/>
  <c r="K627" i="12" s="1"/>
  <c r="K626" i="12" s="1"/>
  <c r="K625" i="12" s="1"/>
  <c r="K624" i="12" s="1"/>
  <c r="K623" i="12" s="1"/>
  <c r="I628" i="12"/>
  <c r="I627" i="12" s="1"/>
  <c r="H628" i="12"/>
  <c r="H627" i="12" s="1"/>
  <c r="H626" i="12" s="1"/>
  <c r="H625" i="12" s="1"/>
  <c r="H624" i="12" s="1"/>
  <c r="H623" i="12" s="1"/>
  <c r="R621" i="12"/>
  <c r="O621" i="12"/>
  <c r="M621" i="12"/>
  <c r="J621" i="12"/>
  <c r="Q620" i="12"/>
  <c r="P620" i="12"/>
  <c r="P619" i="12" s="1"/>
  <c r="P618" i="12" s="1"/>
  <c r="P617" i="12" s="1"/>
  <c r="P616" i="12" s="1"/>
  <c r="P615" i="12" s="1"/>
  <c r="N620" i="12"/>
  <c r="N619" i="12" s="1"/>
  <c r="L620" i="12"/>
  <c r="K620" i="12"/>
  <c r="K619" i="12" s="1"/>
  <c r="K618" i="12" s="1"/>
  <c r="K617" i="12" s="1"/>
  <c r="K616" i="12" s="1"/>
  <c r="K615" i="12" s="1"/>
  <c r="I620" i="12"/>
  <c r="I619" i="12" s="1"/>
  <c r="H620" i="12"/>
  <c r="R614" i="12"/>
  <c r="O614" i="12"/>
  <c r="M614" i="12"/>
  <c r="J614" i="12"/>
  <c r="Q613" i="12"/>
  <c r="Q612" i="12" s="1"/>
  <c r="P613" i="12"/>
  <c r="P612" i="12" s="1"/>
  <c r="P611" i="12" s="1"/>
  <c r="P610" i="12" s="1"/>
  <c r="P609" i="12" s="1"/>
  <c r="P608" i="12" s="1"/>
  <c r="N613" i="12"/>
  <c r="L613" i="12"/>
  <c r="K613" i="12"/>
  <c r="K612" i="12" s="1"/>
  <c r="K611" i="12" s="1"/>
  <c r="K610" i="12" s="1"/>
  <c r="K609" i="12" s="1"/>
  <c r="K608" i="12" s="1"/>
  <c r="I613" i="12"/>
  <c r="H613" i="12"/>
  <c r="H612" i="12" s="1"/>
  <c r="H611" i="12" s="1"/>
  <c r="H610" i="12" s="1"/>
  <c r="H609" i="12" s="1"/>
  <c r="H608" i="12" s="1"/>
  <c r="R607" i="12"/>
  <c r="O607" i="12"/>
  <c r="M607" i="12"/>
  <c r="J607" i="12"/>
  <c r="R606" i="12"/>
  <c r="O606" i="12"/>
  <c r="L606" i="12"/>
  <c r="I606" i="12"/>
  <c r="H606" i="12"/>
  <c r="Q605" i="12"/>
  <c r="P605" i="12"/>
  <c r="P604" i="12" s="1"/>
  <c r="P603" i="12" s="1"/>
  <c r="N605" i="12"/>
  <c r="N604" i="12" s="1"/>
  <c r="K605" i="12"/>
  <c r="I605" i="12"/>
  <c r="H605" i="12"/>
  <c r="H604" i="12" s="1"/>
  <c r="H603" i="12" s="1"/>
  <c r="R602" i="12"/>
  <c r="O602" i="12"/>
  <c r="M602" i="12"/>
  <c r="J602" i="12"/>
  <c r="Q601" i="12"/>
  <c r="P601" i="12"/>
  <c r="P600" i="12" s="1"/>
  <c r="N601" i="12"/>
  <c r="L601" i="12"/>
  <c r="K601" i="12"/>
  <c r="K600" i="12" s="1"/>
  <c r="I601" i="12"/>
  <c r="H601" i="12"/>
  <c r="H600" i="12" s="1"/>
  <c r="R598" i="12"/>
  <c r="O598" i="12"/>
  <c r="M598" i="12"/>
  <c r="J598" i="12"/>
  <c r="R597" i="12"/>
  <c r="O597" i="12"/>
  <c r="M597" i="12"/>
  <c r="J597" i="12"/>
  <c r="Q596" i="12"/>
  <c r="P596" i="12"/>
  <c r="N596" i="12"/>
  <c r="L596" i="12"/>
  <c r="K596" i="12"/>
  <c r="I596" i="12"/>
  <c r="H596" i="12"/>
  <c r="R595" i="12"/>
  <c r="O595" i="12"/>
  <c r="L595" i="12"/>
  <c r="L594" i="12" s="1"/>
  <c r="I595" i="12"/>
  <c r="I594" i="12" s="1"/>
  <c r="H595" i="12"/>
  <c r="H594" i="12" s="1"/>
  <c r="Q594" i="12"/>
  <c r="P594" i="12"/>
  <c r="P593" i="12" s="1"/>
  <c r="P592" i="12" s="1"/>
  <c r="N594" i="12"/>
  <c r="N593" i="12" s="1"/>
  <c r="K594" i="12"/>
  <c r="R588" i="12"/>
  <c r="O588" i="12"/>
  <c r="M588" i="12"/>
  <c r="J588" i="12"/>
  <c r="Q587" i="12"/>
  <c r="P587" i="12"/>
  <c r="P586" i="12" s="1"/>
  <c r="P585" i="12" s="1"/>
  <c r="P584" i="12" s="1"/>
  <c r="P583" i="12" s="1"/>
  <c r="N587" i="12"/>
  <c r="N586" i="12" s="1"/>
  <c r="K587" i="12"/>
  <c r="I587" i="12"/>
  <c r="H587" i="12"/>
  <c r="H586" i="12" s="1"/>
  <c r="H585" i="12" s="1"/>
  <c r="H584" i="12" s="1"/>
  <c r="H583" i="12" s="1"/>
  <c r="L586" i="12"/>
  <c r="R582" i="12"/>
  <c r="O582" i="12"/>
  <c r="M582" i="12"/>
  <c r="J582" i="12"/>
  <c r="Q581" i="12"/>
  <c r="Q580" i="12" s="1"/>
  <c r="P581" i="12"/>
  <c r="P580" i="12" s="1"/>
  <c r="N581" i="12"/>
  <c r="L581" i="12"/>
  <c r="K581" i="12"/>
  <c r="K580" i="12" s="1"/>
  <c r="I581" i="12"/>
  <c r="I580" i="12" s="1"/>
  <c r="H581" i="12"/>
  <c r="H580" i="12" s="1"/>
  <c r="R576" i="12"/>
  <c r="O576" i="12"/>
  <c r="M576" i="12"/>
  <c r="J576" i="12"/>
  <c r="Q575" i="12"/>
  <c r="Q574" i="12" s="1"/>
  <c r="P575" i="12"/>
  <c r="P574" i="12" s="1"/>
  <c r="P573" i="12" s="1"/>
  <c r="P572" i="12" s="1"/>
  <c r="P571" i="12" s="1"/>
  <c r="P570" i="12" s="1"/>
  <c r="N575" i="12"/>
  <c r="L575" i="12"/>
  <c r="L574" i="12" s="1"/>
  <c r="K575" i="12"/>
  <c r="K574" i="12" s="1"/>
  <c r="K573" i="12" s="1"/>
  <c r="K572" i="12" s="1"/>
  <c r="K571" i="12" s="1"/>
  <c r="K570" i="12" s="1"/>
  <c r="I575" i="12"/>
  <c r="I574" i="12" s="1"/>
  <c r="H575" i="12"/>
  <c r="H574" i="12" s="1"/>
  <c r="H573" i="12" s="1"/>
  <c r="H572" i="12" s="1"/>
  <c r="H571" i="12" s="1"/>
  <c r="H570" i="12" s="1"/>
  <c r="R569" i="12"/>
  <c r="O569" i="12"/>
  <c r="M569" i="12"/>
  <c r="J569" i="12"/>
  <c r="Q568" i="12"/>
  <c r="P568" i="12"/>
  <c r="N568" i="12"/>
  <c r="L568" i="12"/>
  <c r="K568" i="12"/>
  <c r="I568" i="12"/>
  <c r="H568" i="12"/>
  <c r="R567" i="12"/>
  <c r="O567" i="12"/>
  <c r="L567" i="12"/>
  <c r="M567" i="12" s="1"/>
  <c r="J567" i="12"/>
  <c r="Q566" i="12"/>
  <c r="P566" i="12"/>
  <c r="N566" i="12"/>
  <c r="K566" i="12"/>
  <c r="I566" i="12"/>
  <c r="H566" i="12"/>
  <c r="Q560" i="12"/>
  <c r="P560" i="12"/>
  <c r="P559" i="12" s="1"/>
  <c r="N560" i="12"/>
  <c r="L560" i="12"/>
  <c r="L559" i="12" s="1"/>
  <c r="K560" i="12"/>
  <c r="K559" i="12" s="1"/>
  <c r="I560" i="12"/>
  <c r="H560" i="12"/>
  <c r="H559" i="12" s="1"/>
  <c r="R558" i="12"/>
  <c r="O558" i="12"/>
  <c r="M558" i="12"/>
  <c r="J558" i="12"/>
  <c r="R557" i="12"/>
  <c r="O557" i="12"/>
  <c r="M557" i="12"/>
  <c r="J557" i="12"/>
  <c r="R556" i="12"/>
  <c r="O556" i="12"/>
  <c r="M556" i="12"/>
  <c r="J556" i="12"/>
  <c r="Q555" i="12"/>
  <c r="P555" i="12"/>
  <c r="N555" i="12"/>
  <c r="L555" i="12"/>
  <c r="K555" i="12"/>
  <c r="I555" i="12"/>
  <c r="H555" i="12"/>
  <c r="R554" i="12"/>
  <c r="O554" i="12"/>
  <c r="L554" i="12"/>
  <c r="L553" i="12" s="1"/>
  <c r="I554" i="12"/>
  <c r="I553" i="12" s="1"/>
  <c r="Q553" i="12"/>
  <c r="P553" i="12"/>
  <c r="N553" i="12"/>
  <c r="K553" i="12"/>
  <c r="H553" i="12"/>
  <c r="R548" i="12"/>
  <c r="O548" i="12"/>
  <c r="M548" i="12"/>
  <c r="J548" i="12"/>
  <c r="Q547" i="12"/>
  <c r="P547" i="12"/>
  <c r="N547" i="12"/>
  <c r="L547" i="12"/>
  <c r="K547" i="12"/>
  <c r="O547" i="12" s="1"/>
  <c r="I547" i="12"/>
  <c r="J547" i="12" s="1"/>
  <c r="H547" i="12"/>
  <c r="R546" i="12"/>
  <c r="O546" i="12"/>
  <c r="M546" i="12"/>
  <c r="J546" i="12"/>
  <c r="Q545" i="12"/>
  <c r="P545" i="12"/>
  <c r="O545" i="12"/>
  <c r="M545" i="12"/>
  <c r="J545" i="12"/>
  <c r="Q544" i="12"/>
  <c r="P544" i="12"/>
  <c r="N544" i="12"/>
  <c r="L544" i="12"/>
  <c r="K544" i="12"/>
  <c r="K543" i="12" s="1"/>
  <c r="I544" i="12"/>
  <c r="H544" i="12"/>
  <c r="H543" i="12" s="1"/>
  <c r="H542" i="12" s="1"/>
  <c r="H541" i="12" s="1"/>
  <c r="H540" i="12" s="1"/>
  <c r="L543" i="12"/>
  <c r="L542" i="12" s="1"/>
  <c r="R539" i="12"/>
  <c r="O539" i="12"/>
  <c r="M539" i="12"/>
  <c r="J539" i="12"/>
  <c r="Q538" i="12"/>
  <c r="P538" i="12"/>
  <c r="P537" i="12" s="1"/>
  <c r="N538" i="12"/>
  <c r="N537" i="12" s="1"/>
  <c r="L538" i="12"/>
  <c r="K538" i="12"/>
  <c r="K537" i="12" s="1"/>
  <c r="I538" i="12"/>
  <c r="H538" i="12"/>
  <c r="H537" i="12" s="1"/>
  <c r="R533" i="12"/>
  <c r="O533" i="12"/>
  <c r="M533" i="12"/>
  <c r="J533" i="12"/>
  <c r="R532" i="12"/>
  <c r="O532" i="12"/>
  <c r="L532" i="12"/>
  <c r="I532" i="12"/>
  <c r="J532" i="12" s="1"/>
  <c r="Q531" i="12"/>
  <c r="P531" i="12"/>
  <c r="P530" i="12" s="1"/>
  <c r="P529" i="12" s="1"/>
  <c r="P528" i="12" s="1"/>
  <c r="P527" i="12" s="1"/>
  <c r="P526" i="12" s="1"/>
  <c r="N531" i="12"/>
  <c r="L531" i="12"/>
  <c r="K531" i="12"/>
  <c r="K530" i="12" s="1"/>
  <c r="K529" i="12" s="1"/>
  <c r="K528" i="12" s="1"/>
  <c r="K527" i="12" s="1"/>
  <c r="K526" i="12" s="1"/>
  <c r="I531" i="12"/>
  <c r="H531" i="12"/>
  <c r="H530" i="12" s="1"/>
  <c r="H529" i="12" s="1"/>
  <c r="H528" i="12" s="1"/>
  <c r="H527" i="12" s="1"/>
  <c r="H526" i="12" s="1"/>
  <c r="R525" i="12"/>
  <c r="O525" i="12"/>
  <c r="I525" i="12"/>
  <c r="M525" i="12" s="1"/>
  <c r="R524" i="12"/>
  <c r="O524" i="12"/>
  <c r="I524" i="12"/>
  <c r="H524" i="12"/>
  <c r="H523" i="12" s="1"/>
  <c r="H522" i="12" s="1"/>
  <c r="H521" i="12" s="1"/>
  <c r="H520" i="12" s="1"/>
  <c r="H519" i="12" s="1"/>
  <c r="Q523" i="12"/>
  <c r="P523" i="12"/>
  <c r="P522" i="12" s="1"/>
  <c r="P521" i="12" s="1"/>
  <c r="P520" i="12" s="1"/>
  <c r="P519" i="12" s="1"/>
  <c r="N523" i="12"/>
  <c r="N522" i="12" s="1"/>
  <c r="N521" i="12" s="1"/>
  <c r="N520" i="12" s="1"/>
  <c r="L523" i="12"/>
  <c r="K523" i="12"/>
  <c r="R518" i="12"/>
  <c r="O518" i="12"/>
  <c r="I518" i="12"/>
  <c r="Q517" i="12"/>
  <c r="P517" i="12"/>
  <c r="N517" i="12"/>
  <c r="L517" i="12"/>
  <c r="K517" i="12"/>
  <c r="H517" i="12"/>
  <c r="Q516" i="12"/>
  <c r="P516" i="12"/>
  <c r="P513" i="12" s="1"/>
  <c r="N516" i="12"/>
  <c r="N513" i="12" s="1"/>
  <c r="O513" i="12" s="1"/>
  <c r="L516" i="12"/>
  <c r="L513" i="12" s="1"/>
  <c r="K516" i="12"/>
  <c r="K513" i="12" s="1"/>
  <c r="I516" i="12"/>
  <c r="H516" i="12"/>
  <c r="H513" i="12" s="1"/>
  <c r="R515" i="12"/>
  <c r="O515" i="12"/>
  <c r="M515" i="12"/>
  <c r="J515" i="12"/>
  <c r="R514" i="12"/>
  <c r="O514" i="12"/>
  <c r="M514" i="12"/>
  <c r="J514" i="12"/>
  <c r="Q508" i="12"/>
  <c r="P508" i="12"/>
  <c r="P507" i="12" s="1"/>
  <c r="N508" i="12"/>
  <c r="L508" i="12"/>
  <c r="L507" i="12" s="1"/>
  <c r="K508" i="12"/>
  <c r="K507" i="12" s="1"/>
  <c r="I508" i="12"/>
  <c r="H508" i="12"/>
  <c r="H507" i="12" s="1"/>
  <c r="Q506" i="12"/>
  <c r="P506" i="12"/>
  <c r="P505" i="12" s="1"/>
  <c r="N506" i="12"/>
  <c r="N505" i="12" s="1"/>
  <c r="K506" i="12"/>
  <c r="I506" i="12"/>
  <c r="M506" i="12" s="1"/>
  <c r="H506" i="12"/>
  <c r="H505" i="12" s="1"/>
  <c r="L505" i="12"/>
  <c r="K505" i="12"/>
  <c r="R500" i="12"/>
  <c r="O500" i="12"/>
  <c r="M500" i="12"/>
  <c r="J500" i="12"/>
  <c r="R499" i="12"/>
  <c r="O499" i="12"/>
  <c r="M499" i="12"/>
  <c r="J499" i="12"/>
  <c r="R498" i="12"/>
  <c r="O498" i="12"/>
  <c r="M498" i="12"/>
  <c r="J498" i="12"/>
  <c r="R497" i="12"/>
  <c r="O497" i="12"/>
  <c r="M497" i="12"/>
  <c r="J497" i="12"/>
  <c r="Q496" i="12"/>
  <c r="P496" i="12"/>
  <c r="N496" i="12"/>
  <c r="L496" i="12"/>
  <c r="K496" i="12"/>
  <c r="I496" i="12"/>
  <c r="H496" i="12"/>
  <c r="Q495" i="12"/>
  <c r="P495" i="12"/>
  <c r="P493" i="12" s="1"/>
  <c r="N495" i="12"/>
  <c r="L495" i="12"/>
  <c r="L493" i="12" s="1"/>
  <c r="K495" i="12"/>
  <c r="K493" i="12" s="1"/>
  <c r="I495" i="12"/>
  <c r="H495" i="12"/>
  <c r="H493" i="12" s="1"/>
  <c r="R494" i="12"/>
  <c r="O494" i="12"/>
  <c r="M494" i="12"/>
  <c r="J494" i="12"/>
  <c r="Q492" i="12"/>
  <c r="R492" i="12" s="1"/>
  <c r="N492" i="12"/>
  <c r="O492" i="12" s="1"/>
  <c r="L492" i="12"/>
  <c r="I492" i="12"/>
  <c r="R491" i="12"/>
  <c r="N491" i="12"/>
  <c r="O491" i="12" s="1"/>
  <c r="L491" i="12"/>
  <c r="I491" i="12"/>
  <c r="J491" i="12" s="1"/>
  <c r="P490" i="12"/>
  <c r="K490" i="12"/>
  <c r="H490" i="12"/>
  <c r="R487" i="12"/>
  <c r="O487" i="12"/>
  <c r="L487" i="12"/>
  <c r="I487" i="12"/>
  <c r="I486" i="12" s="1"/>
  <c r="Q486" i="12"/>
  <c r="Q485" i="12" s="1"/>
  <c r="P486" i="12"/>
  <c r="P485" i="12" s="1"/>
  <c r="P484" i="12" s="1"/>
  <c r="N486" i="12"/>
  <c r="K486" i="12"/>
  <c r="K485" i="12" s="1"/>
  <c r="K484" i="12" s="1"/>
  <c r="H486" i="12"/>
  <c r="H485" i="12" s="1"/>
  <c r="H484" i="12" s="1"/>
  <c r="R480" i="12"/>
  <c r="O480" i="12"/>
  <c r="M480" i="12"/>
  <c r="J480" i="12"/>
  <c r="R479" i="12"/>
  <c r="O479" i="12"/>
  <c r="M479" i="12"/>
  <c r="J479" i="12"/>
  <c r="Q478" i="12"/>
  <c r="Q477" i="12" s="1"/>
  <c r="P478" i="12"/>
  <c r="P477" i="12" s="1"/>
  <c r="P476" i="12" s="1"/>
  <c r="P475" i="12" s="1"/>
  <c r="P474" i="12" s="1"/>
  <c r="N478" i="12"/>
  <c r="L478" i="12"/>
  <c r="K478" i="12"/>
  <c r="K477" i="12" s="1"/>
  <c r="K476" i="12" s="1"/>
  <c r="K475" i="12" s="1"/>
  <c r="K474" i="12" s="1"/>
  <c r="I478" i="12"/>
  <c r="I477" i="12" s="1"/>
  <c r="H478" i="12"/>
  <c r="N477" i="12"/>
  <c r="R473" i="12"/>
  <c r="O473" i="12"/>
  <c r="M473" i="12"/>
  <c r="J473" i="12"/>
  <c r="Q472" i="12"/>
  <c r="P472" i="12"/>
  <c r="P471" i="12" s="1"/>
  <c r="P470" i="12" s="1"/>
  <c r="N472" i="12"/>
  <c r="L472" i="12"/>
  <c r="L471" i="12" s="1"/>
  <c r="K472" i="12"/>
  <c r="K471" i="12" s="1"/>
  <c r="K470" i="12" s="1"/>
  <c r="I472" i="12"/>
  <c r="H472" i="12"/>
  <c r="H471" i="12" s="1"/>
  <c r="H470" i="12" s="1"/>
  <c r="R469" i="12"/>
  <c r="O469" i="12"/>
  <c r="L469" i="12"/>
  <c r="I469" i="12"/>
  <c r="I468" i="12" s="1"/>
  <c r="H469" i="12"/>
  <c r="H468" i="12" s="1"/>
  <c r="H467" i="12" s="1"/>
  <c r="Q468" i="12"/>
  <c r="P468" i="12"/>
  <c r="P467" i="12" s="1"/>
  <c r="N468" i="12"/>
  <c r="K468" i="12"/>
  <c r="K467" i="12" s="1"/>
  <c r="Q466" i="12"/>
  <c r="P466" i="12"/>
  <c r="P465" i="12" s="1"/>
  <c r="P464" i="12" s="1"/>
  <c r="N466" i="12"/>
  <c r="L466" i="12"/>
  <c r="K466" i="12"/>
  <c r="K465" i="12" s="1"/>
  <c r="K464" i="12" s="1"/>
  <c r="I466" i="12"/>
  <c r="H466" i="12"/>
  <c r="H465" i="12" s="1"/>
  <c r="H464" i="12" s="1"/>
  <c r="R461" i="12"/>
  <c r="O461" i="12"/>
  <c r="M461" i="12"/>
  <c r="J461" i="12"/>
  <c r="Q460" i="12"/>
  <c r="P460" i="12"/>
  <c r="N460" i="12"/>
  <c r="L460" i="12"/>
  <c r="K460" i="12"/>
  <c r="I460" i="12"/>
  <c r="H460" i="12"/>
  <c r="R459" i="12"/>
  <c r="O459" i="12"/>
  <c r="M459" i="12"/>
  <c r="J459" i="12"/>
  <c r="R458" i="12"/>
  <c r="O458" i="12"/>
  <c r="M458" i="12"/>
  <c r="J458" i="12"/>
  <c r="R457" i="12"/>
  <c r="O457" i="12"/>
  <c r="M457" i="12"/>
  <c r="J457" i="12"/>
  <c r="R456" i="12"/>
  <c r="O456" i="12"/>
  <c r="M456" i="12"/>
  <c r="J456" i="12"/>
  <c r="R455" i="12"/>
  <c r="O455" i="12"/>
  <c r="M455" i="12"/>
  <c r="J455" i="12"/>
  <c r="Q454" i="12"/>
  <c r="P454" i="12"/>
  <c r="N454" i="12"/>
  <c r="L454" i="12"/>
  <c r="K454" i="12"/>
  <c r="I454" i="12"/>
  <c r="H454" i="12"/>
  <c r="R449" i="12"/>
  <c r="O449" i="12"/>
  <c r="M449" i="12"/>
  <c r="J449" i="12"/>
  <c r="R448" i="12"/>
  <c r="O448" i="12"/>
  <c r="M448" i="12"/>
  <c r="J448" i="12"/>
  <c r="Q447" i="12"/>
  <c r="P447" i="12"/>
  <c r="P446" i="12" s="1"/>
  <c r="P445" i="12" s="1"/>
  <c r="P444" i="12" s="1"/>
  <c r="P443" i="12" s="1"/>
  <c r="N447" i="12"/>
  <c r="L447" i="12"/>
  <c r="L446" i="12" s="1"/>
  <c r="L445" i="12" s="1"/>
  <c r="K447" i="12"/>
  <c r="K446" i="12" s="1"/>
  <c r="K445" i="12" s="1"/>
  <c r="K444" i="12" s="1"/>
  <c r="K443" i="12" s="1"/>
  <c r="I447" i="12"/>
  <c r="H447" i="12"/>
  <c r="H446" i="12" s="1"/>
  <c r="H445" i="12" s="1"/>
  <c r="H444" i="12" s="1"/>
  <c r="H443" i="12" s="1"/>
  <c r="R441" i="12"/>
  <c r="O441" i="12"/>
  <c r="M441" i="12"/>
  <c r="J441" i="12"/>
  <c r="Q440" i="12"/>
  <c r="P440" i="12"/>
  <c r="P439" i="12" s="1"/>
  <c r="P438" i="12" s="1"/>
  <c r="P437" i="12" s="1"/>
  <c r="N440" i="12"/>
  <c r="N439" i="12" s="1"/>
  <c r="L440" i="12"/>
  <c r="K440" i="12"/>
  <c r="K439" i="12" s="1"/>
  <c r="K438" i="12" s="1"/>
  <c r="K437" i="12" s="1"/>
  <c r="I440" i="12"/>
  <c r="I439" i="12" s="1"/>
  <c r="H440" i="12"/>
  <c r="H439" i="12" s="1"/>
  <c r="H438" i="12" s="1"/>
  <c r="H437" i="12" s="1"/>
  <c r="O436" i="12"/>
  <c r="L436" i="12"/>
  <c r="I436" i="12"/>
  <c r="Q435" i="12"/>
  <c r="Q434" i="12" s="1"/>
  <c r="Q433" i="12" s="1"/>
  <c r="Q432" i="12" s="1"/>
  <c r="P435" i="12"/>
  <c r="P434" i="12" s="1"/>
  <c r="P433" i="12" s="1"/>
  <c r="P432" i="12" s="1"/>
  <c r="N435" i="12"/>
  <c r="L435" i="12"/>
  <c r="L434" i="12" s="1"/>
  <c r="L433" i="12" s="1"/>
  <c r="K435" i="12"/>
  <c r="K434" i="12" s="1"/>
  <c r="K433" i="12" s="1"/>
  <c r="K432" i="12" s="1"/>
  <c r="H435" i="12"/>
  <c r="H434" i="12" s="1"/>
  <c r="H433" i="12" s="1"/>
  <c r="H432" i="12" s="1"/>
  <c r="N434" i="12"/>
  <c r="O431" i="12"/>
  <c r="M431" i="12"/>
  <c r="J431" i="12"/>
  <c r="R430" i="12"/>
  <c r="O430" i="12"/>
  <c r="I430" i="12"/>
  <c r="H430" i="12"/>
  <c r="H428" i="12" s="1"/>
  <c r="H427" i="12" s="1"/>
  <c r="H426" i="12" s="1"/>
  <c r="H425" i="12" s="1"/>
  <c r="R429" i="12"/>
  <c r="O429" i="12"/>
  <c r="I429" i="12"/>
  <c r="J429" i="12" s="1"/>
  <c r="Q428" i="12"/>
  <c r="P428" i="12"/>
  <c r="P427" i="12" s="1"/>
  <c r="P426" i="12" s="1"/>
  <c r="P425" i="12" s="1"/>
  <c r="N428" i="12"/>
  <c r="L428" i="12"/>
  <c r="K428" i="12"/>
  <c r="K427" i="12" s="1"/>
  <c r="K426" i="12" s="1"/>
  <c r="K425" i="12" s="1"/>
  <c r="R423" i="12"/>
  <c r="O423" i="12"/>
  <c r="M423" i="12"/>
  <c r="J423" i="12"/>
  <c r="Q422" i="12"/>
  <c r="P422" i="12"/>
  <c r="P420" i="12" s="1"/>
  <c r="N422" i="12"/>
  <c r="N420" i="12" s="1"/>
  <c r="L422" i="12"/>
  <c r="K422" i="12"/>
  <c r="K420" i="12" s="1"/>
  <c r="I422" i="12"/>
  <c r="H422" i="12"/>
  <c r="R421" i="12"/>
  <c r="O421" i="12"/>
  <c r="L421" i="12"/>
  <c r="I421" i="12"/>
  <c r="H421" i="12"/>
  <c r="Q420" i="12"/>
  <c r="R419" i="12"/>
  <c r="O419" i="12"/>
  <c r="M419" i="12"/>
  <c r="J419" i="12"/>
  <c r="Q418" i="12"/>
  <c r="P418" i="12"/>
  <c r="N418" i="12"/>
  <c r="K418" i="12"/>
  <c r="I418" i="12"/>
  <c r="H418" i="12"/>
  <c r="Q417" i="12"/>
  <c r="P417" i="12"/>
  <c r="N417" i="12"/>
  <c r="K417" i="12"/>
  <c r="I417" i="12"/>
  <c r="H417" i="12"/>
  <c r="R416" i="12"/>
  <c r="O416" i="12"/>
  <c r="M416" i="12"/>
  <c r="J416" i="12"/>
  <c r="R415" i="12"/>
  <c r="O415" i="12"/>
  <c r="L415" i="12"/>
  <c r="I415" i="12"/>
  <c r="J415" i="12" s="1"/>
  <c r="R412" i="12"/>
  <c r="O412" i="12"/>
  <c r="M412" i="12"/>
  <c r="J412" i="12"/>
  <c r="R411" i="12"/>
  <c r="O411" i="12"/>
  <c r="M411" i="12"/>
  <c r="J411" i="12"/>
  <c r="R410" i="12"/>
  <c r="O410" i="12"/>
  <c r="M410" i="12"/>
  <c r="J410" i="12"/>
  <c r="Q409" i="12"/>
  <c r="Q408" i="12" s="1"/>
  <c r="P409" i="12"/>
  <c r="P408" i="12" s="1"/>
  <c r="N409" i="12"/>
  <c r="L409" i="12"/>
  <c r="K409" i="12"/>
  <c r="K408" i="12" s="1"/>
  <c r="I409" i="12"/>
  <c r="I408" i="12" s="1"/>
  <c r="H409" i="12"/>
  <c r="H408" i="12" s="1"/>
  <c r="M406" i="12"/>
  <c r="Q405" i="12"/>
  <c r="Q404" i="12" s="1"/>
  <c r="P405" i="12"/>
  <c r="P404" i="12" s="1"/>
  <c r="O405" i="12"/>
  <c r="O404" i="12" s="1"/>
  <c r="N405" i="12"/>
  <c r="N404" i="12" s="1"/>
  <c r="L405" i="12"/>
  <c r="K405" i="12"/>
  <c r="K404" i="12" s="1"/>
  <c r="J405" i="12"/>
  <c r="J404" i="12" s="1"/>
  <c r="I405" i="12"/>
  <c r="I404" i="12" s="1"/>
  <c r="R404" i="12"/>
  <c r="R403" i="12"/>
  <c r="O403" i="12"/>
  <c r="L403" i="12"/>
  <c r="I403" i="12"/>
  <c r="H403" i="12"/>
  <c r="H402" i="12" s="1"/>
  <c r="H401" i="12" s="1"/>
  <c r="Q402" i="12"/>
  <c r="Q401" i="12" s="1"/>
  <c r="P402" i="12"/>
  <c r="P401" i="12" s="1"/>
  <c r="N402" i="12"/>
  <c r="K402" i="12"/>
  <c r="K401" i="12" s="1"/>
  <c r="R400" i="12"/>
  <c r="O400" i="12"/>
  <c r="M400" i="12"/>
  <c r="J400" i="12"/>
  <c r="R399" i="12"/>
  <c r="O399" i="12"/>
  <c r="M399" i="12"/>
  <c r="J399" i="12"/>
  <c r="R398" i="12"/>
  <c r="O398" i="12"/>
  <c r="L398" i="12"/>
  <c r="L397" i="12" s="1"/>
  <c r="I398" i="12"/>
  <c r="H398" i="12"/>
  <c r="H397" i="12" s="1"/>
  <c r="Q397" i="12"/>
  <c r="P397" i="12"/>
  <c r="N397" i="12"/>
  <c r="K397" i="12"/>
  <c r="R396" i="12"/>
  <c r="O396" i="12"/>
  <c r="I396" i="12"/>
  <c r="H396" i="12"/>
  <c r="R395" i="12"/>
  <c r="N395" i="12"/>
  <c r="L395" i="12"/>
  <c r="K395" i="12"/>
  <c r="K393" i="12" s="1"/>
  <c r="I395" i="12"/>
  <c r="H395" i="12"/>
  <c r="R394" i="12"/>
  <c r="O394" i="12"/>
  <c r="L394" i="12"/>
  <c r="I394" i="12"/>
  <c r="H394" i="12"/>
  <c r="Q393" i="12"/>
  <c r="P393" i="12"/>
  <c r="N393" i="12"/>
  <c r="R392" i="12"/>
  <c r="O392" i="12"/>
  <c r="L392" i="12"/>
  <c r="I392" i="12"/>
  <c r="R391" i="12"/>
  <c r="O391" i="12"/>
  <c r="L391" i="12"/>
  <c r="I391" i="12"/>
  <c r="J391" i="12" s="1"/>
  <c r="Q390" i="12"/>
  <c r="P390" i="12"/>
  <c r="N390" i="12"/>
  <c r="K390" i="12"/>
  <c r="H390" i="12"/>
  <c r="R389" i="12"/>
  <c r="O389" i="12"/>
  <c r="L389" i="12"/>
  <c r="L388" i="12" s="1"/>
  <c r="I389" i="12"/>
  <c r="Q388" i="12"/>
  <c r="P388" i="12"/>
  <c r="N388" i="12"/>
  <c r="K388" i="12"/>
  <c r="H388" i="12"/>
  <c r="R382" i="12"/>
  <c r="O382" i="12"/>
  <c r="M382" i="12"/>
  <c r="J382" i="12"/>
  <c r="R381" i="12"/>
  <c r="O381" i="12"/>
  <c r="M381" i="12"/>
  <c r="J381" i="12"/>
  <c r="Q380" i="12"/>
  <c r="P380" i="12"/>
  <c r="P379" i="12" s="1"/>
  <c r="P378" i="12" s="1"/>
  <c r="N380" i="12"/>
  <c r="N379" i="12" s="1"/>
  <c r="N378" i="12" s="1"/>
  <c r="L380" i="12"/>
  <c r="L379" i="12" s="1"/>
  <c r="K380" i="12"/>
  <c r="I380" i="12"/>
  <c r="H380" i="12"/>
  <c r="H379" i="12" s="1"/>
  <c r="H378" i="12" s="1"/>
  <c r="R377" i="12"/>
  <c r="O377" i="12"/>
  <c r="M377" i="12"/>
  <c r="J377" i="12"/>
  <c r="Q376" i="12"/>
  <c r="P376" i="12"/>
  <c r="P375" i="12" s="1"/>
  <c r="P374" i="12" s="1"/>
  <c r="N376" i="12"/>
  <c r="L376" i="12"/>
  <c r="L375" i="12" s="1"/>
  <c r="K376" i="12"/>
  <c r="K375" i="12" s="1"/>
  <c r="K374" i="12" s="1"/>
  <c r="I376" i="12"/>
  <c r="I375" i="12" s="1"/>
  <c r="H376" i="12"/>
  <c r="H375" i="12" s="1"/>
  <c r="H374" i="12" s="1"/>
  <c r="R371" i="12"/>
  <c r="O371" i="12"/>
  <c r="M371" i="12"/>
  <c r="J371" i="12"/>
  <c r="Q370" i="12"/>
  <c r="P370" i="12"/>
  <c r="P369" i="12" s="1"/>
  <c r="P368" i="12" s="1"/>
  <c r="P367" i="12" s="1"/>
  <c r="P366" i="12" s="1"/>
  <c r="N370" i="12"/>
  <c r="N369" i="12" s="1"/>
  <c r="L370" i="12"/>
  <c r="L369" i="12" s="1"/>
  <c r="K370" i="12"/>
  <c r="K369" i="12" s="1"/>
  <c r="K368" i="12" s="1"/>
  <c r="K367" i="12" s="1"/>
  <c r="K366" i="12" s="1"/>
  <c r="I370" i="12"/>
  <c r="H370" i="12"/>
  <c r="H369" i="12" s="1"/>
  <c r="H368" i="12" s="1"/>
  <c r="H367" i="12" s="1"/>
  <c r="H366" i="12" s="1"/>
  <c r="R365" i="12"/>
  <c r="O365" i="12"/>
  <c r="L365" i="12"/>
  <c r="I365" i="12"/>
  <c r="I363" i="12" s="1"/>
  <c r="H365" i="12"/>
  <c r="H363" i="12" s="1"/>
  <c r="H362" i="12" s="1"/>
  <c r="H361" i="12" s="1"/>
  <c r="H360" i="12" s="1"/>
  <c r="H359" i="12" s="1"/>
  <c r="R364" i="12"/>
  <c r="O364" i="12"/>
  <c r="M364" i="12"/>
  <c r="J364" i="12"/>
  <c r="Q363" i="12"/>
  <c r="P363" i="12"/>
  <c r="P362" i="12" s="1"/>
  <c r="P361" i="12" s="1"/>
  <c r="P360" i="12" s="1"/>
  <c r="P359" i="12" s="1"/>
  <c r="N363" i="12"/>
  <c r="K363" i="12"/>
  <c r="K362" i="12" s="1"/>
  <c r="K361" i="12" s="1"/>
  <c r="K360" i="12" s="1"/>
  <c r="K359" i="12" s="1"/>
  <c r="R357" i="12"/>
  <c r="O357" i="12"/>
  <c r="M357" i="12"/>
  <c r="J357" i="12"/>
  <c r="Q356" i="12"/>
  <c r="P356" i="12"/>
  <c r="P355" i="12" s="1"/>
  <c r="N356" i="12"/>
  <c r="N355" i="12" s="1"/>
  <c r="L356" i="12"/>
  <c r="K356" i="12"/>
  <c r="I356" i="12"/>
  <c r="H356" i="12"/>
  <c r="H355" i="12" s="1"/>
  <c r="R354" i="12"/>
  <c r="O354" i="12"/>
  <c r="M354" i="12"/>
  <c r="J354" i="12"/>
  <c r="Q353" i="12"/>
  <c r="P353" i="12"/>
  <c r="P351" i="12" s="1"/>
  <c r="P350" i="12" s="1"/>
  <c r="N353" i="12"/>
  <c r="L353" i="12"/>
  <c r="K353" i="12"/>
  <c r="K351" i="12" s="1"/>
  <c r="I353" i="12"/>
  <c r="H353" i="12"/>
  <c r="H351" i="12" s="1"/>
  <c r="H350" i="12" s="1"/>
  <c r="R352" i="12"/>
  <c r="O352" i="12"/>
  <c r="M352" i="12"/>
  <c r="J352" i="12"/>
  <c r="L351" i="12"/>
  <c r="K350" i="12"/>
  <c r="R348" i="12"/>
  <c r="O348" i="12"/>
  <c r="M348" i="12"/>
  <c r="J348" i="12"/>
  <c r="R347" i="12"/>
  <c r="O347" i="12"/>
  <c r="L347" i="12"/>
  <c r="I347" i="12"/>
  <c r="H347" i="12"/>
  <c r="H346" i="12" s="1"/>
  <c r="H345" i="12" s="1"/>
  <c r="Q346" i="12"/>
  <c r="Q345" i="12" s="1"/>
  <c r="P346" i="12"/>
  <c r="P345" i="12" s="1"/>
  <c r="N346" i="12"/>
  <c r="K346" i="12"/>
  <c r="K345" i="12" s="1"/>
  <c r="R344" i="12"/>
  <c r="O344" i="12"/>
  <c r="L344" i="12"/>
  <c r="L343" i="12" s="1"/>
  <c r="I344" i="12"/>
  <c r="I343" i="12" s="1"/>
  <c r="H344" i="12"/>
  <c r="H343" i="12" s="1"/>
  <c r="H342" i="12" s="1"/>
  <c r="Q343" i="12"/>
  <c r="P343" i="12"/>
  <c r="P342" i="12" s="1"/>
  <c r="N343" i="12"/>
  <c r="N342" i="12" s="1"/>
  <c r="K343" i="12"/>
  <c r="K342" i="12" s="1"/>
  <c r="R337" i="12"/>
  <c r="O337" i="12"/>
  <c r="L337" i="12"/>
  <c r="L336" i="12" s="1"/>
  <c r="L335" i="12" s="1"/>
  <c r="L334" i="12" s="1"/>
  <c r="L333" i="12" s="1"/>
  <c r="I337" i="12"/>
  <c r="Q336" i="12"/>
  <c r="P336" i="12"/>
  <c r="P335" i="12" s="1"/>
  <c r="P334" i="12" s="1"/>
  <c r="P333" i="12" s="1"/>
  <c r="N336" i="12"/>
  <c r="N335" i="12" s="1"/>
  <c r="K336" i="12"/>
  <c r="K335" i="12" s="1"/>
  <c r="K334" i="12" s="1"/>
  <c r="K333" i="12" s="1"/>
  <c r="H336" i="12"/>
  <c r="H335" i="12" s="1"/>
  <c r="H334" i="12" s="1"/>
  <c r="H333" i="12" s="1"/>
  <c r="R332" i="12"/>
  <c r="O332" i="12"/>
  <c r="M332" i="12"/>
  <c r="J332" i="12"/>
  <c r="Q331" i="12"/>
  <c r="P331" i="12"/>
  <c r="N331" i="12"/>
  <c r="L331" i="12"/>
  <c r="K331" i="12"/>
  <c r="I331" i="12"/>
  <c r="H331" i="12"/>
  <c r="Q330" i="12"/>
  <c r="P330" i="12"/>
  <c r="P329" i="12" s="1"/>
  <c r="O330" i="12"/>
  <c r="I330" i="12"/>
  <c r="J330" i="12" s="1"/>
  <c r="N329" i="12"/>
  <c r="L329" i="12"/>
  <c r="K329" i="12"/>
  <c r="H329" i="12"/>
  <c r="R325" i="12"/>
  <c r="O325" i="12"/>
  <c r="L325" i="12"/>
  <c r="L324" i="12" s="1"/>
  <c r="I325" i="12"/>
  <c r="I324" i="12" s="1"/>
  <c r="I323" i="12" s="1"/>
  <c r="Q324" i="12"/>
  <c r="Q323" i="12" s="1"/>
  <c r="P324" i="12"/>
  <c r="P323" i="12" s="1"/>
  <c r="N324" i="12"/>
  <c r="K324" i="12"/>
  <c r="K323" i="12" s="1"/>
  <c r="H324" i="12"/>
  <c r="H323" i="12" s="1"/>
  <c r="R322" i="12"/>
  <c r="O322" i="12"/>
  <c r="M322" i="12"/>
  <c r="J322" i="12"/>
  <c r="Q321" i="12"/>
  <c r="Q320" i="12" s="1"/>
  <c r="P321" i="12"/>
  <c r="P320" i="12" s="1"/>
  <c r="P319" i="12" s="1"/>
  <c r="N321" i="12"/>
  <c r="L321" i="12"/>
  <c r="L320" i="12" s="1"/>
  <c r="L319" i="12" s="1"/>
  <c r="K321" i="12"/>
  <c r="K320" i="12" s="1"/>
  <c r="K319" i="12" s="1"/>
  <c r="I321" i="12"/>
  <c r="H321" i="12"/>
  <c r="H320" i="12" s="1"/>
  <c r="H319" i="12" s="1"/>
  <c r="H318" i="12" s="1"/>
  <c r="Q317" i="12"/>
  <c r="P317" i="12"/>
  <c r="P316" i="12" s="1"/>
  <c r="N317" i="12"/>
  <c r="N316" i="12" s="1"/>
  <c r="L317" i="12"/>
  <c r="L316" i="12" s="1"/>
  <c r="K317" i="12"/>
  <c r="K316" i="12" s="1"/>
  <c r="I317" i="12"/>
  <c r="H317" i="12"/>
  <c r="H316" i="12" s="1"/>
  <c r="R315" i="12"/>
  <c r="O315" i="12"/>
  <c r="L315" i="12"/>
  <c r="L314" i="12" s="1"/>
  <c r="I315" i="12"/>
  <c r="I314" i="12" s="1"/>
  <c r="Q314" i="12"/>
  <c r="P314" i="12"/>
  <c r="N314" i="12"/>
  <c r="K314" i="12"/>
  <c r="H314" i="12"/>
  <c r="R313" i="12"/>
  <c r="O313" i="12"/>
  <c r="M313" i="12"/>
  <c r="J313" i="12"/>
  <c r="Q312" i="12"/>
  <c r="P312" i="12"/>
  <c r="N312" i="12"/>
  <c r="L312" i="12"/>
  <c r="K312" i="12"/>
  <c r="I312" i="12"/>
  <c r="H312" i="12"/>
  <c r="J312" i="12" s="1"/>
  <c r="R311" i="12"/>
  <c r="O311" i="12"/>
  <c r="J311" i="12"/>
  <c r="Q310" i="12"/>
  <c r="P310" i="12"/>
  <c r="N310" i="12"/>
  <c r="L310" i="12"/>
  <c r="K310" i="12"/>
  <c r="I310" i="12"/>
  <c r="H310" i="12"/>
  <c r="R309" i="12"/>
  <c r="O309" i="12"/>
  <c r="L309" i="12"/>
  <c r="L308" i="12" s="1"/>
  <c r="I309" i="12"/>
  <c r="I308" i="12" s="1"/>
  <c r="Q308" i="12"/>
  <c r="P308" i="12"/>
  <c r="N308" i="12"/>
  <c r="K308" i="12"/>
  <c r="H308" i="12"/>
  <c r="R306" i="12"/>
  <c r="O306" i="12"/>
  <c r="L306" i="12"/>
  <c r="L305" i="12" s="1"/>
  <c r="L304" i="12" s="1"/>
  <c r="I306" i="12"/>
  <c r="H306" i="12"/>
  <c r="H305" i="12" s="1"/>
  <c r="H304" i="12" s="1"/>
  <c r="Q305" i="12"/>
  <c r="P305" i="12"/>
  <c r="P304" i="12" s="1"/>
  <c r="N305" i="12"/>
  <c r="N304" i="12" s="1"/>
  <c r="K305" i="12"/>
  <c r="R303" i="12"/>
  <c r="O303" i="12"/>
  <c r="L303" i="12"/>
  <c r="I303" i="12"/>
  <c r="I302" i="12" s="1"/>
  <c r="H303" i="12"/>
  <c r="H302" i="12" s="1"/>
  <c r="Q302" i="12"/>
  <c r="P302" i="12"/>
  <c r="P299" i="12" s="1"/>
  <c r="N302" i="12"/>
  <c r="K302" i="12"/>
  <c r="K299" i="12" s="1"/>
  <c r="R301" i="12"/>
  <c r="O301" i="12"/>
  <c r="L301" i="12"/>
  <c r="L300" i="12" s="1"/>
  <c r="I301" i="12"/>
  <c r="H301" i="12"/>
  <c r="H300" i="12" s="1"/>
  <c r="Q300" i="12"/>
  <c r="P300" i="12"/>
  <c r="N300" i="12"/>
  <c r="K300" i="12"/>
  <c r="R297" i="12"/>
  <c r="O297" i="12"/>
  <c r="L297" i="12"/>
  <c r="L296" i="12" s="1"/>
  <c r="I297" i="12"/>
  <c r="H297" i="12"/>
  <c r="H296" i="12" s="1"/>
  <c r="Q296" i="12"/>
  <c r="P296" i="12"/>
  <c r="N296" i="12"/>
  <c r="K296" i="12"/>
  <c r="Q295" i="12"/>
  <c r="P295" i="12"/>
  <c r="P294" i="12" s="1"/>
  <c r="N295" i="12"/>
  <c r="L295" i="12"/>
  <c r="L294" i="12" s="1"/>
  <c r="K295" i="12"/>
  <c r="K294" i="12" s="1"/>
  <c r="I295" i="12"/>
  <c r="H295" i="12"/>
  <c r="H294" i="12" s="1"/>
  <c r="N294" i="12"/>
  <c r="I294" i="12"/>
  <c r="R289" i="12"/>
  <c r="O289" i="12"/>
  <c r="L289" i="12"/>
  <c r="L288" i="12" s="1"/>
  <c r="I289" i="12"/>
  <c r="H289" i="12"/>
  <c r="H288" i="12" s="1"/>
  <c r="H287" i="12" s="1"/>
  <c r="H286" i="12" s="1"/>
  <c r="H285" i="12" s="1"/>
  <c r="Q288" i="12"/>
  <c r="P288" i="12"/>
  <c r="P287" i="12" s="1"/>
  <c r="P286" i="12" s="1"/>
  <c r="N288" i="12"/>
  <c r="N287" i="12" s="1"/>
  <c r="N286" i="12" s="1"/>
  <c r="K288" i="12"/>
  <c r="K287" i="12" s="1"/>
  <c r="K286" i="12" s="1"/>
  <c r="K285" i="12" s="1"/>
  <c r="Q287" i="12"/>
  <c r="Q286" i="12" s="1"/>
  <c r="Q285" i="12" s="1"/>
  <c r="R284" i="12"/>
  <c r="O284" i="12"/>
  <c r="M284" i="12"/>
  <c r="J284" i="12"/>
  <c r="Q283" i="12"/>
  <c r="P283" i="12"/>
  <c r="R283" i="12" s="1"/>
  <c r="N283" i="12"/>
  <c r="L283" i="12"/>
  <c r="K283" i="12"/>
  <c r="I283" i="12"/>
  <c r="H283" i="12"/>
  <c r="R282" i="12"/>
  <c r="O282" i="12"/>
  <c r="L282" i="12"/>
  <c r="L281" i="12" s="1"/>
  <c r="I282" i="12"/>
  <c r="I281" i="12" s="1"/>
  <c r="H282" i="12"/>
  <c r="H281" i="12" s="1"/>
  <c r="Q281" i="12"/>
  <c r="P281" i="12"/>
  <c r="N281" i="12"/>
  <c r="K281" i="12"/>
  <c r="R280" i="12"/>
  <c r="O280" i="12"/>
  <c r="M280" i="12"/>
  <c r="J280" i="12"/>
  <c r="Q279" i="12"/>
  <c r="P279" i="12"/>
  <c r="P278" i="12" s="1"/>
  <c r="N279" i="12"/>
  <c r="N278" i="12" s="1"/>
  <c r="K279" i="12"/>
  <c r="I279" i="12"/>
  <c r="H279" i="12"/>
  <c r="H278" i="12" s="1"/>
  <c r="L278" i="12"/>
  <c r="Q275" i="12"/>
  <c r="P275" i="12"/>
  <c r="P274" i="12" s="1"/>
  <c r="P273" i="12" s="1"/>
  <c r="N275" i="12"/>
  <c r="N274" i="12" s="1"/>
  <c r="K275" i="12"/>
  <c r="I275" i="12"/>
  <c r="H275" i="12"/>
  <c r="H274" i="12" s="1"/>
  <c r="H273" i="12" s="1"/>
  <c r="R272" i="12"/>
  <c r="O272" i="12"/>
  <c r="M272" i="12"/>
  <c r="J272" i="12"/>
  <c r="Q271" i="12"/>
  <c r="P271" i="12"/>
  <c r="N271" i="12"/>
  <c r="L271" i="12"/>
  <c r="K271" i="12"/>
  <c r="I271" i="12"/>
  <c r="H271" i="12"/>
  <c r="R270" i="12"/>
  <c r="O270" i="12"/>
  <c r="L270" i="12"/>
  <c r="L269" i="12" s="1"/>
  <c r="L268" i="12" s="1"/>
  <c r="I270" i="12"/>
  <c r="J270" i="12" s="1"/>
  <c r="Q269" i="12"/>
  <c r="Q268" i="12" s="1"/>
  <c r="P269" i="12"/>
  <c r="P268" i="12" s="1"/>
  <c r="N269" i="12"/>
  <c r="N268" i="12" s="1"/>
  <c r="K269" i="12"/>
  <c r="K268" i="12" s="1"/>
  <c r="H269" i="12"/>
  <c r="H268" i="12" s="1"/>
  <c r="R267" i="12"/>
  <c r="O267" i="12"/>
  <c r="L266" i="12"/>
  <c r="L265" i="12" s="1"/>
  <c r="I267" i="12"/>
  <c r="Q266" i="12"/>
  <c r="Q265" i="12" s="1"/>
  <c r="P266" i="12"/>
  <c r="P265" i="12" s="1"/>
  <c r="N266" i="12"/>
  <c r="N265" i="12" s="1"/>
  <c r="K266" i="12"/>
  <c r="K265" i="12" s="1"/>
  <c r="H266" i="12"/>
  <c r="H265" i="12" s="1"/>
  <c r="R264" i="12"/>
  <c r="O264" i="12"/>
  <c r="M264" i="12"/>
  <c r="J264" i="12"/>
  <c r="Q263" i="12"/>
  <c r="P263" i="12"/>
  <c r="N263" i="12"/>
  <c r="L263" i="12"/>
  <c r="M263" i="12" s="1"/>
  <c r="K263" i="12"/>
  <c r="I263" i="12"/>
  <c r="H263" i="12"/>
  <c r="R262" i="12"/>
  <c r="O262" i="12"/>
  <c r="I262" i="12"/>
  <c r="I260" i="12" s="1"/>
  <c r="H262" i="12"/>
  <c r="H260" i="12" s="1"/>
  <c r="R261" i="12"/>
  <c r="O261" i="12"/>
  <c r="M261" i="12"/>
  <c r="J261" i="12"/>
  <c r="Q260" i="12"/>
  <c r="P260" i="12"/>
  <c r="N260" i="12"/>
  <c r="K260" i="12"/>
  <c r="R259" i="12"/>
  <c r="O259" i="12"/>
  <c r="L259" i="12"/>
  <c r="L257" i="12" s="1"/>
  <c r="I259" i="12"/>
  <c r="H259" i="12"/>
  <c r="H257" i="12" s="1"/>
  <c r="R258" i="12"/>
  <c r="O258" i="12"/>
  <c r="M258" i="12"/>
  <c r="J258" i="12"/>
  <c r="Q257" i="12"/>
  <c r="P257" i="12"/>
  <c r="N257" i="12"/>
  <c r="K257" i="12"/>
  <c r="R252" i="12"/>
  <c r="O252" i="12"/>
  <c r="L251" i="12"/>
  <c r="I252" i="12"/>
  <c r="H252" i="12"/>
  <c r="Q251" i="12"/>
  <c r="Q250" i="12" s="1"/>
  <c r="P251" i="12"/>
  <c r="P250" i="12" s="1"/>
  <c r="N251" i="12"/>
  <c r="K251" i="12"/>
  <c r="K250" i="12" s="1"/>
  <c r="H251" i="12"/>
  <c r="H250" i="12" s="1"/>
  <c r="Q249" i="12"/>
  <c r="Q248" i="12" s="1"/>
  <c r="P249" i="12"/>
  <c r="P248" i="12" s="1"/>
  <c r="P247" i="12" s="1"/>
  <c r="N249" i="12"/>
  <c r="L249" i="12"/>
  <c r="K249" i="12"/>
  <c r="K248" i="12" s="1"/>
  <c r="K247" i="12" s="1"/>
  <c r="I249" i="12"/>
  <c r="H249" i="12"/>
  <c r="H248" i="12" s="1"/>
  <c r="H247" i="12" s="1"/>
  <c r="Q245" i="12"/>
  <c r="Q244" i="12" s="1"/>
  <c r="P245" i="12"/>
  <c r="N245" i="12"/>
  <c r="L245" i="12"/>
  <c r="K245" i="12"/>
  <c r="K244" i="12" s="1"/>
  <c r="I245" i="12"/>
  <c r="I244" i="12" s="1"/>
  <c r="H245" i="12"/>
  <c r="H244" i="12" s="1"/>
  <c r="Q243" i="12"/>
  <c r="Q242" i="12" s="1"/>
  <c r="P243" i="12"/>
  <c r="P242" i="12" s="1"/>
  <c r="N243" i="12"/>
  <c r="L243" i="12"/>
  <c r="K243" i="12"/>
  <c r="K242" i="12" s="1"/>
  <c r="I243" i="12"/>
  <c r="I242" i="12" s="1"/>
  <c r="H243" i="12"/>
  <c r="R238" i="12"/>
  <c r="O238" i="12"/>
  <c r="M238" i="12"/>
  <c r="J238" i="12"/>
  <c r="Q237" i="12"/>
  <c r="P237" i="12"/>
  <c r="P236" i="12" s="1"/>
  <c r="P235" i="12" s="1"/>
  <c r="N237" i="12"/>
  <c r="N236" i="12" s="1"/>
  <c r="N235" i="12" s="1"/>
  <c r="L237" i="12"/>
  <c r="K237" i="12"/>
  <c r="I237" i="12"/>
  <c r="H237" i="12"/>
  <c r="H236" i="12" s="1"/>
  <c r="H235" i="12" s="1"/>
  <c r="L236" i="12"/>
  <c r="Q232" i="12"/>
  <c r="Q231" i="12" s="1"/>
  <c r="P232" i="12"/>
  <c r="P231" i="12" s="1"/>
  <c r="N232" i="12"/>
  <c r="L232" i="12"/>
  <c r="K232" i="12"/>
  <c r="K231" i="12" s="1"/>
  <c r="I232" i="12"/>
  <c r="H232" i="12"/>
  <c r="H231" i="12" s="1"/>
  <c r="Q230" i="12"/>
  <c r="P230" i="12"/>
  <c r="P229" i="12" s="1"/>
  <c r="N230" i="12"/>
  <c r="L230" i="12"/>
  <c r="L229" i="12" s="1"/>
  <c r="K230" i="12"/>
  <c r="K229" i="12" s="1"/>
  <c r="I230" i="12"/>
  <c r="H230" i="12"/>
  <c r="H229" i="12" s="1"/>
  <c r="R228" i="12"/>
  <c r="O228" i="12"/>
  <c r="M228" i="12"/>
  <c r="J228" i="12"/>
  <c r="Q227" i="12"/>
  <c r="P227" i="12"/>
  <c r="N227" i="12"/>
  <c r="L227" i="12"/>
  <c r="K227" i="12"/>
  <c r="I227" i="12"/>
  <c r="H227" i="12"/>
  <c r="M226" i="12"/>
  <c r="Q225" i="12"/>
  <c r="P225" i="12"/>
  <c r="O225" i="12"/>
  <c r="N225" i="12"/>
  <c r="L225" i="12"/>
  <c r="K225" i="12"/>
  <c r="J225" i="12"/>
  <c r="I225" i="12"/>
  <c r="Q222" i="12"/>
  <c r="N222" i="12"/>
  <c r="O222" i="12" s="1"/>
  <c r="L222" i="12"/>
  <c r="I222" i="12"/>
  <c r="J222" i="12" s="1"/>
  <c r="P221" i="12"/>
  <c r="N221" i="12"/>
  <c r="K221" i="12"/>
  <c r="I221" i="12"/>
  <c r="H221" i="12"/>
  <c r="R220" i="12"/>
  <c r="O220" i="12"/>
  <c r="M220" i="12"/>
  <c r="J220" i="12"/>
  <c r="Q219" i="12"/>
  <c r="P219" i="12"/>
  <c r="N219" i="12"/>
  <c r="L219" i="12"/>
  <c r="K219" i="12"/>
  <c r="I219" i="12"/>
  <c r="H219" i="12"/>
  <c r="R214" i="12"/>
  <c r="O214" i="12"/>
  <c r="L214" i="12"/>
  <c r="I214" i="12"/>
  <c r="H214" i="12"/>
  <c r="H213" i="12" s="1"/>
  <c r="H212" i="12" s="1"/>
  <c r="H211" i="12" s="1"/>
  <c r="H210" i="12" s="1"/>
  <c r="Q213" i="12"/>
  <c r="P213" i="12"/>
  <c r="P212" i="12" s="1"/>
  <c r="P211" i="12" s="1"/>
  <c r="P210" i="12" s="1"/>
  <c r="N213" i="12"/>
  <c r="K213" i="12"/>
  <c r="K212" i="12" s="1"/>
  <c r="K211" i="12" s="1"/>
  <c r="K210" i="12" s="1"/>
  <c r="Q212" i="12"/>
  <c r="Q211" i="12" s="1"/>
  <c r="Q210" i="12" s="1"/>
  <c r="R209" i="12"/>
  <c r="O209" i="12"/>
  <c r="M209" i="12"/>
  <c r="J209" i="12"/>
  <c r="Q208" i="12"/>
  <c r="Q207" i="12" s="1"/>
  <c r="P208" i="12"/>
  <c r="P207" i="12" s="1"/>
  <c r="N208" i="12"/>
  <c r="L208" i="12"/>
  <c r="K208" i="12"/>
  <c r="K207" i="12" s="1"/>
  <c r="I208" i="12"/>
  <c r="I207" i="12" s="1"/>
  <c r="H208" i="12"/>
  <c r="R206" i="12"/>
  <c r="O206" i="12"/>
  <c r="L206" i="12"/>
  <c r="L205" i="12" s="1"/>
  <c r="I206" i="12"/>
  <c r="H206" i="12"/>
  <c r="H205" i="12" s="1"/>
  <c r="H204" i="12" s="1"/>
  <c r="Q205" i="12"/>
  <c r="P205" i="12"/>
  <c r="P204" i="12" s="1"/>
  <c r="P203" i="12" s="1"/>
  <c r="N205" i="12"/>
  <c r="N204" i="12" s="1"/>
  <c r="K205" i="12"/>
  <c r="R202" i="12"/>
  <c r="O202" i="12"/>
  <c r="M202" i="12"/>
  <c r="J202" i="12"/>
  <c r="Q201" i="12"/>
  <c r="P201" i="12"/>
  <c r="N201" i="12"/>
  <c r="L201" i="12"/>
  <c r="K201" i="12"/>
  <c r="I201" i="12"/>
  <c r="H201" i="12"/>
  <c r="Q200" i="12"/>
  <c r="P200" i="12"/>
  <c r="P199" i="12" s="1"/>
  <c r="N200" i="12"/>
  <c r="L200" i="12"/>
  <c r="L199" i="12" s="1"/>
  <c r="K200" i="12"/>
  <c r="I200" i="12"/>
  <c r="H200" i="12"/>
  <c r="H199" i="12" s="1"/>
  <c r="N199" i="12"/>
  <c r="Q194" i="12"/>
  <c r="P194" i="12"/>
  <c r="P193" i="12" s="1"/>
  <c r="P192" i="12" s="1"/>
  <c r="N194" i="12"/>
  <c r="N193" i="12" s="1"/>
  <c r="L194" i="12"/>
  <c r="L193" i="12" s="1"/>
  <c r="K194" i="12"/>
  <c r="K193" i="12" s="1"/>
  <c r="K192" i="12" s="1"/>
  <c r="I194" i="12"/>
  <c r="I193" i="12" s="1"/>
  <c r="I192" i="12" s="1"/>
  <c r="H194" i="12"/>
  <c r="H193" i="12" s="1"/>
  <c r="H192" i="12" s="1"/>
  <c r="Q191" i="12"/>
  <c r="Q190" i="12" s="1"/>
  <c r="P191" i="12"/>
  <c r="P190" i="12" s="1"/>
  <c r="P189" i="12" s="1"/>
  <c r="N191" i="12"/>
  <c r="L191" i="12"/>
  <c r="K191" i="12"/>
  <c r="K190" i="12" s="1"/>
  <c r="K189" i="12" s="1"/>
  <c r="I191" i="12"/>
  <c r="H191" i="12"/>
  <c r="H190" i="12" s="1"/>
  <c r="H189" i="12" s="1"/>
  <c r="R185" i="12"/>
  <c r="O185" i="12"/>
  <c r="L185" i="12"/>
  <c r="I185" i="12"/>
  <c r="I184" i="12" s="1"/>
  <c r="I183" i="12" s="1"/>
  <c r="Q184" i="12"/>
  <c r="Q183" i="12" s="1"/>
  <c r="Q182" i="12" s="1"/>
  <c r="P184" i="12"/>
  <c r="N184" i="12"/>
  <c r="N183" i="12" s="1"/>
  <c r="K184" i="12"/>
  <c r="K183" i="12" s="1"/>
  <c r="K182" i="12" s="1"/>
  <c r="K181" i="12" s="1"/>
  <c r="K180" i="12" s="1"/>
  <c r="H184" i="12"/>
  <c r="H183" i="12" s="1"/>
  <c r="H182" i="12" s="1"/>
  <c r="H181" i="12" s="1"/>
  <c r="H180" i="12" s="1"/>
  <c r="Q178" i="12"/>
  <c r="P178" i="12"/>
  <c r="P176" i="12" s="1"/>
  <c r="N178" i="12"/>
  <c r="L178" i="12"/>
  <c r="K178" i="12"/>
  <c r="K176" i="12" s="1"/>
  <c r="I178" i="12"/>
  <c r="H178" i="12"/>
  <c r="H176" i="12" s="1"/>
  <c r="R177" i="12"/>
  <c r="O177" i="12"/>
  <c r="M177" i="12"/>
  <c r="J177" i="12"/>
  <c r="L176" i="12"/>
  <c r="R175" i="12"/>
  <c r="O175" i="12"/>
  <c r="M175" i="12"/>
  <c r="J175" i="12"/>
  <c r="Q174" i="12"/>
  <c r="P174" i="12"/>
  <c r="N174" i="12"/>
  <c r="L174" i="12"/>
  <c r="K174" i="12"/>
  <c r="I174" i="12"/>
  <c r="H174" i="12"/>
  <c r="R173" i="12"/>
  <c r="O173" i="12"/>
  <c r="M173" i="12"/>
  <c r="J173" i="12"/>
  <c r="Q172" i="12"/>
  <c r="P172" i="12"/>
  <c r="N172" i="12"/>
  <c r="L172" i="12"/>
  <c r="K172" i="12"/>
  <c r="I172" i="12"/>
  <c r="H172" i="12"/>
  <c r="R169" i="12"/>
  <c r="O169" i="12"/>
  <c r="M169" i="12"/>
  <c r="J169" i="12"/>
  <c r="Q168" i="12"/>
  <c r="P168" i="12"/>
  <c r="P167" i="12" s="1"/>
  <c r="N168" i="12"/>
  <c r="N167" i="12" s="1"/>
  <c r="L168" i="12"/>
  <c r="K168" i="12"/>
  <c r="K167" i="12" s="1"/>
  <c r="I168" i="12"/>
  <c r="H168" i="12"/>
  <c r="H167" i="12" s="1"/>
  <c r="R166" i="12"/>
  <c r="O166" i="12"/>
  <c r="L166" i="12"/>
  <c r="I166" i="12"/>
  <c r="H166" i="12"/>
  <c r="H165" i="12" s="1"/>
  <c r="Q165" i="12"/>
  <c r="P165" i="12"/>
  <c r="N165" i="12"/>
  <c r="K165" i="12"/>
  <c r="Q164" i="12"/>
  <c r="P164" i="12"/>
  <c r="P163" i="12" s="1"/>
  <c r="N164" i="12"/>
  <c r="N163" i="12" s="1"/>
  <c r="L164" i="12"/>
  <c r="K164" i="12"/>
  <c r="K163" i="12" s="1"/>
  <c r="I164" i="12"/>
  <c r="H164" i="12"/>
  <c r="H163" i="12" s="1"/>
  <c r="R158" i="12"/>
  <c r="O158" i="12"/>
  <c r="M158" i="12"/>
  <c r="J158" i="12"/>
  <c r="Q157" i="12"/>
  <c r="P157" i="12"/>
  <c r="P156" i="12" s="1"/>
  <c r="P155" i="12" s="1"/>
  <c r="N157" i="12"/>
  <c r="L157" i="12"/>
  <c r="L156" i="12" s="1"/>
  <c r="K157" i="12"/>
  <c r="K156" i="12" s="1"/>
  <c r="K155" i="12" s="1"/>
  <c r="I157" i="12"/>
  <c r="H157" i="12"/>
  <c r="H156" i="12" s="1"/>
  <c r="H155" i="12" s="1"/>
  <c r="R154" i="12"/>
  <c r="O154" i="12"/>
  <c r="M154" i="12"/>
  <c r="J154" i="12"/>
  <c r="Q153" i="12"/>
  <c r="R153" i="12" s="1"/>
  <c r="P153" i="12"/>
  <c r="N153" i="12"/>
  <c r="L153" i="12"/>
  <c r="K153" i="12"/>
  <c r="I153" i="12"/>
  <c r="H153" i="12"/>
  <c r="R152" i="12"/>
  <c r="O152" i="12"/>
  <c r="M152" i="12"/>
  <c r="J152" i="12"/>
  <c r="Q151" i="12"/>
  <c r="P151" i="12"/>
  <c r="N151" i="12"/>
  <c r="L151" i="12"/>
  <c r="K151" i="12"/>
  <c r="I151" i="12"/>
  <c r="H151" i="12"/>
  <c r="R150" i="12"/>
  <c r="O150" i="12"/>
  <c r="M150" i="12"/>
  <c r="J150" i="12"/>
  <c r="Q149" i="12"/>
  <c r="P149" i="12"/>
  <c r="N149" i="12"/>
  <c r="L149" i="12"/>
  <c r="K149" i="12"/>
  <c r="I149" i="12"/>
  <c r="H149" i="12"/>
  <c r="R148" i="12"/>
  <c r="O148" i="12"/>
  <c r="M148" i="12"/>
  <c r="J148" i="12"/>
  <c r="Q147" i="12"/>
  <c r="P147" i="12"/>
  <c r="N147" i="12"/>
  <c r="O147" i="12" s="1"/>
  <c r="L147" i="12"/>
  <c r="K147" i="12"/>
  <c r="I147" i="12"/>
  <c r="H147" i="12"/>
  <c r="R146" i="12"/>
  <c r="O146" i="12"/>
  <c r="M146" i="12"/>
  <c r="J146" i="12"/>
  <c r="Q145" i="12"/>
  <c r="P145" i="12"/>
  <c r="N145" i="12"/>
  <c r="L145" i="12"/>
  <c r="K145" i="12"/>
  <c r="I145" i="12"/>
  <c r="H145" i="12"/>
  <c r="R139" i="12"/>
  <c r="O139" i="12"/>
  <c r="M139" i="12"/>
  <c r="J139" i="12"/>
  <c r="Q138" i="12"/>
  <c r="Q137" i="12" s="1"/>
  <c r="P138" i="12"/>
  <c r="P137" i="12" s="1"/>
  <c r="P136" i="12" s="1"/>
  <c r="P135" i="12" s="1"/>
  <c r="P134" i="12" s="1"/>
  <c r="P133" i="12" s="1"/>
  <c r="N138" i="12"/>
  <c r="L138" i="12"/>
  <c r="L137" i="12" s="1"/>
  <c r="K138" i="12"/>
  <c r="K137" i="12" s="1"/>
  <c r="K136" i="12" s="1"/>
  <c r="K135" i="12" s="1"/>
  <c r="K134" i="12" s="1"/>
  <c r="K133" i="12" s="1"/>
  <c r="I138" i="12"/>
  <c r="I137" i="12" s="1"/>
  <c r="H138" i="12"/>
  <c r="Q132" i="12"/>
  <c r="Q131" i="12" s="1"/>
  <c r="P132" i="12"/>
  <c r="P131" i="12" s="1"/>
  <c r="P130" i="12" s="1"/>
  <c r="N132" i="12"/>
  <c r="N131" i="12" s="1"/>
  <c r="L132" i="12"/>
  <c r="K132" i="12"/>
  <c r="I132" i="12"/>
  <c r="H132" i="12"/>
  <c r="H131" i="12" s="1"/>
  <c r="H130" i="12" s="1"/>
  <c r="R127" i="12"/>
  <c r="O127" i="12"/>
  <c r="L127" i="12"/>
  <c r="I127" i="12"/>
  <c r="H127" i="12"/>
  <c r="R126" i="12"/>
  <c r="O126" i="12"/>
  <c r="L126" i="12"/>
  <c r="I126" i="12"/>
  <c r="H126" i="12"/>
  <c r="Q125" i="12"/>
  <c r="P125" i="12"/>
  <c r="P124" i="12" s="1"/>
  <c r="N125" i="12"/>
  <c r="N124" i="12" s="1"/>
  <c r="K125" i="12"/>
  <c r="K124" i="12"/>
  <c r="R123" i="12"/>
  <c r="O123" i="12"/>
  <c r="M123" i="12"/>
  <c r="J123" i="12"/>
  <c r="Q122" i="12"/>
  <c r="P122" i="12"/>
  <c r="P121" i="12" s="1"/>
  <c r="N122" i="12"/>
  <c r="N121" i="12" s="1"/>
  <c r="L122" i="12"/>
  <c r="K122" i="12"/>
  <c r="K121" i="12" s="1"/>
  <c r="I122" i="12"/>
  <c r="I121" i="12" s="1"/>
  <c r="H122" i="12"/>
  <c r="H121" i="12" s="1"/>
  <c r="L121" i="12"/>
  <c r="R119" i="12"/>
  <c r="O119" i="12"/>
  <c r="M119" i="12"/>
  <c r="J119" i="12"/>
  <c r="R118" i="12"/>
  <c r="O118" i="12"/>
  <c r="M118" i="12"/>
  <c r="J118" i="12"/>
  <c r="R117" i="12"/>
  <c r="O117" i="12"/>
  <c r="M117" i="12"/>
  <c r="J117" i="12"/>
  <c r="Q116" i="12"/>
  <c r="Q115" i="12" s="1"/>
  <c r="P116" i="12"/>
  <c r="P115" i="12" s="1"/>
  <c r="P114" i="12" s="1"/>
  <c r="N116" i="12"/>
  <c r="N115" i="12" s="1"/>
  <c r="N114" i="12" s="1"/>
  <c r="L116" i="12"/>
  <c r="K116" i="12"/>
  <c r="I116" i="12"/>
  <c r="I115" i="12" s="1"/>
  <c r="H116" i="12"/>
  <c r="H115" i="12" s="1"/>
  <c r="H114" i="12" s="1"/>
  <c r="R112" i="12"/>
  <c r="O112" i="12"/>
  <c r="M112" i="12"/>
  <c r="J112" i="12"/>
  <c r="Q111" i="12"/>
  <c r="Q110" i="12" s="1"/>
  <c r="P111" i="12"/>
  <c r="P110" i="12" s="1"/>
  <c r="N111" i="12"/>
  <c r="N110" i="12" s="1"/>
  <c r="L111" i="12"/>
  <c r="K111" i="12"/>
  <c r="I111" i="12"/>
  <c r="H111" i="12"/>
  <c r="H110" i="12" s="1"/>
  <c r="R109" i="12"/>
  <c r="O109" i="12"/>
  <c r="M109" i="12"/>
  <c r="J109" i="12"/>
  <c r="Q108" i="12"/>
  <c r="R108" i="12" s="1"/>
  <c r="P108" i="12"/>
  <c r="N108" i="12"/>
  <c r="L108" i="12"/>
  <c r="K108" i="12"/>
  <c r="I108" i="12"/>
  <c r="H108" i="12"/>
  <c r="R107" i="12"/>
  <c r="O107" i="12"/>
  <c r="M107" i="12"/>
  <c r="J107" i="12"/>
  <c r="Q106" i="12"/>
  <c r="P106" i="12"/>
  <c r="P105" i="12" s="1"/>
  <c r="N106" i="12"/>
  <c r="L106" i="12"/>
  <c r="K106" i="12"/>
  <c r="I106" i="12"/>
  <c r="H106" i="12"/>
  <c r="R104" i="12"/>
  <c r="O104" i="12"/>
  <c r="M104" i="12"/>
  <c r="J104" i="12"/>
  <c r="R103" i="12"/>
  <c r="O103" i="12"/>
  <c r="M103" i="12"/>
  <c r="J103" i="12"/>
  <c r="Q102" i="12"/>
  <c r="P102" i="12"/>
  <c r="P101" i="12" s="1"/>
  <c r="N102" i="12"/>
  <c r="N101" i="12" s="1"/>
  <c r="L102" i="12"/>
  <c r="K102" i="12"/>
  <c r="K101" i="12" s="1"/>
  <c r="I102" i="12"/>
  <c r="I101" i="12" s="1"/>
  <c r="H102" i="12"/>
  <c r="H101" i="12" s="1"/>
  <c r="L101" i="12"/>
  <c r="R100" i="12"/>
  <c r="O100" i="12"/>
  <c r="M100" i="12"/>
  <c r="J100" i="12"/>
  <c r="Q99" i="12"/>
  <c r="P99" i="12"/>
  <c r="P98" i="12" s="1"/>
  <c r="N99" i="12"/>
  <c r="N98" i="12" s="1"/>
  <c r="L99" i="12"/>
  <c r="K99" i="12"/>
  <c r="K98" i="12" s="1"/>
  <c r="I99" i="12"/>
  <c r="H99" i="12"/>
  <c r="H98" i="12" s="1"/>
  <c r="R97" i="12"/>
  <c r="O97" i="12"/>
  <c r="L97" i="12"/>
  <c r="L96" i="12" s="1"/>
  <c r="L95" i="12" s="1"/>
  <c r="I97" i="12"/>
  <c r="J97" i="12" s="1"/>
  <c r="Q96" i="12"/>
  <c r="P96" i="12"/>
  <c r="P95" i="12" s="1"/>
  <c r="N96" i="12"/>
  <c r="N95" i="12" s="1"/>
  <c r="K96" i="12"/>
  <c r="H96" i="12"/>
  <c r="H95" i="12" s="1"/>
  <c r="R94" i="12"/>
  <c r="O94" i="12"/>
  <c r="M94" i="12"/>
  <c r="J94" i="12"/>
  <c r="Q93" i="12"/>
  <c r="Q92" i="12" s="1"/>
  <c r="P93" i="12"/>
  <c r="N93" i="12"/>
  <c r="N92" i="12" s="1"/>
  <c r="L93" i="12"/>
  <c r="L92" i="12" s="1"/>
  <c r="K93" i="12"/>
  <c r="K92" i="12" s="1"/>
  <c r="I93" i="12"/>
  <c r="I92" i="12" s="1"/>
  <c r="H93" i="12"/>
  <c r="H92" i="12" s="1"/>
  <c r="M89" i="12"/>
  <c r="Q88" i="12"/>
  <c r="P88" i="12"/>
  <c r="O88" i="12"/>
  <c r="N88" i="12"/>
  <c r="L88" i="12"/>
  <c r="K88" i="12"/>
  <c r="J88" i="12"/>
  <c r="I88" i="12"/>
  <c r="M87" i="12"/>
  <c r="Q86" i="12"/>
  <c r="P86" i="12"/>
  <c r="O86" i="12"/>
  <c r="N86" i="12"/>
  <c r="L86" i="12"/>
  <c r="K86" i="12"/>
  <c r="J86" i="12"/>
  <c r="I86" i="12"/>
  <c r="R85" i="12"/>
  <c r="O85" i="12"/>
  <c r="M85" i="12"/>
  <c r="J85" i="12"/>
  <c r="Q84" i="12"/>
  <c r="P84" i="12"/>
  <c r="N84" i="12"/>
  <c r="L84" i="12"/>
  <c r="K84" i="12"/>
  <c r="I84" i="12"/>
  <c r="H84" i="12"/>
  <c r="H83" i="12" s="1"/>
  <c r="H82" i="12" s="1"/>
  <c r="R81" i="12"/>
  <c r="O81" i="12"/>
  <c r="M81" i="12"/>
  <c r="J81" i="12"/>
  <c r="Q80" i="12"/>
  <c r="Q79" i="12" s="1"/>
  <c r="P80" i="12"/>
  <c r="P79" i="12" s="1"/>
  <c r="N80" i="12"/>
  <c r="N79" i="12" s="1"/>
  <c r="L80" i="12"/>
  <c r="K80" i="12"/>
  <c r="I80" i="12"/>
  <c r="H80" i="12"/>
  <c r="H79" i="12" s="1"/>
  <c r="R78" i="12"/>
  <c r="O78" i="12"/>
  <c r="M78" i="12"/>
  <c r="J78" i="12"/>
  <c r="R77" i="12"/>
  <c r="O77" i="12"/>
  <c r="M77" i="12"/>
  <c r="J77" i="12"/>
  <c r="Q76" i="12"/>
  <c r="P76" i="12"/>
  <c r="N76" i="12"/>
  <c r="L76" i="12"/>
  <c r="K76" i="12"/>
  <c r="I76" i="12"/>
  <c r="J76" i="12" s="1"/>
  <c r="H76" i="12"/>
  <c r="R74" i="12"/>
  <c r="O74" i="12"/>
  <c r="M74" i="12"/>
  <c r="J74" i="12"/>
  <c r="Q73" i="12"/>
  <c r="Q72" i="12" s="1"/>
  <c r="P73" i="12"/>
  <c r="P72" i="12" s="1"/>
  <c r="N73" i="12"/>
  <c r="N72" i="12" s="1"/>
  <c r="L73" i="12"/>
  <c r="K73" i="12"/>
  <c r="I73" i="12"/>
  <c r="I72" i="12" s="1"/>
  <c r="H73" i="12"/>
  <c r="R69" i="12"/>
  <c r="O69" i="12"/>
  <c r="M69" i="12"/>
  <c r="J69" i="12"/>
  <c r="Q68" i="12"/>
  <c r="P68" i="12"/>
  <c r="N68" i="12"/>
  <c r="L68" i="12"/>
  <c r="K68" i="12"/>
  <c r="I68" i="12"/>
  <c r="H68" i="12"/>
  <c r="H65" i="12" s="1"/>
  <c r="R67" i="12"/>
  <c r="O67" i="12"/>
  <c r="M67" i="12"/>
  <c r="J67" i="12"/>
  <c r="Q66" i="12"/>
  <c r="P66" i="12"/>
  <c r="N66" i="12"/>
  <c r="L66" i="12"/>
  <c r="K66" i="12"/>
  <c r="I66" i="12"/>
  <c r="H66" i="12"/>
  <c r="R64" i="12"/>
  <c r="O64" i="12"/>
  <c r="L64" i="12"/>
  <c r="L63" i="12" s="1"/>
  <c r="L62" i="12" s="1"/>
  <c r="J64" i="12"/>
  <c r="Q63" i="12"/>
  <c r="Q62" i="12" s="1"/>
  <c r="P63" i="12"/>
  <c r="P62" i="12" s="1"/>
  <c r="N63" i="12"/>
  <c r="K63" i="12"/>
  <c r="K62" i="12" s="1"/>
  <c r="I63" i="12"/>
  <c r="H63" i="12"/>
  <c r="H62" i="12" s="1"/>
  <c r="R60" i="12"/>
  <c r="O60" i="12"/>
  <c r="L60" i="12"/>
  <c r="L59" i="12" s="1"/>
  <c r="L58" i="12" s="1"/>
  <c r="I60" i="12"/>
  <c r="Q59" i="12"/>
  <c r="P59" i="12"/>
  <c r="P58" i="12" s="1"/>
  <c r="P57" i="12" s="1"/>
  <c r="N59" i="12"/>
  <c r="N58" i="12" s="1"/>
  <c r="N57" i="12" s="1"/>
  <c r="K59" i="12"/>
  <c r="K58" i="12" s="1"/>
  <c r="K57" i="12" s="1"/>
  <c r="H59" i="12"/>
  <c r="H58" i="12" s="1"/>
  <c r="H57" i="12" s="1"/>
  <c r="R56" i="12"/>
  <c r="O56" i="12"/>
  <c r="M56" i="12"/>
  <c r="J56" i="12"/>
  <c r="Q55" i="12"/>
  <c r="P55" i="12"/>
  <c r="P54" i="12" s="1"/>
  <c r="P53" i="12" s="1"/>
  <c r="N55" i="12"/>
  <c r="L55" i="12"/>
  <c r="L54" i="12" s="1"/>
  <c r="K55" i="12"/>
  <c r="K54" i="12" s="1"/>
  <c r="K53" i="12" s="1"/>
  <c r="I55" i="12"/>
  <c r="H55" i="12"/>
  <c r="H54" i="12" s="1"/>
  <c r="H53" i="12" s="1"/>
  <c r="R52" i="12"/>
  <c r="O52" i="12"/>
  <c r="M52" i="12"/>
  <c r="J52" i="12"/>
  <c r="R51" i="12"/>
  <c r="O51" i="12"/>
  <c r="M51" i="12"/>
  <c r="J51" i="12"/>
  <c r="Q50" i="12"/>
  <c r="Q49" i="12" s="1"/>
  <c r="P50" i="12"/>
  <c r="P49" i="12" s="1"/>
  <c r="P48" i="12" s="1"/>
  <c r="P47" i="12" s="1"/>
  <c r="N50" i="12"/>
  <c r="N49" i="12" s="1"/>
  <c r="L50" i="12"/>
  <c r="L49" i="12" s="1"/>
  <c r="L48" i="12" s="1"/>
  <c r="L47" i="12" s="1"/>
  <c r="K50" i="12"/>
  <c r="K49" i="12" s="1"/>
  <c r="K48" i="12" s="1"/>
  <c r="K47" i="12" s="1"/>
  <c r="I50" i="12"/>
  <c r="I49" i="12" s="1"/>
  <c r="H50" i="12"/>
  <c r="H49" i="12" s="1"/>
  <c r="H48" i="12" s="1"/>
  <c r="H47" i="12" s="1"/>
  <c r="Q46" i="12"/>
  <c r="P46" i="12"/>
  <c r="P44" i="12" s="1"/>
  <c r="P43" i="12" s="1"/>
  <c r="P42" i="12" s="1"/>
  <c r="P41" i="12" s="1"/>
  <c r="N46" i="12"/>
  <c r="N44" i="12" s="1"/>
  <c r="L46" i="12"/>
  <c r="K46" i="12"/>
  <c r="K44" i="12" s="1"/>
  <c r="K43" i="12" s="1"/>
  <c r="K42" i="12" s="1"/>
  <c r="K41" i="12" s="1"/>
  <c r="I46" i="12"/>
  <c r="H46" i="12"/>
  <c r="H44" i="12" s="1"/>
  <c r="H43" i="12" s="1"/>
  <c r="H42" i="12" s="1"/>
  <c r="H41" i="12" s="1"/>
  <c r="R45" i="12"/>
  <c r="O45" i="12"/>
  <c r="M45" i="12"/>
  <c r="J45" i="12"/>
  <c r="L44" i="12"/>
  <c r="L43" i="12" s="1"/>
  <c r="L42" i="12" s="1"/>
  <c r="R40" i="12"/>
  <c r="O40" i="12"/>
  <c r="L40" i="12"/>
  <c r="I40" i="12"/>
  <c r="I39" i="12" s="1"/>
  <c r="H40" i="12"/>
  <c r="H39" i="12" s="1"/>
  <c r="H38" i="12" s="1"/>
  <c r="H37" i="12" s="1"/>
  <c r="Q39" i="12"/>
  <c r="P39" i="12"/>
  <c r="P38" i="12" s="1"/>
  <c r="P37" i="12" s="1"/>
  <c r="N39" i="12"/>
  <c r="N38" i="12" s="1"/>
  <c r="K39" i="12"/>
  <c r="K38" i="12" s="1"/>
  <c r="K37" i="12" s="1"/>
  <c r="R36" i="12"/>
  <c r="O36" i="12"/>
  <c r="M36" i="12"/>
  <c r="J36" i="12"/>
  <c r="Q35" i="12"/>
  <c r="Q34" i="12" s="1"/>
  <c r="P35" i="12"/>
  <c r="P34" i="12" s="1"/>
  <c r="N35" i="12"/>
  <c r="L35" i="12"/>
  <c r="L34" i="12" s="1"/>
  <c r="K35" i="12"/>
  <c r="K34" i="12" s="1"/>
  <c r="I35" i="12"/>
  <c r="H35" i="12"/>
  <c r="H34" i="12" s="1"/>
  <c r="R33" i="12"/>
  <c r="O33" i="12"/>
  <c r="M33" i="12"/>
  <c r="J33" i="12"/>
  <c r="R32" i="12"/>
  <c r="O32" i="12"/>
  <c r="L32" i="12"/>
  <c r="I32" i="12"/>
  <c r="I31" i="12" s="1"/>
  <c r="Q31" i="12"/>
  <c r="P31" i="12"/>
  <c r="R31" i="12" s="1"/>
  <c r="N31" i="12"/>
  <c r="K31" i="12"/>
  <c r="H31" i="12"/>
  <c r="Q30" i="12"/>
  <c r="P30" i="12"/>
  <c r="P29" i="12" s="1"/>
  <c r="N30" i="12"/>
  <c r="N29" i="12" s="1"/>
  <c r="L30" i="12"/>
  <c r="L29" i="12" s="1"/>
  <c r="K30" i="12"/>
  <c r="I30" i="12"/>
  <c r="H30" i="12"/>
  <c r="H29" i="12" s="1"/>
  <c r="Q28" i="12"/>
  <c r="P28" i="12"/>
  <c r="N28" i="12"/>
  <c r="L28" i="12"/>
  <c r="K28" i="12"/>
  <c r="I28" i="12"/>
  <c r="H28" i="12"/>
  <c r="R27" i="12"/>
  <c r="O27" i="12"/>
  <c r="I27" i="12"/>
  <c r="M27" i="12" s="1"/>
  <c r="H27" i="12"/>
  <c r="Q26" i="12"/>
  <c r="P26" i="12"/>
  <c r="N26" i="12"/>
  <c r="K26" i="12"/>
  <c r="I26" i="12"/>
  <c r="H26" i="12"/>
  <c r="R21" i="12"/>
  <c r="O21" i="12"/>
  <c r="M21" i="12"/>
  <c r="J21" i="12"/>
  <c r="R20" i="12"/>
  <c r="O20" i="12"/>
  <c r="M20" i="12"/>
  <c r="J20" i="12"/>
  <c r="Q19" i="12"/>
  <c r="P19" i="12"/>
  <c r="P18" i="12" s="1"/>
  <c r="P17" i="12" s="1"/>
  <c r="P16" i="12" s="1"/>
  <c r="N19" i="12"/>
  <c r="N18" i="12" s="1"/>
  <c r="L19" i="12"/>
  <c r="K19" i="12"/>
  <c r="I19" i="12"/>
  <c r="H19" i="12"/>
  <c r="H18" i="12" s="1"/>
  <c r="H17" i="12" s="1"/>
  <c r="Q14" i="12"/>
  <c r="Q13" i="12" s="1"/>
  <c r="Q12" i="12" s="1"/>
  <c r="P14" i="12"/>
  <c r="P13" i="12" s="1"/>
  <c r="P12" i="12" s="1"/>
  <c r="P11" i="12" s="1"/>
  <c r="P10" i="12" s="1"/>
  <c r="P9" i="12" s="1"/>
  <c r="N14" i="12"/>
  <c r="N13" i="12" s="1"/>
  <c r="L14" i="12"/>
  <c r="L13" i="12" s="1"/>
  <c r="L12" i="12" s="1"/>
  <c r="L11" i="12" s="1"/>
  <c r="K14" i="12"/>
  <c r="K13" i="12" s="1"/>
  <c r="K12" i="12" s="1"/>
  <c r="K11" i="12" s="1"/>
  <c r="K10" i="12" s="1"/>
  <c r="K9" i="12" s="1"/>
  <c r="I14" i="12"/>
  <c r="H14" i="12"/>
  <c r="F752" i="11"/>
  <c r="P745" i="11"/>
  <c r="M745" i="11"/>
  <c r="K745" i="11"/>
  <c r="H745" i="11"/>
  <c r="P743" i="11"/>
  <c r="M743" i="11"/>
  <c r="K743" i="11"/>
  <c r="H743" i="11"/>
  <c r="O742" i="11"/>
  <c r="P742" i="11" s="1"/>
  <c r="N742" i="11"/>
  <c r="N741" i="11" s="1"/>
  <c r="N740" i="11" s="1"/>
  <c r="N739" i="11" s="1"/>
  <c r="N738" i="11" s="1"/>
  <c r="N737" i="11" s="1"/>
  <c r="L742" i="11"/>
  <c r="J742" i="11"/>
  <c r="J741" i="11" s="1"/>
  <c r="I742" i="11"/>
  <c r="I741" i="11" s="1"/>
  <c r="I740" i="11" s="1"/>
  <c r="I739" i="11" s="1"/>
  <c r="I738" i="11" s="1"/>
  <c r="I737" i="11" s="1"/>
  <c r="G742" i="11"/>
  <c r="F742" i="11"/>
  <c r="F741" i="11" s="1"/>
  <c r="F740" i="11" s="1"/>
  <c r="F739" i="11" s="1"/>
  <c r="F738" i="11" s="1"/>
  <c r="F737" i="11" s="1"/>
  <c r="L741" i="11"/>
  <c r="P736" i="11"/>
  <c r="M736" i="11"/>
  <c r="J735" i="11"/>
  <c r="G736" i="11"/>
  <c r="O735" i="11"/>
  <c r="N735" i="11"/>
  <c r="L735" i="11"/>
  <c r="I735" i="11"/>
  <c r="F735" i="11"/>
  <c r="O734" i="11"/>
  <c r="O733" i="11" s="1"/>
  <c r="N734" i="11"/>
  <c r="N733" i="11" s="1"/>
  <c r="L734" i="11"/>
  <c r="J734" i="11"/>
  <c r="I734" i="11"/>
  <c r="I733" i="11" s="1"/>
  <c r="G734" i="11"/>
  <c r="F734" i="11"/>
  <c r="F733" i="11" s="1"/>
  <c r="F732" i="11" s="1"/>
  <c r="O728" i="11"/>
  <c r="N728" i="11"/>
  <c r="L728" i="11"/>
  <c r="J728" i="11"/>
  <c r="I728" i="11"/>
  <c r="I727" i="11" s="1"/>
  <c r="G728" i="11"/>
  <c r="G727" i="11" s="1"/>
  <c r="F728" i="11"/>
  <c r="O727" i="11"/>
  <c r="O726" i="11"/>
  <c r="P726" i="11" s="1"/>
  <c r="N726" i="11"/>
  <c r="N725" i="11" s="1"/>
  <c r="L726" i="11"/>
  <c r="J726" i="11"/>
  <c r="I726" i="11"/>
  <c r="I725" i="11" s="1"/>
  <c r="G726" i="11"/>
  <c r="F726" i="11"/>
  <c r="F725" i="11" s="1"/>
  <c r="P720" i="11"/>
  <c r="M720" i="11"/>
  <c r="K720" i="11"/>
  <c r="H720" i="11"/>
  <c r="P719" i="11"/>
  <c r="M719" i="11"/>
  <c r="K719" i="11"/>
  <c r="H719" i="11"/>
  <c r="P718" i="11"/>
  <c r="M718" i="11"/>
  <c r="K718" i="11"/>
  <c r="H718" i="11"/>
  <c r="P717" i="11"/>
  <c r="M717" i="11"/>
  <c r="K717" i="11"/>
  <c r="H717" i="11"/>
  <c r="O716" i="11"/>
  <c r="P716" i="11" s="1"/>
  <c r="N716" i="11"/>
  <c r="L716" i="11"/>
  <c r="J716" i="11"/>
  <c r="I716" i="11"/>
  <c r="G716" i="11"/>
  <c r="F716" i="11"/>
  <c r="O715" i="11"/>
  <c r="N715" i="11"/>
  <c r="N713" i="11" s="1"/>
  <c r="L715" i="11"/>
  <c r="L713" i="11" s="1"/>
  <c r="J715" i="11"/>
  <c r="I715" i="11"/>
  <c r="I713" i="11" s="1"/>
  <c r="G715" i="11"/>
  <c r="F715" i="11"/>
  <c r="F713" i="11" s="1"/>
  <c r="P714" i="11"/>
  <c r="M714" i="11"/>
  <c r="K714" i="11"/>
  <c r="H714" i="11"/>
  <c r="O712" i="11"/>
  <c r="P712" i="11" s="1"/>
  <c r="L712" i="11"/>
  <c r="J712" i="11"/>
  <c r="G712" i="11"/>
  <c r="P711" i="11"/>
  <c r="L711" i="11"/>
  <c r="M711" i="11" s="1"/>
  <c r="J711" i="11"/>
  <c r="G711" i="11"/>
  <c r="H711" i="11" s="1"/>
  <c r="O710" i="11"/>
  <c r="N710" i="11"/>
  <c r="I710" i="11"/>
  <c r="F710" i="11"/>
  <c r="P707" i="11"/>
  <c r="M707" i="11"/>
  <c r="J707" i="11"/>
  <c r="J706" i="11" s="1"/>
  <c r="J705" i="11" s="1"/>
  <c r="G707" i="11"/>
  <c r="G706" i="11" s="1"/>
  <c r="O706" i="11"/>
  <c r="N706" i="11"/>
  <c r="N705" i="11" s="1"/>
  <c r="N704" i="11" s="1"/>
  <c r="L706" i="11"/>
  <c r="I706" i="11"/>
  <c r="F706" i="11"/>
  <c r="F705" i="11" s="1"/>
  <c r="F704" i="11" s="1"/>
  <c r="L705" i="11"/>
  <c r="L704" i="11" s="1"/>
  <c r="P700" i="11"/>
  <c r="M700" i="11"/>
  <c r="K700" i="11"/>
  <c r="H700" i="11"/>
  <c r="P699" i="11"/>
  <c r="M699" i="11"/>
  <c r="K699" i="11"/>
  <c r="H699" i="11"/>
  <c r="P698" i="11"/>
  <c r="M698" i="11"/>
  <c r="K698" i="11"/>
  <c r="H698" i="11"/>
  <c r="O697" i="11"/>
  <c r="O696" i="11" s="1"/>
  <c r="N697" i="11"/>
  <c r="L697" i="11"/>
  <c r="L695" i="11" s="1"/>
  <c r="J697" i="11"/>
  <c r="J695" i="11" s="1"/>
  <c r="J694" i="11" s="1"/>
  <c r="I697" i="11"/>
  <c r="G697" i="11"/>
  <c r="G696" i="11" s="1"/>
  <c r="F697" i="11"/>
  <c r="F696" i="11" s="1"/>
  <c r="O695" i="11"/>
  <c r="P686" i="11"/>
  <c r="M686" i="11"/>
  <c r="K686" i="11"/>
  <c r="H686" i="11"/>
  <c r="O685" i="11"/>
  <c r="O684" i="11" s="1"/>
  <c r="N685" i="11"/>
  <c r="N684" i="11" s="1"/>
  <c r="N683" i="11" s="1"/>
  <c r="L685" i="11"/>
  <c r="J685" i="11"/>
  <c r="J684" i="11" s="1"/>
  <c r="J683" i="11" s="1"/>
  <c r="I685" i="11"/>
  <c r="I684" i="11" s="1"/>
  <c r="I683" i="11" s="1"/>
  <c r="G685" i="11"/>
  <c r="F685" i="11"/>
  <c r="F684" i="11" s="1"/>
  <c r="F683" i="11" s="1"/>
  <c r="P682" i="11"/>
  <c r="M682" i="11"/>
  <c r="J682" i="11"/>
  <c r="G682" i="11"/>
  <c r="G681" i="11" s="1"/>
  <c r="F682" i="11"/>
  <c r="F681" i="11" s="1"/>
  <c r="F680" i="11" s="1"/>
  <c r="O681" i="11"/>
  <c r="N681" i="11"/>
  <c r="N680" i="11" s="1"/>
  <c r="L681" i="11"/>
  <c r="I681" i="11"/>
  <c r="I680" i="11" s="1"/>
  <c r="O679" i="11"/>
  <c r="O678" i="11" s="1"/>
  <c r="O677" i="11" s="1"/>
  <c r="N679" i="11"/>
  <c r="L679" i="11"/>
  <c r="J679" i="11"/>
  <c r="I679" i="11"/>
  <c r="G679" i="11"/>
  <c r="G678" i="11" s="1"/>
  <c r="G677" i="11" s="1"/>
  <c r="F679" i="11"/>
  <c r="L678" i="11"/>
  <c r="L677" i="11" s="1"/>
  <c r="I678" i="11"/>
  <c r="P674" i="11"/>
  <c r="M674" i="11"/>
  <c r="K674" i="11"/>
  <c r="H674" i="11"/>
  <c r="O673" i="11"/>
  <c r="O672" i="11" s="1"/>
  <c r="O671" i="11" s="1"/>
  <c r="N673" i="11"/>
  <c r="L673" i="11"/>
  <c r="J673" i="11"/>
  <c r="J672" i="11" s="1"/>
  <c r="I673" i="11"/>
  <c r="I672" i="11" s="1"/>
  <c r="I671" i="11" s="1"/>
  <c r="I670" i="11" s="1"/>
  <c r="G673" i="11"/>
  <c r="F673" i="11"/>
  <c r="F672" i="11" s="1"/>
  <c r="F671" i="11" s="1"/>
  <c r="F670" i="11" s="1"/>
  <c r="N672" i="11"/>
  <c r="N671" i="11" s="1"/>
  <c r="N670" i="11" s="1"/>
  <c r="G672" i="11"/>
  <c r="G671" i="11" s="1"/>
  <c r="P669" i="11"/>
  <c r="M669" i="11"/>
  <c r="K669" i="11"/>
  <c r="H669" i="11"/>
  <c r="O668" i="11"/>
  <c r="N668" i="11"/>
  <c r="N667" i="11" s="1"/>
  <c r="N666" i="11" s="1"/>
  <c r="N665" i="11" s="1"/>
  <c r="L668" i="11"/>
  <c r="L667" i="11" s="1"/>
  <c r="J668" i="11"/>
  <c r="I668" i="11"/>
  <c r="I667" i="11" s="1"/>
  <c r="I666" i="11" s="1"/>
  <c r="I665" i="11" s="1"/>
  <c r="G668" i="11"/>
  <c r="F668" i="11"/>
  <c r="F667" i="11" s="1"/>
  <c r="F666" i="11" s="1"/>
  <c r="F665" i="11" s="1"/>
  <c r="J667" i="11"/>
  <c r="J666" i="11" s="1"/>
  <c r="J665" i="11" s="1"/>
  <c r="P664" i="11"/>
  <c r="M664" i="11"/>
  <c r="K664" i="11"/>
  <c r="H664" i="11"/>
  <c r="O663" i="11"/>
  <c r="N663" i="11"/>
  <c r="L663" i="11"/>
  <c r="J663" i="11"/>
  <c r="I663" i="11"/>
  <c r="G663" i="11"/>
  <c r="F663" i="11"/>
  <c r="P662" i="11"/>
  <c r="M662" i="11"/>
  <c r="K662" i="11"/>
  <c r="H662" i="11"/>
  <c r="P661" i="11"/>
  <c r="M661" i="11"/>
  <c r="K661" i="11"/>
  <c r="H661" i="11"/>
  <c r="P660" i="11"/>
  <c r="M660" i="11"/>
  <c r="K660" i="11"/>
  <c r="H660" i="11"/>
  <c r="P659" i="11"/>
  <c r="M659" i="11"/>
  <c r="K659" i="11"/>
  <c r="H659" i="11"/>
  <c r="P658" i="11"/>
  <c r="M658" i="11"/>
  <c r="K658" i="11"/>
  <c r="H658" i="11"/>
  <c r="O657" i="11"/>
  <c r="N657" i="11"/>
  <c r="L657" i="11"/>
  <c r="J657" i="11"/>
  <c r="I657" i="11"/>
  <c r="I656" i="11" s="1"/>
  <c r="I655" i="11" s="1"/>
  <c r="I654" i="11" s="1"/>
  <c r="G657" i="11"/>
  <c r="F657" i="11"/>
  <c r="P653" i="11"/>
  <c r="M653" i="11"/>
  <c r="H653" i="11"/>
  <c r="O652" i="11"/>
  <c r="P652" i="11" s="1"/>
  <c r="N652" i="11"/>
  <c r="N651" i="11" s="1"/>
  <c r="L652" i="11"/>
  <c r="J652" i="11"/>
  <c r="I652" i="11"/>
  <c r="I651" i="11" s="1"/>
  <c r="G652" i="11"/>
  <c r="F652" i="11"/>
  <c r="F651" i="11" s="1"/>
  <c r="G651" i="11"/>
  <c r="P649" i="11"/>
  <c r="M649" i="11"/>
  <c r="H649" i="11"/>
  <c r="P648" i="11"/>
  <c r="M648" i="11"/>
  <c r="H648" i="11"/>
  <c r="O647" i="11"/>
  <c r="N647" i="11"/>
  <c r="N646" i="11" s="1"/>
  <c r="L647" i="11"/>
  <c r="L646" i="11" s="1"/>
  <c r="J647" i="11"/>
  <c r="J646" i="11" s="1"/>
  <c r="I647" i="11"/>
  <c r="I646" i="11" s="1"/>
  <c r="G647" i="11"/>
  <c r="F647" i="11"/>
  <c r="F646" i="11"/>
  <c r="P641" i="11"/>
  <c r="M641" i="11"/>
  <c r="K641" i="11"/>
  <c r="H641" i="11"/>
  <c r="O640" i="11"/>
  <c r="N640" i="11"/>
  <c r="N639" i="11" s="1"/>
  <c r="N638" i="11" s="1"/>
  <c r="N637" i="11" s="1"/>
  <c r="L640" i="11"/>
  <c r="L639" i="11" s="1"/>
  <c r="J640" i="11"/>
  <c r="J639" i="11" s="1"/>
  <c r="I640" i="11"/>
  <c r="I639" i="11" s="1"/>
  <c r="I638" i="11" s="1"/>
  <c r="I637" i="11" s="1"/>
  <c r="G640" i="11"/>
  <c r="F640" i="11"/>
  <c r="F639" i="11" s="1"/>
  <c r="F638" i="11" s="1"/>
  <c r="F637" i="11" s="1"/>
  <c r="P636" i="11"/>
  <c r="M636" i="11"/>
  <c r="J636" i="11"/>
  <c r="G636" i="11"/>
  <c r="H636" i="11" s="1"/>
  <c r="O635" i="11"/>
  <c r="N635" i="11"/>
  <c r="N634" i="11" s="1"/>
  <c r="N633" i="11" s="1"/>
  <c r="N632" i="11" s="1"/>
  <c r="L635" i="11"/>
  <c r="L634" i="11" s="1"/>
  <c r="I635" i="11"/>
  <c r="I634" i="11" s="1"/>
  <c r="I633" i="11" s="1"/>
  <c r="I632" i="11" s="1"/>
  <c r="F635" i="11"/>
  <c r="F634" i="11" s="1"/>
  <c r="F633" i="11" s="1"/>
  <c r="F632" i="11" s="1"/>
  <c r="K631" i="11"/>
  <c r="H631" i="11"/>
  <c r="P630" i="11"/>
  <c r="M630" i="11"/>
  <c r="G630" i="11"/>
  <c r="F630" i="11"/>
  <c r="F628" i="11" s="1"/>
  <c r="F627" i="11" s="1"/>
  <c r="F626" i="11" s="1"/>
  <c r="F625" i="11" s="1"/>
  <c r="P629" i="11"/>
  <c r="M629" i="11"/>
  <c r="H629" i="11"/>
  <c r="G629" i="11"/>
  <c r="O628" i="11"/>
  <c r="N628" i="11"/>
  <c r="N627" i="11" s="1"/>
  <c r="N626" i="11" s="1"/>
  <c r="N625" i="11" s="1"/>
  <c r="L628" i="11"/>
  <c r="I628" i="11"/>
  <c r="I627" i="11" s="1"/>
  <c r="I626" i="11" s="1"/>
  <c r="I625" i="11" s="1"/>
  <c r="P623" i="11"/>
  <c r="M623" i="11"/>
  <c r="K623" i="11"/>
  <c r="H623" i="11"/>
  <c r="O622" i="11"/>
  <c r="N622" i="11"/>
  <c r="N620" i="11" s="1"/>
  <c r="L622" i="11"/>
  <c r="L620" i="11" s="1"/>
  <c r="J622" i="11"/>
  <c r="I622" i="11"/>
  <c r="I620" i="11" s="1"/>
  <c r="G622" i="11"/>
  <c r="F622" i="11"/>
  <c r="P621" i="11"/>
  <c r="M621" i="11"/>
  <c r="J621" i="11"/>
  <c r="G621" i="11"/>
  <c r="F621" i="11"/>
  <c r="O620" i="11"/>
  <c r="G620" i="11"/>
  <c r="P619" i="11"/>
  <c r="M619" i="11"/>
  <c r="K619" i="11"/>
  <c r="H619" i="11"/>
  <c r="O618" i="11"/>
  <c r="N618" i="11"/>
  <c r="L618" i="11"/>
  <c r="I618" i="11"/>
  <c r="G618" i="11"/>
  <c r="F618" i="11"/>
  <c r="O617" i="11"/>
  <c r="N617" i="11"/>
  <c r="N614" i="11" s="1"/>
  <c r="N613" i="11" s="1"/>
  <c r="L617" i="11"/>
  <c r="I617" i="11"/>
  <c r="G617" i="11"/>
  <c r="F617" i="11"/>
  <c r="P616" i="11"/>
  <c r="M616" i="11"/>
  <c r="K616" i="11"/>
  <c r="H616" i="11"/>
  <c r="P615" i="11"/>
  <c r="M615" i="11"/>
  <c r="J615" i="11"/>
  <c r="G615" i="11"/>
  <c r="H615" i="11" s="1"/>
  <c r="P612" i="11"/>
  <c r="M612" i="11"/>
  <c r="K612" i="11"/>
  <c r="H612" i="11"/>
  <c r="P611" i="11"/>
  <c r="M611" i="11"/>
  <c r="K611" i="11"/>
  <c r="H611" i="11"/>
  <c r="P610" i="11"/>
  <c r="M610" i="11"/>
  <c r="K610" i="11"/>
  <c r="H610" i="11"/>
  <c r="O609" i="11"/>
  <c r="O608" i="11" s="1"/>
  <c r="N609" i="11"/>
  <c r="N608" i="11" s="1"/>
  <c r="L609" i="11"/>
  <c r="L608" i="11" s="1"/>
  <c r="J609" i="11"/>
  <c r="I609" i="11"/>
  <c r="I608" i="11" s="1"/>
  <c r="G609" i="11"/>
  <c r="F609" i="11"/>
  <c r="F608" i="11" s="1"/>
  <c r="K606" i="11"/>
  <c r="O605" i="11"/>
  <c r="O604" i="11" s="1"/>
  <c r="N605" i="11"/>
  <c r="N604" i="11" s="1"/>
  <c r="M605" i="11"/>
  <c r="M604" i="11" s="1"/>
  <c r="L605" i="11"/>
  <c r="L604" i="11" s="1"/>
  <c r="J605" i="11"/>
  <c r="I605" i="11"/>
  <c r="I604" i="11" s="1"/>
  <c r="H605" i="11"/>
  <c r="H604" i="11" s="1"/>
  <c r="G605" i="11"/>
  <c r="G604" i="11" s="1"/>
  <c r="P603" i="11"/>
  <c r="M603" i="11"/>
  <c r="J603" i="11"/>
  <c r="G603" i="11"/>
  <c r="F603" i="11"/>
  <c r="F602" i="11" s="1"/>
  <c r="F601" i="11" s="1"/>
  <c r="O602" i="11"/>
  <c r="P602" i="11" s="1"/>
  <c r="N602" i="11"/>
  <c r="N601" i="11" s="1"/>
  <c r="L602" i="11"/>
  <c r="I602" i="11"/>
  <c r="I601" i="11" s="1"/>
  <c r="P600" i="11"/>
  <c r="M600" i="11"/>
  <c r="K600" i="11"/>
  <c r="H600" i="11"/>
  <c r="P599" i="11"/>
  <c r="M599" i="11"/>
  <c r="K599" i="11"/>
  <c r="H599" i="11"/>
  <c r="P598" i="11"/>
  <c r="M598" i="11"/>
  <c r="J598" i="11"/>
  <c r="G598" i="11"/>
  <c r="F598" i="11"/>
  <c r="F597" i="11" s="1"/>
  <c r="O597" i="11"/>
  <c r="N597" i="11"/>
  <c r="L597" i="11"/>
  <c r="I597" i="11"/>
  <c r="P596" i="11"/>
  <c r="M596" i="11"/>
  <c r="G596" i="11"/>
  <c r="H596" i="11" s="1"/>
  <c r="F596" i="11"/>
  <c r="P595" i="11"/>
  <c r="L595" i="11"/>
  <c r="L593" i="11" s="1"/>
  <c r="J595" i="11"/>
  <c r="I595" i="11"/>
  <c r="G595" i="11"/>
  <c r="F595" i="11"/>
  <c r="P594" i="11"/>
  <c r="M594" i="11"/>
  <c r="J594" i="11"/>
  <c r="G594" i="11"/>
  <c r="F594" i="11"/>
  <c r="O593" i="11"/>
  <c r="N593" i="11"/>
  <c r="P592" i="11"/>
  <c r="M592" i="11"/>
  <c r="J592" i="11"/>
  <c r="K592" i="11" s="1"/>
  <c r="G592" i="11"/>
  <c r="H592" i="11" s="1"/>
  <c r="P591" i="11"/>
  <c r="M591" i="11"/>
  <c r="J591" i="11"/>
  <c r="J590" i="11" s="1"/>
  <c r="G591" i="11"/>
  <c r="O590" i="11"/>
  <c r="N590" i="11"/>
  <c r="L590" i="11"/>
  <c r="I590" i="11"/>
  <c r="F590" i="11"/>
  <c r="P589" i="11"/>
  <c r="M589" i="11"/>
  <c r="J589" i="11"/>
  <c r="G589" i="11"/>
  <c r="H589" i="11" s="1"/>
  <c r="O588" i="11"/>
  <c r="N588" i="11"/>
  <c r="L588" i="11"/>
  <c r="I588" i="11"/>
  <c r="F588" i="11"/>
  <c r="P582" i="11"/>
  <c r="M582" i="11"/>
  <c r="J582" i="11"/>
  <c r="G582" i="11"/>
  <c r="H582" i="11" s="1"/>
  <c r="F582" i="11"/>
  <c r="F581" i="11" s="1"/>
  <c r="O581" i="11"/>
  <c r="N581" i="11"/>
  <c r="P581" i="11" s="1"/>
  <c r="L581" i="11"/>
  <c r="I581" i="11"/>
  <c r="P580" i="11"/>
  <c r="M580" i="11"/>
  <c r="K580" i="11"/>
  <c r="H580" i="11"/>
  <c r="O579" i="11"/>
  <c r="N579" i="11"/>
  <c r="N578" i="11" s="1"/>
  <c r="L579" i="11"/>
  <c r="M579" i="11" s="1"/>
  <c r="J579" i="11"/>
  <c r="J578" i="11" s="1"/>
  <c r="I579" i="11"/>
  <c r="I578" i="11" s="1"/>
  <c r="G579" i="11"/>
  <c r="F579" i="11"/>
  <c r="F578" i="11" s="1"/>
  <c r="P576" i="11"/>
  <c r="M576" i="11"/>
  <c r="K576" i="11"/>
  <c r="H576" i="11"/>
  <c r="O575" i="11"/>
  <c r="P575" i="11" s="1"/>
  <c r="N575" i="11"/>
  <c r="L575" i="11"/>
  <c r="J575" i="11"/>
  <c r="I575" i="11"/>
  <c r="G575" i="11"/>
  <c r="F575" i="11"/>
  <c r="P574" i="11"/>
  <c r="M574" i="11"/>
  <c r="J574" i="11"/>
  <c r="J572" i="11" s="1"/>
  <c r="H574" i="11"/>
  <c r="P573" i="11"/>
  <c r="M573" i="11"/>
  <c r="K573" i="11"/>
  <c r="H573" i="11"/>
  <c r="O572" i="11"/>
  <c r="N572" i="11"/>
  <c r="N571" i="11" s="1"/>
  <c r="L572" i="11"/>
  <c r="I572" i="11"/>
  <c r="G572" i="11"/>
  <c r="F572" i="11"/>
  <c r="F571" i="11" s="1"/>
  <c r="P567" i="11"/>
  <c r="M567" i="11"/>
  <c r="K567" i="11"/>
  <c r="H567" i="11"/>
  <c r="P566" i="11"/>
  <c r="M566" i="11"/>
  <c r="K566" i="11"/>
  <c r="H566" i="11"/>
  <c r="O565" i="11"/>
  <c r="N565" i="11"/>
  <c r="N564" i="11" s="1"/>
  <c r="N563" i="11" s="1"/>
  <c r="L565" i="11"/>
  <c r="J565" i="11"/>
  <c r="J564" i="11" s="1"/>
  <c r="I565" i="11"/>
  <c r="I564" i="11" s="1"/>
  <c r="I563" i="11" s="1"/>
  <c r="G565" i="11"/>
  <c r="F565" i="11"/>
  <c r="F564" i="11" s="1"/>
  <c r="F563" i="11" s="1"/>
  <c r="P562" i="11"/>
  <c r="M562" i="11"/>
  <c r="K562" i="11"/>
  <c r="H562" i="11"/>
  <c r="O561" i="11"/>
  <c r="O560" i="11" s="1"/>
  <c r="N561" i="11"/>
  <c r="N560" i="11" s="1"/>
  <c r="N559" i="11" s="1"/>
  <c r="L561" i="11"/>
  <c r="J561" i="11"/>
  <c r="I561" i="11"/>
  <c r="I560" i="11" s="1"/>
  <c r="I559" i="11" s="1"/>
  <c r="G561" i="11"/>
  <c r="F561" i="11"/>
  <c r="F560" i="11" s="1"/>
  <c r="F559" i="11" s="1"/>
  <c r="J560" i="11"/>
  <c r="J559" i="11" s="1"/>
  <c r="P556" i="11"/>
  <c r="M556" i="11"/>
  <c r="K556" i="11"/>
  <c r="H556" i="11"/>
  <c r="O555" i="11"/>
  <c r="N555" i="11"/>
  <c r="N554" i="11" s="1"/>
  <c r="L555" i="11"/>
  <c r="J555" i="11"/>
  <c r="I555" i="11"/>
  <c r="I554" i="11" s="1"/>
  <c r="G555" i="11"/>
  <c r="F555" i="11"/>
  <c r="F554" i="11" s="1"/>
  <c r="P553" i="11"/>
  <c r="M553" i="11"/>
  <c r="K553" i="11"/>
  <c r="H553" i="11"/>
  <c r="O552" i="11"/>
  <c r="O551" i="11" s="1"/>
  <c r="N552" i="11"/>
  <c r="N551" i="11" s="1"/>
  <c r="L552" i="11"/>
  <c r="J552" i="11"/>
  <c r="I552" i="11"/>
  <c r="I551" i="11" s="1"/>
  <c r="G552" i="11"/>
  <c r="H552" i="11" s="1"/>
  <c r="F552" i="11"/>
  <c r="F551" i="11" s="1"/>
  <c r="P550" i="11"/>
  <c r="M550" i="11"/>
  <c r="K550" i="11"/>
  <c r="H550" i="11"/>
  <c r="O549" i="11"/>
  <c r="N549" i="11"/>
  <c r="L549" i="11"/>
  <c r="J549" i="11"/>
  <c r="I549" i="11"/>
  <c r="G549" i="11"/>
  <c r="K549" i="11" s="1"/>
  <c r="F549" i="11"/>
  <c r="P548" i="11"/>
  <c r="M548" i="11"/>
  <c r="K548" i="11"/>
  <c r="H548" i="11"/>
  <c r="O547" i="11"/>
  <c r="N547" i="11"/>
  <c r="L547" i="11"/>
  <c r="J547" i="11"/>
  <c r="I547" i="11"/>
  <c r="G547" i="11"/>
  <c r="F547" i="11"/>
  <c r="O546" i="11"/>
  <c r="O545" i="11" s="1"/>
  <c r="N546" i="11"/>
  <c r="N545" i="11" s="1"/>
  <c r="L546" i="11"/>
  <c r="L545" i="11" s="1"/>
  <c r="J546" i="11"/>
  <c r="I546" i="11"/>
  <c r="I545" i="11" s="1"/>
  <c r="I544" i="11" s="1"/>
  <c r="G546" i="11"/>
  <c r="F546" i="11"/>
  <c r="F545" i="11" s="1"/>
  <c r="O542" i="11"/>
  <c r="P542" i="11" s="1"/>
  <c r="N542" i="11"/>
  <c r="N541" i="11" s="1"/>
  <c r="N540" i="11" s="1"/>
  <c r="N539" i="11" s="1"/>
  <c r="L542" i="11"/>
  <c r="L541" i="11" s="1"/>
  <c r="L540" i="11" s="1"/>
  <c r="J542" i="11"/>
  <c r="I542" i="11"/>
  <c r="I541" i="11" s="1"/>
  <c r="I540" i="11" s="1"/>
  <c r="I539" i="11" s="1"/>
  <c r="G542" i="11"/>
  <c r="G541" i="11" s="1"/>
  <c r="G540" i="11" s="1"/>
  <c r="F542" i="11"/>
  <c r="F541" i="11" s="1"/>
  <c r="F540" i="11" s="1"/>
  <c r="F539" i="11" s="1"/>
  <c r="P537" i="11"/>
  <c r="M537" i="11"/>
  <c r="K537" i="11"/>
  <c r="H537" i="11"/>
  <c r="O536" i="11"/>
  <c r="N536" i="11"/>
  <c r="N535" i="11" s="1"/>
  <c r="N534" i="11" s="1"/>
  <c r="N533" i="11" s="1"/>
  <c r="L536" i="11"/>
  <c r="J536" i="11"/>
  <c r="J535" i="11" s="1"/>
  <c r="I536" i="11"/>
  <c r="I535" i="11" s="1"/>
  <c r="I534" i="11" s="1"/>
  <c r="I533" i="11" s="1"/>
  <c r="G536" i="11"/>
  <c r="G535" i="11" s="1"/>
  <c r="G534" i="11" s="1"/>
  <c r="F536" i="11"/>
  <c r="P531" i="11"/>
  <c r="M531" i="11"/>
  <c r="J531" i="11"/>
  <c r="H531" i="11"/>
  <c r="O530" i="11"/>
  <c r="N530" i="11"/>
  <c r="N529" i="11" s="1"/>
  <c r="L530" i="11"/>
  <c r="I530" i="11"/>
  <c r="I529" i="11" s="1"/>
  <c r="H530" i="11"/>
  <c r="G530" i="11"/>
  <c r="G529" i="11" s="1"/>
  <c r="F530" i="11"/>
  <c r="F529" i="11" s="1"/>
  <c r="P528" i="11"/>
  <c r="M528" i="11"/>
  <c r="K528" i="11"/>
  <c r="H528" i="11"/>
  <c r="O527" i="11"/>
  <c r="N527" i="11"/>
  <c r="N526" i="11" s="1"/>
  <c r="L527" i="11"/>
  <c r="J527" i="11"/>
  <c r="I527" i="11"/>
  <c r="M527" i="11" s="1"/>
  <c r="G527" i="11"/>
  <c r="F527" i="11"/>
  <c r="F526" i="11" s="1"/>
  <c r="L526" i="11"/>
  <c r="I526" i="11"/>
  <c r="P525" i="11"/>
  <c r="M525" i="11"/>
  <c r="J525" i="11"/>
  <c r="G525" i="11"/>
  <c r="O524" i="11"/>
  <c r="N524" i="11"/>
  <c r="L524" i="11"/>
  <c r="I524" i="11"/>
  <c r="F524" i="11"/>
  <c r="O523" i="11"/>
  <c r="O522" i="11" s="1"/>
  <c r="N523" i="11"/>
  <c r="L523" i="11"/>
  <c r="L522" i="11" s="1"/>
  <c r="M522" i="11" s="1"/>
  <c r="J523" i="11"/>
  <c r="I523" i="11"/>
  <c r="I522" i="11" s="1"/>
  <c r="G523" i="11"/>
  <c r="G522" i="11" s="1"/>
  <c r="F523" i="11"/>
  <c r="O521" i="11"/>
  <c r="O520" i="11" s="1"/>
  <c r="N521" i="11"/>
  <c r="N520" i="11" s="1"/>
  <c r="L521" i="11"/>
  <c r="J521" i="11"/>
  <c r="I521" i="11"/>
  <c r="I520" i="11" s="1"/>
  <c r="G521" i="11"/>
  <c r="F521" i="11"/>
  <c r="F520" i="11" s="1"/>
  <c r="J520" i="11"/>
  <c r="O517" i="11"/>
  <c r="O516" i="11" s="1"/>
  <c r="N517" i="11"/>
  <c r="L517" i="11"/>
  <c r="J517" i="11"/>
  <c r="I517" i="11"/>
  <c r="I516" i="11" s="1"/>
  <c r="G517" i="11"/>
  <c r="F517" i="11"/>
  <c r="F516" i="11" s="1"/>
  <c r="P515" i="11"/>
  <c r="M515" i="11"/>
  <c r="J515" i="11"/>
  <c r="G515" i="11"/>
  <c r="G513" i="11" s="1"/>
  <c r="F515" i="11"/>
  <c r="P514" i="11"/>
  <c r="M514" i="11"/>
  <c r="K514" i="11"/>
  <c r="H514" i="11"/>
  <c r="O513" i="11"/>
  <c r="P513" i="11" s="1"/>
  <c r="N513" i="11"/>
  <c r="L513" i="11"/>
  <c r="I513" i="11"/>
  <c r="P512" i="11"/>
  <c r="M512" i="11"/>
  <c r="J512" i="11"/>
  <c r="J511" i="11" s="1"/>
  <c r="G512" i="11"/>
  <c r="F512" i="11"/>
  <c r="F511" i="11" s="1"/>
  <c r="O511" i="11"/>
  <c r="N511" i="11"/>
  <c r="L511" i="11"/>
  <c r="I511" i="11"/>
  <c r="O510" i="11"/>
  <c r="N510" i="11"/>
  <c r="N509" i="11" s="1"/>
  <c r="L510" i="11"/>
  <c r="J510" i="11"/>
  <c r="I510" i="11"/>
  <c r="I509" i="11" s="1"/>
  <c r="G510" i="11"/>
  <c r="G509" i="11" s="1"/>
  <c r="F510" i="11"/>
  <c r="F509" i="11" s="1"/>
  <c r="P508" i="11"/>
  <c r="M508" i="11"/>
  <c r="J508" i="11"/>
  <c r="J507" i="11" s="1"/>
  <c r="G508" i="11"/>
  <c r="F508" i="11"/>
  <c r="F507" i="11" s="1"/>
  <c r="O507" i="11"/>
  <c r="N507" i="11"/>
  <c r="L507" i="11"/>
  <c r="I507" i="11"/>
  <c r="P506" i="11"/>
  <c r="M506" i="11"/>
  <c r="J506" i="11"/>
  <c r="J505" i="11" s="1"/>
  <c r="G506" i="11"/>
  <c r="O505" i="11"/>
  <c r="N505" i="11"/>
  <c r="L505" i="11"/>
  <c r="M505" i="11" s="1"/>
  <c r="I505" i="11"/>
  <c r="F505" i="11"/>
  <c r="P504" i="11"/>
  <c r="M504" i="11"/>
  <c r="J504" i="11"/>
  <c r="J503" i="11" s="1"/>
  <c r="G504" i="11"/>
  <c r="F504" i="11"/>
  <c r="F503" i="11" s="1"/>
  <c r="O503" i="11"/>
  <c r="N503" i="11"/>
  <c r="L503" i="11"/>
  <c r="I503" i="11"/>
  <c r="O502" i="11"/>
  <c r="N502" i="11"/>
  <c r="N501" i="11" s="1"/>
  <c r="L502" i="11"/>
  <c r="L501" i="11" s="1"/>
  <c r="J502" i="11"/>
  <c r="J501" i="11" s="1"/>
  <c r="K501" i="11" s="1"/>
  <c r="I502" i="11"/>
  <c r="I501" i="11" s="1"/>
  <c r="G502" i="11"/>
  <c r="G501" i="11" s="1"/>
  <c r="F502" i="11"/>
  <c r="F501" i="11" s="1"/>
  <c r="O501" i="11"/>
  <c r="P501" i="11" s="1"/>
  <c r="P500" i="11"/>
  <c r="M500" i="11"/>
  <c r="J500" i="11"/>
  <c r="G500" i="11"/>
  <c r="F500" i="11"/>
  <c r="F499" i="11" s="1"/>
  <c r="O499" i="11"/>
  <c r="N499" i="11"/>
  <c r="L499" i="11"/>
  <c r="I499" i="11"/>
  <c r="P498" i="11"/>
  <c r="M498" i="11"/>
  <c r="J498" i="11"/>
  <c r="J497" i="11" s="1"/>
  <c r="G498" i="11"/>
  <c r="O497" i="11"/>
  <c r="N497" i="11"/>
  <c r="L497" i="11"/>
  <c r="I497" i="11"/>
  <c r="F497" i="11"/>
  <c r="P496" i="11"/>
  <c r="M496" i="11"/>
  <c r="J496" i="11"/>
  <c r="J495" i="11" s="1"/>
  <c r="G496" i="11"/>
  <c r="H496" i="11" s="1"/>
  <c r="O495" i="11"/>
  <c r="N495" i="11"/>
  <c r="L495" i="11"/>
  <c r="I495" i="11"/>
  <c r="G495" i="11"/>
  <c r="F495" i="11"/>
  <c r="P492" i="11"/>
  <c r="M492" i="11"/>
  <c r="J492" i="11"/>
  <c r="G492" i="11"/>
  <c r="F492" i="11"/>
  <c r="F491" i="11" s="1"/>
  <c r="O491" i="11"/>
  <c r="N491" i="11"/>
  <c r="L491" i="11"/>
  <c r="M491" i="11" s="1"/>
  <c r="I491" i="11"/>
  <c r="O490" i="11"/>
  <c r="N490" i="11"/>
  <c r="N489" i="11" s="1"/>
  <c r="N486" i="11" s="1"/>
  <c r="L490" i="11"/>
  <c r="L489" i="11" s="1"/>
  <c r="J490" i="11"/>
  <c r="I490" i="11"/>
  <c r="G490" i="11"/>
  <c r="F490" i="11"/>
  <c r="F489" i="11" s="1"/>
  <c r="P488" i="11"/>
  <c r="M488" i="11"/>
  <c r="K488" i="11"/>
  <c r="H488" i="11"/>
  <c r="O487" i="11"/>
  <c r="N487" i="11"/>
  <c r="L487" i="11"/>
  <c r="J487" i="11"/>
  <c r="I487" i="11"/>
  <c r="G487" i="11"/>
  <c r="F487" i="11"/>
  <c r="P485" i="11"/>
  <c r="M485" i="11"/>
  <c r="J485" i="11"/>
  <c r="G485" i="11"/>
  <c r="F485" i="11"/>
  <c r="F484" i="11" s="1"/>
  <c r="O484" i="11"/>
  <c r="N484" i="11"/>
  <c r="L484" i="11"/>
  <c r="I484" i="11"/>
  <c r="O483" i="11"/>
  <c r="N483" i="11"/>
  <c r="N482" i="11" s="1"/>
  <c r="L483" i="11"/>
  <c r="L482" i="11" s="1"/>
  <c r="K483" i="11"/>
  <c r="I483" i="11"/>
  <c r="H483" i="11"/>
  <c r="O482" i="11"/>
  <c r="J482" i="11"/>
  <c r="I482" i="11"/>
  <c r="G482" i="11"/>
  <c r="F482" i="11"/>
  <c r="O481" i="11"/>
  <c r="P481" i="11" s="1"/>
  <c r="N481" i="11"/>
  <c r="N480" i="11" s="1"/>
  <c r="L481" i="11"/>
  <c r="J481" i="11"/>
  <c r="J480" i="11" s="1"/>
  <c r="I481" i="11"/>
  <c r="G481" i="11"/>
  <c r="F481" i="11"/>
  <c r="F480" i="11" s="1"/>
  <c r="O480" i="11"/>
  <c r="I480" i="11"/>
  <c r="G480" i="11"/>
  <c r="P479" i="11"/>
  <c r="L479" i="11"/>
  <c r="J479" i="11"/>
  <c r="J478" i="11" s="1"/>
  <c r="I479" i="11"/>
  <c r="I478" i="11" s="1"/>
  <c r="G479" i="11"/>
  <c r="F479" i="11"/>
  <c r="F478" i="11" s="1"/>
  <c r="O478" i="11"/>
  <c r="N478" i="11"/>
  <c r="G478" i="11"/>
  <c r="P477" i="11"/>
  <c r="M477" i="11"/>
  <c r="J477" i="11"/>
  <c r="J476" i="11" s="1"/>
  <c r="G477" i="11"/>
  <c r="G476" i="11" s="1"/>
  <c r="K476" i="11" s="1"/>
  <c r="F477" i="11"/>
  <c r="F476" i="11" s="1"/>
  <c r="O476" i="11"/>
  <c r="N476" i="11"/>
  <c r="L476" i="11"/>
  <c r="I476" i="11"/>
  <c r="P471" i="11"/>
  <c r="M471" i="11"/>
  <c r="K471" i="11"/>
  <c r="H471" i="11"/>
  <c r="O470" i="11"/>
  <c r="N470" i="11"/>
  <c r="N469" i="11" s="1"/>
  <c r="L470" i="11"/>
  <c r="J470" i="11"/>
  <c r="I470" i="11"/>
  <c r="I469" i="11" s="1"/>
  <c r="G470" i="11"/>
  <c r="F470" i="11"/>
  <c r="F469" i="11" s="1"/>
  <c r="O468" i="11"/>
  <c r="N468" i="11"/>
  <c r="L468" i="11"/>
  <c r="L467" i="11" s="1"/>
  <c r="J468" i="11"/>
  <c r="I468" i="11"/>
  <c r="I467" i="11" s="1"/>
  <c r="G468" i="11"/>
  <c r="F468" i="11"/>
  <c r="F467" i="11" s="1"/>
  <c r="O467" i="11"/>
  <c r="O466" i="11"/>
  <c r="N466" i="11"/>
  <c r="N465" i="11" s="1"/>
  <c r="L466" i="11"/>
  <c r="J466" i="11"/>
  <c r="I466" i="11"/>
  <c r="G466" i="11"/>
  <c r="F466" i="11"/>
  <c r="F465" i="11" s="1"/>
  <c r="I465" i="11"/>
  <c r="P462" i="11"/>
  <c r="M462" i="11"/>
  <c r="J462" i="11"/>
  <c r="J461" i="11" s="1"/>
  <c r="G462" i="11"/>
  <c r="O461" i="11"/>
  <c r="N461" i="11"/>
  <c r="L461" i="11"/>
  <c r="I461" i="11"/>
  <c r="F461" i="11"/>
  <c r="O460" i="11"/>
  <c r="N460" i="11"/>
  <c r="N459" i="11" s="1"/>
  <c r="L460" i="11"/>
  <c r="L459" i="11" s="1"/>
  <c r="J460" i="11"/>
  <c r="I460" i="11"/>
  <c r="I459" i="11" s="1"/>
  <c r="G460" i="11"/>
  <c r="F460" i="11"/>
  <c r="F459" i="11" s="1"/>
  <c r="P458" i="11"/>
  <c r="M458" i="11"/>
  <c r="J458" i="11"/>
  <c r="G458" i="11"/>
  <c r="G457" i="11" s="1"/>
  <c r="F458" i="11"/>
  <c r="F457" i="11" s="1"/>
  <c r="O457" i="11"/>
  <c r="N457" i="11"/>
  <c r="L457" i="11"/>
  <c r="I457" i="11"/>
  <c r="P451" i="11"/>
  <c r="M451" i="11"/>
  <c r="K451" i="11"/>
  <c r="H451" i="11"/>
  <c r="O450" i="11"/>
  <c r="N450" i="11"/>
  <c r="N449" i="11" s="1"/>
  <c r="L450" i="11"/>
  <c r="L449" i="11" s="1"/>
  <c r="J450" i="11"/>
  <c r="I450" i="11"/>
  <c r="I449" i="11" s="1"/>
  <c r="G450" i="11"/>
  <c r="F450" i="11"/>
  <c r="F449" i="11" s="1"/>
  <c r="O449" i="11"/>
  <c r="P449" i="11" s="1"/>
  <c r="P448" i="11"/>
  <c r="M448" i="11"/>
  <c r="K448" i="11"/>
  <c r="H448" i="11"/>
  <c r="O447" i="11"/>
  <c r="N447" i="11"/>
  <c r="N445" i="11" s="1"/>
  <c r="N444" i="11" s="1"/>
  <c r="L447" i="11"/>
  <c r="J447" i="11"/>
  <c r="I447" i="11"/>
  <c r="I445" i="11" s="1"/>
  <c r="I444" i="11" s="1"/>
  <c r="G447" i="11"/>
  <c r="F447" i="11"/>
  <c r="F445" i="11" s="1"/>
  <c r="F444" i="11" s="1"/>
  <c r="P446" i="11"/>
  <c r="M446" i="11"/>
  <c r="K446" i="11"/>
  <c r="H446" i="11"/>
  <c r="P443" i="11"/>
  <c r="M443" i="11"/>
  <c r="K443" i="11"/>
  <c r="H443" i="11"/>
  <c r="O442" i="11"/>
  <c r="P442" i="11" s="1"/>
  <c r="N442" i="11"/>
  <c r="L442" i="11"/>
  <c r="J442" i="11"/>
  <c r="J441" i="11" s="1"/>
  <c r="I442" i="11"/>
  <c r="I441" i="11" s="1"/>
  <c r="G442" i="11"/>
  <c r="F442" i="11"/>
  <c r="N441" i="11"/>
  <c r="F441" i="11"/>
  <c r="O439" i="11"/>
  <c r="O438" i="11" s="1"/>
  <c r="L439" i="11"/>
  <c r="J439" i="11"/>
  <c r="J438" i="11" s="1"/>
  <c r="G439" i="11"/>
  <c r="F439" i="11"/>
  <c r="F438" i="11" s="1"/>
  <c r="N438" i="11"/>
  <c r="I438" i="11"/>
  <c r="P437" i="11"/>
  <c r="M437" i="11"/>
  <c r="K437" i="11"/>
  <c r="H437" i="11"/>
  <c r="P436" i="11"/>
  <c r="L436" i="11"/>
  <c r="J436" i="11"/>
  <c r="J435" i="11" s="1"/>
  <c r="I436" i="11"/>
  <c r="I435" i="11" s="1"/>
  <c r="G436" i="11"/>
  <c r="K436" i="11" s="1"/>
  <c r="F436" i="11"/>
  <c r="F435" i="11" s="1"/>
  <c r="O435" i="11"/>
  <c r="N435" i="11"/>
  <c r="P434" i="11"/>
  <c r="L434" i="11"/>
  <c r="J434" i="11"/>
  <c r="I434" i="11"/>
  <c r="I433" i="11" s="1"/>
  <c r="I432" i="11" s="1"/>
  <c r="G434" i="11"/>
  <c r="F434" i="11"/>
  <c r="F433" i="11" s="1"/>
  <c r="O433" i="11"/>
  <c r="N433" i="11"/>
  <c r="P431" i="11"/>
  <c r="M431" i="11"/>
  <c r="J431" i="11"/>
  <c r="G431" i="11"/>
  <c r="G430" i="11" s="1"/>
  <c r="F431" i="11"/>
  <c r="F430" i="11" s="1"/>
  <c r="F429" i="11" s="1"/>
  <c r="O430" i="11"/>
  <c r="N430" i="11"/>
  <c r="N429" i="11" s="1"/>
  <c r="L430" i="11"/>
  <c r="M430" i="11" s="1"/>
  <c r="I430" i="11"/>
  <c r="I429" i="11" s="1"/>
  <c r="P424" i="11"/>
  <c r="M424" i="11"/>
  <c r="J424" i="11"/>
  <c r="G424" i="11"/>
  <c r="G423" i="11" s="1"/>
  <c r="O423" i="11"/>
  <c r="N423" i="11"/>
  <c r="N422" i="11" s="1"/>
  <c r="N421" i="11" s="1"/>
  <c r="N420" i="11" s="1"/>
  <c r="L423" i="11"/>
  <c r="I423" i="11"/>
  <c r="I422" i="11" s="1"/>
  <c r="I421" i="11" s="1"/>
  <c r="I420" i="11" s="1"/>
  <c r="F423" i="11"/>
  <c r="F422" i="11" s="1"/>
  <c r="F421" i="11" s="1"/>
  <c r="F420" i="11" s="1"/>
  <c r="P419" i="11"/>
  <c r="M419" i="11"/>
  <c r="K419" i="11"/>
  <c r="H419" i="11"/>
  <c r="O418" i="11"/>
  <c r="N418" i="11"/>
  <c r="L418" i="11"/>
  <c r="J418" i="11"/>
  <c r="I418" i="11"/>
  <c r="G418" i="11"/>
  <c r="F418" i="11"/>
  <c r="O417" i="11"/>
  <c r="O416" i="11" s="1"/>
  <c r="N417" i="11"/>
  <c r="N416" i="11" s="1"/>
  <c r="M417" i="11"/>
  <c r="G417" i="11"/>
  <c r="L416" i="11"/>
  <c r="L415" i="11" s="1"/>
  <c r="L414" i="11" s="1"/>
  <c r="J416" i="11"/>
  <c r="I416" i="11"/>
  <c r="F416" i="11"/>
  <c r="P412" i="11"/>
  <c r="M412" i="11"/>
  <c r="K412" i="11"/>
  <c r="H412" i="11"/>
  <c r="O411" i="11"/>
  <c r="N411" i="11"/>
  <c r="N410" i="11" s="1"/>
  <c r="L411" i="11"/>
  <c r="L410" i="11" s="1"/>
  <c r="J411" i="11"/>
  <c r="I411" i="11"/>
  <c r="I410" i="11" s="1"/>
  <c r="G411" i="11"/>
  <c r="F411" i="11"/>
  <c r="F410" i="11" s="1"/>
  <c r="O409" i="11"/>
  <c r="N409" i="11"/>
  <c r="N408" i="11" s="1"/>
  <c r="N407" i="11" s="1"/>
  <c r="L409" i="11"/>
  <c r="M409" i="11" s="1"/>
  <c r="J409" i="11"/>
  <c r="J408" i="11" s="1"/>
  <c r="J407" i="11" s="1"/>
  <c r="I409" i="11"/>
  <c r="I408" i="11" s="1"/>
  <c r="G409" i="11"/>
  <c r="F409" i="11"/>
  <c r="F408" i="11" s="1"/>
  <c r="F407" i="11" s="1"/>
  <c r="I407" i="11"/>
  <c r="P406" i="11"/>
  <c r="M406" i="11"/>
  <c r="K406" i="11"/>
  <c r="H406" i="11"/>
  <c r="O405" i="11"/>
  <c r="N405" i="11"/>
  <c r="L405" i="11"/>
  <c r="J405" i="11"/>
  <c r="I405" i="11"/>
  <c r="G405" i="11"/>
  <c r="F405" i="11"/>
  <c r="P404" i="11"/>
  <c r="M404" i="11"/>
  <c r="K404" i="11"/>
  <c r="H404" i="11"/>
  <c r="O403" i="11"/>
  <c r="P403" i="11" s="1"/>
  <c r="N403" i="11"/>
  <c r="N402" i="11" s="1"/>
  <c r="L403" i="11"/>
  <c r="L402" i="11" s="1"/>
  <c r="J403" i="11"/>
  <c r="J402" i="11" s="1"/>
  <c r="I403" i="11"/>
  <c r="G403" i="11"/>
  <c r="F403" i="11"/>
  <c r="F402" i="11"/>
  <c r="F401" i="11" s="1"/>
  <c r="J399" i="11"/>
  <c r="O398" i="11"/>
  <c r="N398" i="11"/>
  <c r="M398" i="11"/>
  <c r="L398" i="11"/>
  <c r="I398" i="11"/>
  <c r="H398" i="11"/>
  <c r="G398" i="11"/>
  <c r="O397" i="11"/>
  <c r="O396" i="11" s="1"/>
  <c r="N397" i="11"/>
  <c r="L397" i="11"/>
  <c r="J397" i="11"/>
  <c r="J396" i="11" s="1"/>
  <c r="I397" i="11"/>
  <c r="G397" i="11"/>
  <c r="F397" i="11"/>
  <c r="I396" i="11"/>
  <c r="F396" i="11"/>
  <c r="P395" i="11"/>
  <c r="M395" i="11"/>
  <c r="J395" i="11"/>
  <c r="J394" i="11" s="1"/>
  <c r="K394" i="11" s="1"/>
  <c r="G395" i="11"/>
  <c r="G394" i="11" s="1"/>
  <c r="O394" i="11"/>
  <c r="N394" i="11"/>
  <c r="L394" i="11"/>
  <c r="M394" i="11" s="1"/>
  <c r="I394" i="11"/>
  <c r="F394" i="11"/>
  <c r="P393" i="11"/>
  <c r="M393" i="11"/>
  <c r="K393" i="11"/>
  <c r="H393" i="11"/>
  <c r="O392" i="11"/>
  <c r="N392" i="11"/>
  <c r="L392" i="11"/>
  <c r="J392" i="11"/>
  <c r="I392" i="11"/>
  <c r="G392" i="11"/>
  <c r="F392" i="11"/>
  <c r="P391" i="11"/>
  <c r="M391" i="11"/>
  <c r="K391" i="11"/>
  <c r="H391" i="11"/>
  <c r="O390" i="11"/>
  <c r="N390" i="11"/>
  <c r="L390" i="11"/>
  <c r="J390" i="11"/>
  <c r="I390" i="11"/>
  <c r="G390" i="11"/>
  <c r="F390" i="11"/>
  <c r="H390" i="11" s="1"/>
  <c r="P389" i="11"/>
  <c r="M389" i="11"/>
  <c r="J389" i="11"/>
  <c r="J388" i="11" s="1"/>
  <c r="G389" i="11"/>
  <c r="G388" i="11" s="1"/>
  <c r="O388" i="11"/>
  <c r="N388" i="11"/>
  <c r="L388" i="11"/>
  <c r="I388" i="11"/>
  <c r="F388" i="11"/>
  <c r="P386" i="11"/>
  <c r="M386" i="11"/>
  <c r="J386" i="11"/>
  <c r="G386" i="11"/>
  <c r="G385" i="11" s="1"/>
  <c r="F386" i="11"/>
  <c r="F385" i="11" s="1"/>
  <c r="F384" i="11" s="1"/>
  <c r="O385" i="11"/>
  <c r="N385" i="11"/>
  <c r="N384" i="11" s="1"/>
  <c r="L385" i="11"/>
  <c r="I385" i="11"/>
  <c r="I384" i="11"/>
  <c r="P383" i="11"/>
  <c r="M383" i="11"/>
  <c r="J383" i="11"/>
  <c r="J382" i="11" s="1"/>
  <c r="G383" i="11"/>
  <c r="G382" i="11" s="1"/>
  <c r="F383" i="11"/>
  <c r="F382" i="11" s="1"/>
  <c r="O382" i="11"/>
  <c r="N382" i="11"/>
  <c r="L382" i="11"/>
  <c r="I382" i="11"/>
  <c r="P381" i="11"/>
  <c r="M381" i="11"/>
  <c r="J381" i="11"/>
  <c r="G381" i="11"/>
  <c r="G380" i="11" s="1"/>
  <c r="H380" i="11" s="1"/>
  <c r="F381" i="11"/>
  <c r="F380" i="11" s="1"/>
  <c r="O380" i="11"/>
  <c r="N380" i="11"/>
  <c r="L380" i="11"/>
  <c r="I380" i="11"/>
  <c r="P377" i="11"/>
  <c r="M377" i="11"/>
  <c r="J377" i="11"/>
  <c r="G377" i="11"/>
  <c r="G376" i="11" s="1"/>
  <c r="F377" i="11"/>
  <c r="F376" i="11" s="1"/>
  <c r="O376" i="11"/>
  <c r="N376" i="11"/>
  <c r="L376" i="11"/>
  <c r="I376" i="11"/>
  <c r="O375" i="11"/>
  <c r="O374" i="11" s="1"/>
  <c r="N375" i="11"/>
  <c r="N374" i="11" s="1"/>
  <c r="L375" i="11"/>
  <c r="L374" i="11" s="1"/>
  <c r="J375" i="11"/>
  <c r="I375" i="11"/>
  <c r="I374" i="11" s="1"/>
  <c r="I373" i="11" s="1"/>
  <c r="I372" i="11" s="1"/>
  <c r="G375" i="11"/>
  <c r="G374" i="11" s="1"/>
  <c r="G373" i="11" s="1"/>
  <c r="G372" i="11" s="1"/>
  <c r="F375" i="11"/>
  <c r="F374" i="11" s="1"/>
  <c r="P369" i="11"/>
  <c r="M369" i="11"/>
  <c r="J369" i="11"/>
  <c r="G369" i="11"/>
  <c r="F369" i="11"/>
  <c r="H369" i="11" s="1"/>
  <c r="O368" i="11"/>
  <c r="O367" i="11" s="1"/>
  <c r="N368" i="11"/>
  <c r="N367" i="11" s="1"/>
  <c r="N366" i="11" s="1"/>
  <c r="N365" i="11" s="1"/>
  <c r="L368" i="11"/>
  <c r="I368" i="11"/>
  <c r="I367" i="11" s="1"/>
  <c r="I366" i="11" s="1"/>
  <c r="I365" i="11" s="1"/>
  <c r="G368" i="11"/>
  <c r="P364" i="11"/>
  <c r="M364" i="11"/>
  <c r="K364" i="11"/>
  <c r="H364" i="11"/>
  <c r="O363" i="11"/>
  <c r="N363" i="11"/>
  <c r="L363" i="11"/>
  <c r="M363" i="11" s="1"/>
  <c r="J363" i="11"/>
  <c r="K363" i="11" s="1"/>
  <c r="I363" i="11"/>
  <c r="G363" i="11"/>
  <c r="F363" i="11"/>
  <c r="H363" i="11" s="1"/>
  <c r="P362" i="11"/>
  <c r="M362" i="11"/>
  <c r="J362" i="11"/>
  <c r="J361" i="11" s="1"/>
  <c r="G362" i="11"/>
  <c r="F362" i="11"/>
  <c r="F361" i="11" s="1"/>
  <c r="O361" i="11"/>
  <c r="N361" i="11"/>
  <c r="P361" i="11" s="1"/>
  <c r="L361" i="11"/>
  <c r="I361" i="11"/>
  <c r="P360" i="11"/>
  <c r="M360" i="11"/>
  <c r="K360" i="11"/>
  <c r="H360" i="11"/>
  <c r="O359" i="11"/>
  <c r="N359" i="11"/>
  <c r="N358" i="11" s="1"/>
  <c r="L359" i="11"/>
  <c r="J358" i="11"/>
  <c r="I359" i="11"/>
  <c r="I358" i="11" s="1"/>
  <c r="G359" i="11"/>
  <c r="F359" i="11"/>
  <c r="F358" i="11" s="1"/>
  <c r="O355" i="11"/>
  <c r="N355" i="11"/>
  <c r="N354" i="11" s="1"/>
  <c r="N353" i="11" s="1"/>
  <c r="L355" i="11"/>
  <c r="J354" i="11"/>
  <c r="J353" i="11" s="1"/>
  <c r="I355" i="11"/>
  <c r="I354" i="11" s="1"/>
  <c r="I353" i="11" s="1"/>
  <c r="G355" i="11"/>
  <c r="F355" i="11"/>
  <c r="F354" i="11" s="1"/>
  <c r="F353" i="11" s="1"/>
  <c r="P352" i="11"/>
  <c r="M352" i="11"/>
  <c r="K352" i="11"/>
  <c r="H352" i="11"/>
  <c r="O351" i="11"/>
  <c r="N351" i="11"/>
  <c r="L351" i="11"/>
  <c r="J351" i="11"/>
  <c r="I351" i="11"/>
  <c r="G351" i="11"/>
  <c r="F351" i="11"/>
  <c r="P350" i="11"/>
  <c r="M350" i="11"/>
  <c r="J350" i="11"/>
  <c r="J349" i="11" s="1"/>
  <c r="G350" i="11"/>
  <c r="H350" i="11" s="1"/>
  <c r="O349" i="11"/>
  <c r="N349" i="11"/>
  <c r="N348" i="11" s="1"/>
  <c r="L349" i="11"/>
  <c r="I349" i="11"/>
  <c r="F349" i="11"/>
  <c r="P347" i="11"/>
  <c r="M347" i="11"/>
  <c r="J346" i="11"/>
  <c r="J345" i="11" s="1"/>
  <c r="G347" i="11"/>
  <c r="H347" i="11" s="1"/>
  <c r="O346" i="11"/>
  <c r="N346" i="11"/>
  <c r="N345" i="11" s="1"/>
  <c r="L346" i="11"/>
  <c r="L345" i="11" s="1"/>
  <c r="I346" i="11"/>
  <c r="F346" i="11"/>
  <c r="F345" i="11" s="1"/>
  <c r="P344" i="11"/>
  <c r="M344" i="11"/>
  <c r="K344" i="11"/>
  <c r="H344" i="11"/>
  <c r="O343" i="11"/>
  <c r="N343" i="11"/>
  <c r="L343" i="11"/>
  <c r="J343" i="11"/>
  <c r="I343" i="11"/>
  <c r="G343" i="11"/>
  <c r="F343" i="11"/>
  <c r="P342" i="11"/>
  <c r="M342" i="11"/>
  <c r="J340" i="11"/>
  <c r="G342" i="11"/>
  <c r="F342" i="11"/>
  <c r="F340" i="11" s="1"/>
  <c r="P341" i="11"/>
  <c r="M341" i="11"/>
  <c r="K341" i="11"/>
  <c r="H341" i="11"/>
  <c r="O340" i="11"/>
  <c r="N340" i="11"/>
  <c r="L340" i="11"/>
  <c r="I340" i="11"/>
  <c r="P339" i="11"/>
  <c r="M339" i="11"/>
  <c r="J339" i="11"/>
  <c r="J337" i="11" s="1"/>
  <c r="G339" i="11"/>
  <c r="H339" i="11" s="1"/>
  <c r="F339" i="11"/>
  <c r="F337" i="11" s="1"/>
  <c r="P338" i="11"/>
  <c r="M338" i="11"/>
  <c r="K338" i="11"/>
  <c r="H338" i="11"/>
  <c r="O337" i="11"/>
  <c r="N337" i="11"/>
  <c r="L337" i="11"/>
  <c r="M337" i="11" s="1"/>
  <c r="I337" i="11"/>
  <c r="P332" i="11"/>
  <c r="M332" i="11"/>
  <c r="G332" i="11"/>
  <c r="F332" i="11"/>
  <c r="F331" i="11" s="1"/>
  <c r="F330" i="11" s="1"/>
  <c r="O331" i="11"/>
  <c r="N331" i="11"/>
  <c r="N330" i="11" s="1"/>
  <c r="L331" i="11"/>
  <c r="L330" i="11" s="1"/>
  <c r="J331" i="11"/>
  <c r="I331" i="11"/>
  <c r="I330" i="11" s="1"/>
  <c r="O329" i="11"/>
  <c r="P329" i="11" s="1"/>
  <c r="N329" i="11"/>
  <c r="N328" i="11" s="1"/>
  <c r="N327" i="11" s="1"/>
  <c r="L329" i="11"/>
  <c r="L328" i="11" s="1"/>
  <c r="J329" i="11"/>
  <c r="J328" i="11" s="1"/>
  <c r="J327" i="11" s="1"/>
  <c r="I329" i="11"/>
  <c r="I328" i="11" s="1"/>
  <c r="I327" i="11" s="1"/>
  <c r="G329" i="11"/>
  <c r="F329" i="11"/>
  <c r="O325" i="11"/>
  <c r="O324" i="11" s="1"/>
  <c r="N325" i="11"/>
  <c r="N324" i="11" s="1"/>
  <c r="L325" i="11"/>
  <c r="L324" i="11" s="1"/>
  <c r="J325" i="11"/>
  <c r="I325" i="11"/>
  <c r="I324" i="11" s="1"/>
  <c r="G325" i="11"/>
  <c r="K325" i="11" s="1"/>
  <c r="F325" i="11"/>
  <c r="F324" i="11" s="1"/>
  <c r="J324" i="11"/>
  <c r="O323" i="11"/>
  <c r="N323" i="11"/>
  <c r="N322" i="11" s="1"/>
  <c r="L323" i="11"/>
  <c r="L322" i="11" s="1"/>
  <c r="J323" i="11"/>
  <c r="J322" i="11" s="1"/>
  <c r="I323" i="11"/>
  <c r="I322" i="11" s="1"/>
  <c r="G323" i="11"/>
  <c r="F323" i="11"/>
  <c r="F322" i="11" s="1"/>
  <c r="P318" i="11"/>
  <c r="M318" i="11"/>
  <c r="K318" i="11"/>
  <c r="H318" i="11"/>
  <c r="O317" i="11"/>
  <c r="O316" i="11" s="1"/>
  <c r="N317" i="11"/>
  <c r="N316" i="11" s="1"/>
  <c r="N315" i="11" s="1"/>
  <c r="L317" i="11"/>
  <c r="L316" i="11" s="1"/>
  <c r="L315" i="11" s="1"/>
  <c r="J317" i="11"/>
  <c r="I317" i="11"/>
  <c r="I316" i="11" s="1"/>
  <c r="I315" i="11" s="1"/>
  <c r="I314" i="11" s="1"/>
  <c r="G317" i="11"/>
  <c r="G316" i="11" s="1"/>
  <c r="G315" i="11" s="1"/>
  <c r="G314" i="11" s="1"/>
  <c r="F317" i="11"/>
  <c r="P313" i="11"/>
  <c r="M313" i="11"/>
  <c r="K313" i="11"/>
  <c r="H313" i="11"/>
  <c r="O312" i="11"/>
  <c r="O311" i="11" s="1"/>
  <c r="O310" i="11" s="1"/>
  <c r="O309" i="11" s="1"/>
  <c r="N312" i="11"/>
  <c r="L312" i="11"/>
  <c r="L311" i="11" s="1"/>
  <c r="L310" i="11" s="1"/>
  <c r="J312" i="11"/>
  <c r="I312" i="11"/>
  <c r="G312" i="11"/>
  <c r="G311" i="11" s="1"/>
  <c r="G310" i="11" s="1"/>
  <c r="G309" i="11" s="1"/>
  <c r="F312" i="11"/>
  <c r="F311" i="11" s="1"/>
  <c r="F310" i="11" s="1"/>
  <c r="F309" i="11" s="1"/>
  <c r="P306" i="11"/>
  <c r="M306" i="11"/>
  <c r="K306" i="11"/>
  <c r="H306" i="11"/>
  <c r="P305" i="11"/>
  <c r="M305" i="11"/>
  <c r="J305" i="11"/>
  <c r="G305" i="11"/>
  <c r="F305" i="11"/>
  <c r="O304" i="11"/>
  <c r="N304" i="11"/>
  <c r="N303" i="11" s="1"/>
  <c r="N302" i="11" s="1"/>
  <c r="L304" i="11"/>
  <c r="L303" i="11" s="1"/>
  <c r="L302" i="11" s="1"/>
  <c r="I304" i="11"/>
  <c r="G304" i="11"/>
  <c r="K304" i="11" s="1"/>
  <c r="F304" i="11"/>
  <c r="P301" i="11"/>
  <c r="M301" i="11"/>
  <c r="K301" i="11"/>
  <c r="H301" i="11"/>
  <c r="O300" i="11"/>
  <c r="O299" i="11" s="1"/>
  <c r="N300" i="11"/>
  <c r="L300" i="11"/>
  <c r="J300" i="11"/>
  <c r="J299" i="11" s="1"/>
  <c r="I300" i="11"/>
  <c r="G300" i="11"/>
  <c r="F300" i="11"/>
  <c r="F299" i="11" s="1"/>
  <c r="N299" i="11"/>
  <c r="I299" i="11"/>
  <c r="P297" i="11"/>
  <c r="M297" i="11"/>
  <c r="K297" i="11"/>
  <c r="H297" i="11"/>
  <c r="P296" i="11"/>
  <c r="M296" i="11"/>
  <c r="K296" i="11"/>
  <c r="H296" i="11"/>
  <c r="O295" i="11"/>
  <c r="N295" i="11"/>
  <c r="L295" i="11"/>
  <c r="J295" i="11"/>
  <c r="I295" i="11"/>
  <c r="G295" i="11"/>
  <c r="F295" i="11"/>
  <c r="P294" i="11"/>
  <c r="M294" i="11"/>
  <c r="J294" i="11"/>
  <c r="G294" i="11"/>
  <c r="G293" i="11" s="1"/>
  <c r="F294" i="11"/>
  <c r="F293" i="11" s="1"/>
  <c r="O293" i="11"/>
  <c r="N293" i="11"/>
  <c r="N292" i="11" s="1"/>
  <c r="N291" i="11" s="1"/>
  <c r="L293" i="11"/>
  <c r="I293" i="11"/>
  <c r="O289" i="11"/>
  <c r="N289" i="11"/>
  <c r="N288" i="11" s="1"/>
  <c r="L289" i="11"/>
  <c r="L288" i="11" s="1"/>
  <c r="J289" i="11"/>
  <c r="I289" i="11"/>
  <c r="I288" i="11" s="1"/>
  <c r="G289" i="11"/>
  <c r="F289" i="11"/>
  <c r="F288" i="11" s="1"/>
  <c r="O287" i="11"/>
  <c r="N287" i="11"/>
  <c r="N286" i="11" s="1"/>
  <c r="L287" i="11"/>
  <c r="J287" i="11"/>
  <c r="I287" i="11"/>
  <c r="I286" i="11" s="1"/>
  <c r="G287" i="11"/>
  <c r="F287" i="11"/>
  <c r="F286" i="11" s="1"/>
  <c r="J286" i="11"/>
  <c r="P285" i="11"/>
  <c r="M285" i="11"/>
  <c r="K285" i="11"/>
  <c r="H285" i="11"/>
  <c r="O284" i="11"/>
  <c r="N284" i="11"/>
  <c r="L284" i="11"/>
  <c r="J284" i="11"/>
  <c r="I284" i="11"/>
  <c r="G284" i="11"/>
  <c r="F284" i="11"/>
  <c r="P283" i="11"/>
  <c r="M283" i="11"/>
  <c r="K283" i="11"/>
  <c r="H283" i="11"/>
  <c r="O282" i="11"/>
  <c r="N282" i="11"/>
  <c r="L282" i="11"/>
  <c r="J282" i="11"/>
  <c r="I282" i="11"/>
  <c r="G282" i="11"/>
  <c r="F282" i="11"/>
  <c r="O279" i="11"/>
  <c r="L279" i="11"/>
  <c r="L278" i="11" s="1"/>
  <c r="J279" i="11"/>
  <c r="G279" i="11"/>
  <c r="H279" i="11" s="1"/>
  <c r="N278" i="11"/>
  <c r="I278" i="11"/>
  <c r="M278" i="11" s="1"/>
  <c r="F278" i="11"/>
  <c r="P277" i="11"/>
  <c r="M277" i="11"/>
  <c r="K277" i="11"/>
  <c r="H277" i="11"/>
  <c r="O276" i="11"/>
  <c r="N276" i="11"/>
  <c r="L276" i="11"/>
  <c r="L275" i="11" s="1"/>
  <c r="L274" i="11" s="1"/>
  <c r="J276" i="11"/>
  <c r="I276" i="11"/>
  <c r="G276" i="11"/>
  <c r="F276" i="11"/>
  <c r="P271" i="11"/>
  <c r="M271" i="11"/>
  <c r="J271" i="11"/>
  <c r="G271" i="11"/>
  <c r="G270" i="11" s="1"/>
  <c r="F271" i="11"/>
  <c r="F270" i="11" s="1"/>
  <c r="F269" i="11" s="1"/>
  <c r="F268" i="11" s="1"/>
  <c r="F267" i="11" s="1"/>
  <c r="O270" i="11"/>
  <c r="O269" i="11" s="1"/>
  <c r="N270" i="11"/>
  <c r="N269" i="11" s="1"/>
  <c r="N268" i="11" s="1"/>
  <c r="N267" i="11" s="1"/>
  <c r="L270" i="11"/>
  <c r="I270" i="11"/>
  <c r="I269" i="11" s="1"/>
  <c r="I268" i="11" s="1"/>
  <c r="I267" i="11" s="1"/>
  <c r="P266" i="11"/>
  <c r="M266" i="11"/>
  <c r="K266" i="11"/>
  <c r="H266" i="11"/>
  <c r="O265" i="11"/>
  <c r="O264" i="11" s="1"/>
  <c r="N265" i="11"/>
  <c r="N264" i="11" s="1"/>
  <c r="L265" i="11"/>
  <c r="J265" i="11"/>
  <c r="J264" i="11" s="1"/>
  <c r="I265" i="11"/>
  <c r="I264" i="11" s="1"/>
  <c r="G265" i="11"/>
  <c r="F265" i="11"/>
  <c r="F264" i="11" s="1"/>
  <c r="P263" i="11"/>
  <c r="M263" i="11"/>
  <c r="J263" i="11"/>
  <c r="J262" i="11" s="1"/>
  <c r="G263" i="11"/>
  <c r="F263" i="11"/>
  <c r="F262" i="11" s="1"/>
  <c r="F261" i="11" s="1"/>
  <c r="O262" i="11"/>
  <c r="N262" i="11"/>
  <c r="L262" i="11"/>
  <c r="L261" i="11" s="1"/>
  <c r="I262" i="11"/>
  <c r="N261" i="11"/>
  <c r="P259" i="11"/>
  <c r="M259" i="11"/>
  <c r="K259" i="11"/>
  <c r="H259" i="11"/>
  <c r="O258" i="11"/>
  <c r="N258" i="11"/>
  <c r="L258" i="11"/>
  <c r="J258" i="11"/>
  <c r="I258" i="11"/>
  <c r="G258" i="11"/>
  <c r="F258" i="11"/>
  <c r="O257" i="11"/>
  <c r="N257" i="11"/>
  <c r="N256" i="11" s="1"/>
  <c r="N255" i="11" s="1"/>
  <c r="N254" i="11" s="1"/>
  <c r="L257" i="11"/>
  <c r="L256" i="11" s="1"/>
  <c r="J257" i="11"/>
  <c r="J256" i="11" s="1"/>
  <c r="I257" i="11"/>
  <c r="I256" i="11" s="1"/>
  <c r="G257" i="11"/>
  <c r="F257" i="11"/>
  <c r="F256" i="11" s="1"/>
  <c r="O251" i="11"/>
  <c r="N251" i="11"/>
  <c r="N250" i="11" s="1"/>
  <c r="N249" i="11" s="1"/>
  <c r="L251" i="11"/>
  <c r="L250" i="11" s="1"/>
  <c r="J251" i="11"/>
  <c r="I251" i="11"/>
  <c r="I250" i="11" s="1"/>
  <c r="I249" i="11" s="1"/>
  <c r="G251" i="11"/>
  <c r="F251" i="11"/>
  <c r="F250" i="11" s="1"/>
  <c r="F249" i="11" s="1"/>
  <c r="O248" i="11"/>
  <c r="N248" i="11"/>
  <c r="N247" i="11" s="1"/>
  <c r="N246" i="11" s="1"/>
  <c r="L248" i="11"/>
  <c r="J248" i="11"/>
  <c r="J247" i="11" s="1"/>
  <c r="I248" i="11"/>
  <c r="I247" i="11" s="1"/>
  <c r="I246" i="11" s="1"/>
  <c r="G248" i="11"/>
  <c r="K248" i="11" s="1"/>
  <c r="F248" i="11"/>
  <c r="F247" i="11" s="1"/>
  <c r="F246" i="11" s="1"/>
  <c r="P242" i="11"/>
  <c r="M242" i="11"/>
  <c r="J242" i="11"/>
  <c r="K242" i="11" s="1"/>
  <c r="G242" i="11"/>
  <c r="G241" i="11" s="1"/>
  <c r="O241" i="11"/>
  <c r="O240" i="11" s="1"/>
  <c r="N241" i="11"/>
  <c r="L241" i="11"/>
  <c r="I241" i="11"/>
  <c r="I240" i="11" s="1"/>
  <c r="I239" i="11" s="1"/>
  <c r="I238" i="11" s="1"/>
  <c r="I237" i="11" s="1"/>
  <c r="F241" i="11"/>
  <c r="F240" i="11" s="1"/>
  <c r="F239" i="11" s="1"/>
  <c r="F238" i="11" s="1"/>
  <c r="F237" i="11" s="1"/>
  <c r="O235" i="11"/>
  <c r="P235" i="11" s="1"/>
  <c r="N235" i="11"/>
  <c r="N233" i="11" s="1"/>
  <c r="L235" i="11"/>
  <c r="L233" i="11" s="1"/>
  <c r="J235" i="11"/>
  <c r="I235" i="11"/>
  <c r="I233" i="11" s="1"/>
  <c r="G235" i="11"/>
  <c r="H235" i="11" s="1"/>
  <c r="F235" i="11"/>
  <c r="F233" i="11" s="1"/>
  <c r="P234" i="11"/>
  <c r="M234" i="11"/>
  <c r="K234" i="11"/>
  <c r="H234" i="11"/>
  <c r="P232" i="11"/>
  <c r="M232" i="11"/>
  <c r="K232" i="11"/>
  <c r="H232" i="11"/>
  <c r="O231" i="11"/>
  <c r="N231" i="11"/>
  <c r="L231" i="11"/>
  <c r="J231" i="11"/>
  <c r="I231" i="11"/>
  <c r="G231" i="11"/>
  <c r="F231" i="11"/>
  <c r="P230" i="11"/>
  <c r="M230" i="11"/>
  <c r="K230" i="11"/>
  <c r="H230" i="11"/>
  <c r="O229" i="11"/>
  <c r="N229" i="11"/>
  <c r="L229" i="11"/>
  <c r="L228" i="11" s="1"/>
  <c r="J229" i="11"/>
  <c r="I229" i="11"/>
  <c r="G229" i="11"/>
  <c r="F229" i="11"/>
  <c r="P226" i="11"/>
  <c r="M226" i="11"/>
  <c r="K226" i="11"/>
  <c r="H226" i="11"/>
  <c r="O225" i="11"/>
  <c r="N225" i="11"/>
  <c r="N224" i="11" s="1"/>
  <c r="L225" i="11"/>
  <c r="J225" i="11"/>
  <c r="J224" i="11" s="1"/>
  <c r="I225" i="11"/>
  <c r="I224" i="11" s="1"/>
  <c r="G225" i="11"/>
  <c r="F225" i="11"/>
  <c r="F224" i="11" s="1"/>
  <c r="O224" i="11"/>
  <c r="P223" i="11"/>
  <c r="M223" i="11"/>
  <c r="J223" i="11"/>
  <c r="J222" i="11" s="1"/>
  <c r="G223" i="11"/>
  <c r="F223" i="11"/>
  <c r="F222" i="11" s="1"/>
  <c r="O222" i="11"/>
  <c r="P222" i="11" s="1"/>
  <c r="N222" i="11"/>
  <c r="L222" i="11"/>
  <c r="I222" i="11"/>
  <c r="G222" i="11"/>
  <c r="H222" i="11" s="1"/>
  <c r="O221" i="11"/>
  <c r="O220" i="11" s="1"/>
  <c r="N221" i="11"/>
  <c r="L221" i="11"/>
  <c r="J221" i="11"/>
  <c r="J220" i="11" s="1"/>
  <c r="J219" i="11" s="1"/>
  <c r="I221" i="11"/>
  <c r="I220" i="11" s="1"/>
  <c r="G221" i="11"/>
  <c r="F221" i="11"/>
  <c r="F220" i="11" s="1"/>
  <c r="K216" i="11"/>
  <c r="P215" i="11"/>
  <c r="M215" i="11"/>
  <c r="M214" i="11" s="1"/>
  <c r="J215" i="11"/>
  <c r="J214" i="11" s="1"/>
  <c r="J213" i="11" s="1"/>
  <c r="J212" i="11" s="1"/>
  <c r="J211" i="11" s="1"/>
  <c r="H215" i="11"/>
  <c r="H214" i="11" s="1"/>
  <c r="O214" i="11"/>
  <c r="O213" i="11" s="1"/>
  <c r="O212" i="11" s="1"/>
  <c r="N214" i="11"/>
  <c r="N213" i="11" s="1"/>
  <c r="N212" i="11" s="1"/>
  <c r="N211" i="11" s="1"/>
  <c r="L214" i="11"/>
  <c r="L213" i="11" s="1"/>
  <c r="I214" i="11"/>
  <c r="I213" i="11" s="1"/>
  <c r="I212" i="11" s="1"/>
  <c r="I211" i="11" s="1"/>
  <c r="G214" i="11"/>
  <c r="G213" i="11" s="1"/>
  <c r="F214" i="11"/>
  <c r="F213" i="11" s="1"/>
  <c r="F212" i="11" s="1"/>
  <c r="F211" i="11" s="1"/>
  <c r="P209" i="11"/>
  <c r="M209" i="11"/>
  <c r="K209" i="11"/>
  <c r="H209" i="11"/>
  <c r="O208" i="11"/>
  <c r="O207" i="11" s="1"/>
  <c r="N208" i="11"/>
  <c r="N207" i="11" s="1"/>
  <c r="N206" i="11" s="1"/>
  <c r="L208" i="11"/>
  <c r="J208" i="11"/>
  <c r="J207" i="11" s="1"/>
  <c r="I208" i="11"/>
  <c r="I207" i="11" s="1"/>
  <c r="I206" i="11" s="1"/>
  <c r="G208" i="11"/>
  <c r="G207" i="11" s="1"/>
  <c r="F208" i="11"/>
  <c r="F207" i="11" s="1"/>
  <c r="F206" i="11" s="1"/>
  <c r="P205" i="11"/>
  <c r="M205" i="11"/>
  <c r="K205" i="11"/>
  <c r="H205" i="11"/>
  <c r="O204" i="11"/>
  <c r="N204" i="11"/>
  <c r="L204" i="11"/>
  <c r="J204" i="11"/>
  <c r="I204" i="11"/>
  <c r="G204" i="11"/>
  <c r="F204" i="11"/>
  <c r="H204" i="11" s="1"/>
  <c r="P203" i="11"/>
  <c r="L203" i="11"/>
  <c r="L202" i="11" s="1"/>
  <c r="J203" i="11"/>
  <c r="I203" i="11"/>
  <c r="I202" i="11" s="1"/>
  <c r="G203" i="11"/>
  <c r="G202" i="11" s="1"/>
  <c r="G201" i="11" s="1"/>
  <c r="F203" i="11"/>
  <c r="F202" i="11" s="1"/>
  <c r="F201" i="11" s="1"/>
  <c r="F200" i="11" s="1"/>
  <c r="O202" i="11"/>
  <c r="N202" i="11"/>
  <c r="J202" i="11"/>
  <c r="P197" i="11"/>
  <c r="M197" i="11"/>
  <c r="K197" i="11"/>
  <c r="H197" i="11"/>
  <c r="O196" i="11"/>
  <c r="N196" i="11"/>
  <c r="N195" i="11" s="1"/>
  <c r="N194" i="11" s="1"/>
  <c r="L196" i="11"/>
  <c r="L195" i="11" s="1"/>
  <c r="J196" i="11"/>
  <c r="I196" i="11"/>
  <c r="I195" i="11" s="1"/>
  <c r="I194" i="11" s="1"/>
  <c r="G196" i="11"/>
  <c r="F196" i="11"/>
  <c r="F195" i="11" s="1"/>
  <c r="F194" i="11" s="1"/>
  <c r="P193" i="11"/>
  <c r="M193" i="11"/>
  <c r="K193" i="11"/>
  <c r="H193" i="11"/>
  <c r="O192" i="11"/>
  <c r="N192" i="11"/>
  <c r="L192" i="11"/>
  <c r="J192" i="11"/>
  <c r="I192" i="11"/>
  <c r="G192" i="11"/>
  <c r="F192" i="11"/>
  <c r="H192" i="11" s="1"/>
  <c r="P191" i="11"/>
  <c r="M191" i="11"/>
  <c r="K191" i="11"/>
  <c r="H191" i="11"/>
  <c r="O190" i="11"/>
  <c r="N190" i="11"/>
  <c r="L190" i="11"/>
  <c r="J190" i="11"/>
  <c r="I190" i="11"/>
  <c r="M190" i="11" s="1"/>
  <c r="G190" i="11"/>
  <c r="F190" i="11"/>
  <c r="P189" i="11"/>
  <c r="M189" i="11"/>
  <c r="K189" i="11"/>
  <c r="H189" i="11"/>
  <c r="O188" i="11"/>
  <c r="N188" i="11"/>
  <c r="L188" i="11"/>
  <c r="J188" i="11"/>
  <c r="I188" i="11"/>
  <c r="G188" i="11"/>
  <c r="F188" i="11"/>
  <c r="P187" i="11"/>
  <c r="M187" i="11"/>
  <c r="K187" i="11"/>
  <c r="H187" i="11"/>
  <c r="O186" i="11"/>
  <c r="N186" i="11"/>
  <c r="L186" i="11"/>
  <c r="J186" i="11"/>
  <c r="I186" i="11"/>
  <c r="G186" i="11"/>
  <c r="F186" i="11"/>
  <c r="P185" i="11"/>
  <c r="M185" i="11"/>
  <c r="K185" i="11"/>
  <c r="H185" i="11"/>
  <c r="O184" i="11"/>
  <c r="N184" i="11"/>
  <c r="L184" i="11"/>
  <c r="J184" i="11"/>
  <c r="I184" i="11"/>
  <c r="G184" i="11"/>
  <c r="F184" i="11"/>
  <c r="O178" i="11"/>
  <c r="O177" i="11" s="1"/>
  <c r="O176" i="11" s="1"/>
  <c r="O175" i="11" s="1"/>
  <c r="N178" i="11"/>
  <c r="L178" i="11"/>
  <c r="L177" i="11" s="1"/>
  <c r="L176" i="11" s="1"/>
  <c r="J178" i="11"/>
  <c r="I178" i="11"/>
  <c r="M178" i="11" s="1"/>
  <c r="G178" i="11"/>
  <c r="G177" i="11" s="1"/>
  <c r="G176" i="11" s="1"/>
  <c r="G175" i="11" s="1"/>
  <c r="F178" i="11"/>
  <c r="P171" i="11"/>
  <c r="M171" i="11"/>
  <c r="K171" i="11"/>
  <c r="H171" i="11"/>
  <c r="O170" i="11"/>
  <c r="N170" i="11"/>
  <c r="N169" i="11" s="1"/>
  <c r="N168" i="11" s="1"/>
  <c r="N167" i="11" s="1"/>
  <c r="N166" i="11" s="1"/>
  <c r="L170" i="11"/>
  <c r="L169" i="11" s="1"/>
  <c r="L168" i="11" s="1"/>
  <c r="I170" i="11"/>
  <c r="G170" i="11"/>
  <c r="K170" i="11" s="1"/>
  <c r="F170" i="11"/>
  <c r="F169" i="11" s="1"/>
  <c r="F168" i="11" s="1"/>
  <c r="F167" i="11" s="1"/>
  <c r="F166" i="11" s="1"/>
  <c r="O165" i="11"/>
  <c r="O164" i="11" s="1"/>
  <c r="N165" i="11"/>
  <c r="L165" i="11"/>
  <c r="L164" i="11" s="1"/>
  <c r="J165" i="11"/>
  <c r="I165" i="11"/>
  <c r="I164" i="11" s="1"/>
  <c r="G165" i="11"/>
  <c r="F165" i="11"/>
  <c r="G164" i="11"/>
  <c r="P163" i="11"/>
  <c r="M163" i="11"/>
  <c r="K163" i="11"/>
  <c r="H163" i="11"/>
  <c r="P162" i="11"/>
  <c r="M162" i="11"/>
  <c r="K162" i="11"/>
  <c r="H162" i="11"/>
  <c r="P161" i="11"/>
  <c r="M161" i="11"/>
  <c r="K161" i="11"/>
  <c r="H161" i="11"/>
  <c r="O160" i="11"/>
  <c r="N160" i="11"/>
  <c r="L160" i="11"/>
  <c r="J160" i="11"/>
  <c r="I160" i="11"/>
  <c r="G160" i="11"/>
  <c r="F160" i="11"/>
  <c r="P159" i="11"/>
  <c r="M159" i="11"/>
  <c r="J159" i="11"/>
  <c r="J158" i="11" s="1"/>
  <c r="G159" i="11"/>
  <c r="O158" i="11"/>
  <c r="N158" i="11"/>
  <c r="L158" i="11"/>
  <c r="I158" i="11"/>
  <c r="F158" i="11"/>
  <c r="O154" i="11"/>
  <c r="N154" i="11"/>
  <c r="N153" i="11" s="1"/>
  <c r="N152" i="11" s="1"/>
  <c r="N151" i="11" s="1"/>
  <c r="N150" i="11" s="1"/>
  <c r="L154" i="11"/>
  <c r="L153" i="11" s="1"/>
  <c r="J154" i="11"/>
  <c r="J153" i="11" s="1"/>
  <c r="I154" i="11"/>
  <c r="I153" i="11" s="1"/>
  <c r="I152" i="11" s="1"/>
  <c r="I151" i="11" s="1"/>
  <c r="I150" i="11" s="1"/>
  <c r="G154" i="11"/>
  <c r="F154" i="11"/>
  <c r="F153" i="11" s="1"/>
  <c r="F152" i="11" s="1"/>
  <c r="F151" i="11" s="1"/>
  <c r="F150" i="11" s="1"/>
  <c r="O153" i="11"/>
  <c r="P149" i="11"/>
  <c r="M149" i="11"/>
  <c r="J149" i="11"/>
  <c r="G149" i="11"/>
  <c r="K149" i="11" s="1"/>
  <c r="F149" i="11"/>
  <c r="P148" i="11"/>
  <c r="M148" i="11"/>
  <c r="J148" i="11"/>
  <c r="G148" i="11"/>
  <c r="F148" i="11"/>
  <c r="O147" i="11"/>
  <c r="N147" i="11"/>
  <c r="L147" i="11"/>
  <c r="I147" i="11"/>
  <c r="O146" i="11"/>
  <c r="O145" i="11" s="1"/>
  <c r="L146" i="11"/>
  <c r="L145" i="11" s="1"/>
  <c r="P144" i="11"/>
  <c r="M144" i="11"/>
  <c r="K144" i="11"/>
  <c r="H144" i="11"/>
  <c r="P143" i="11"/>
  <c r="M143" i="11"/>
  <c r="K143" i="11"/>
  <c r="H143" i="11"/>
  <c r="P142" i="11"/>
  <c r="M142" i="11"/>
  <c r="K142" i="11"/>
  <c r="H142" i="11"/>
  <c r="O141" i="11"/>
  <c r="N141" i="11"/>
  <c r="N140" i="11" s="1"/>
  <c r="N139" i="11" s="1"/>
  <c r="L141" i="11"/>
  <c r="L140" i="11" s="1"/>
  <c r="L139" i="11" s="1"/>
  <c r="J141" i="11"/>
  <c r="I141" i="11"/>
  <c r="I140" i="11" s="1"/>
  <c r="I139" i="11" s="1"/>
  <c r="G141" i="11"/>
  <c r="F141" i="11"/>
  <c r="F140" i="11" s="1"/>
  <c r="F139" i="11" s="1"/>
  <c r="P137" i="11"/>
  <c r="M137" i="11"/>
  <c r="K137" i="11"/>
  <c r="H137" i="11"/>
  <c r="O136" i="11"/>
  <c r="N136" i="11"/>
  <c r="N135" i="11" s="1"/>
  <c r="L136" i="11"/>
  <c r="L135" i="11" s="1"/>
  <c r="J136" i="11"/>
  <c r="I136" i="11"/>
  <c r="M136" i="11" s="1"/>
  <c r="G136" i="11"/>
  <c r="F136" i="11"/>
  <c r="F135" i="11" s="1"/>
  <c r="P134" i="11"/>
  <c r="M134" i="11"/>
  <c r="K134" i="11"/>
  <c r="H134" i="11"/>
  <c r="O133" i="11"/>
  <c r="N133" i="11"/>
  <c r="L133" i="11"/>
  <c r="J133" i="11"/>
  <c r="I133" i="11"/>
  <c r="G133" i="11"/>
  <c r="F133" i="11"/>
  <c r="P132" i="11"/>
  <c r="M132" i="11"/>
  <c r="K132" i="11"/>
  <c r="H132" i="11"/>
  <c r="O131" i="11"/>
  <c r="N131" i="11"/>
  <c r="L131" i="11"/>
  <c r="J131" i="11"/>
  <c r="J130" i="11" s="1"/>
  <c r="I131" i="11"/>
  <c r="G131" i="11"/>
  <c r="G130" i="11" s="1"/>
  <c r="F131" i="11"/>
  <c r="P129" i="11"/>
  <c r="M129" i="11"/>
  <c r="K129" i="11"/>
  <c r="H129" i="11"/>
  <c r="P128" i="11"/>
  <c r="M128" i="11"/>
  <c r="K128" i="11"/>
  <c r="H128" i="11"/>
  <c r="O127" i="11"/>
  <c r="O126" i="11" s="1"/>
  <c r="N127" i="11"/>
  <c r="L127" i="11"/>
  <c r="L126" i="11" s="1"/>
  <c r="J127" i="11"/>
  <c r="I127" i="11"/>
  <c r="G127" i="11"/>
  <c r="F127" i="11"/>
  <c r="G126" i="11"/>
  <c r="P125" i="11"/>
  <c r="M125" i="11"/>
  <c r="K125" i="11"/>
  <c r="H125" i="11"/>
  <c r="O124" i="11"/>
  <c r="N124" i="11"/>
  <c r="N123" i="11" s="1"/>
  <c r="L124" i="11"/>
  <c r="J124" i="11"/>
  <c r="J123" i="11" s="1"/>
  <c r="I124" i="11"/>
  <c r="I123" i="11" s="1"/>
  <c r="G124" i="11"/>
  <c r="F124" i="11"/>
  <c r="F123" i="11" s="1"/>
  <c r="O123" i="11"/>
  <c r="P122" i="11"/>
  <c r="M122" i="11"/>
  <c r="J122" i="11"/>
  <c r="J121" i="11" s="1"/>
  <c r="G122" i="11"/>
  <c r="O121" i="11"/>
  <c r="O120" i="11" s="1"/>
  <c r="N121" i="11"/>
  <c r="N120" i="11" s="1"/>
  <c r="L121" i="11"/>
  <c r="I121" i="11"/>
  <c r="I120" i="11" s="1"/>
  <c r="F121" i="11"/>
  <c r="F120" i="11" s="1"/>
  <c r="P119" i="11"/>
  <c r="M119" i="11"/>
  <c r="K119" i="11"/>
  <c r="H119" i="11"/>
  <c r="O118" i="11"/>
  <c r="O117" i="11" s="1"/>
  <c r="N118" i="11"/>
  <c r="N117" i="11" s="1"/>
  <c r="L118" i="11"/>
  <c r="L117" i="11" s="1"/>
  <c r="J118" i="11"/>
  <c r="I118" i="11"/>
  <c r="G118" i="11"/>
  <c r="F118" i="11"/>
  <c r="F117" i="11" s="1"/>
  <c r="K114" i="11"/>
  <c r="O113" i="11"/>
  <c r="N113" i="11"/>
  <c r="M113" i="11"/>
  <c r="L113" i="11"/>
  <c r="J113" i="11"/>
  <c r="I113" i="11"/>
  <c r="H113" i="11"/>
  <c r="G113" i="11"/>
  <c r="K112" i="11"/>
  <c r="O111" i="11"/>
  <c r="N111" i="11"/>
  <c r="M111" i="11"/>
  <c r="L111" i="11"/>
  <c r="J111" i="11"/>
  <c r="I111" i="11"/>
  <c r="H111" i="11"/>
  <c r="G111" i="11"/>
  <c r="P110" i="11"/>
  <c r="M110" i="11"/>
  <c r="K110" i="11"/>
  <c r="H110" i="11"/>
  <c r="O109" i="11"/>
  <c r="N109" i="11"/>
  <c r="L109" i="11"/>
  <c r="L108" i="11" s="1"/>
  <c r="L107" i="11" s="1"/>
  <c r="J109" i="11"/>
  <c r="I109" i="11"/>
  <c r="G109" i="11"/>
  <c r="F109" i="11"/>
  <c r="F108" i="11" s="1"/>
  <c r="F107" i="11" s="1"/>
  <c r="P106" i="11"/>
  <c r="M106" i="11"/>
  <c r="K106" i="11"/>
  <c r="H106" i="11"/>
  <c r="O105" i="11"/>
  <c r="N105" i="11"/>
  <c r="N104" i="11" s="1"/>
  <c r="L105" i="11"/>
  <c r="L104" i="11" s="1"/>
  <c r="J105" i="11"/>
  <c r="I105" i="11"/>
  <c r="G105" i="11"/>
  <c r="F105" i="11"/>
  <c r="F104" i="11" s="1"/>
  <c r="P103" i="11"/>
  <c r="M103" i="11"/>
  <c r="K103" i="11"/>
  <c r="H103" i="11"/>
  <c r="P102" i="11"/>
  <c r="M102" i="11"/>
  <c r="K102" i="11"/>
  <c r="H102" i="11"/>
  <c r="O101" i="11"/>
  <c r="N101" i="11"/>
  <c r="L101" i="11"/>
  <c r="J101" i="11"/>
  <c r="I101" i="11"/>
  <c r="G101" i="11"/>
  <c r="F101" i="11"/>
  <c r="P99" i="11"/>
  <c r="M99" i="11"/>
  <c r="K99" i="11"/>
  <c r="H99" i="11"/>
  <c r="O98" i="11"/>
  <c r="N98" i="11"/>
  <c r="N97" i="11" s="1"/>
  <c r="L98" i="11"/>
  <c r="L97" i="11" s="1"/>
  <c r="J98" i="11"/>
  <c r="I98" i="11"/>
  <c r="M98" i="11" s="1"/>
  <c r="G98" i="11"/>
  <c r="F98" i="11"/>
  <c r="F97" i="11" s="1"/>
  <c r="J97" i="11"/>
  <c r="P94" i="11"/>
  <c r="M94" i="11"/>
  <c r="K94" i="11"/>
  <c r="H94" i="11"/>
  <c r="O93" i="11"/>
  <c r="N93" i="11"/>
  <c r="L93" i="11"/>
  <c r="J93" i="11"/>
  <c r="I93" i="11"/>
  <c r="G93" i="11"/>
  <c r="H93" i="11" s="1"/>
  <c r="F93" i="11"/>
  <c r="P92" i="11"/>
  <c r="M92" i="11"/>
  <c r="K92" i="11"/>
  <c r="H92" i="11"/>
  <c r="O91" i="11"/>
  <c r="N91" i="11"/>
  <c r="L91" i="11"/>
  <c r="J91" i="11"/>
  <c r="I91" i="11"/>
  <c r="G91" i="11"/>
  <c r="F91" i="11"/>
  <c r="P89" i="11"/>
  <c r="M89" i="11"/>
  <c r="J89" i="11"/>
  <c r="K89" i="11" s="1"/>
  <c r="H89" i="11"/>
  <c r="O88" i="11"/>
  <c r="N88" i="11"/>
  <c r="N87" i="11" s="1"/>
  <c r="L88" i="11"/>
  <c r="L87" i="11" s="1"/>
  <c r="I88" i="11"/>
  <c r="I87" i="11" s="1"/>
  <c r="G88" i="11"/>
  <c r="G87" i="11" s="1"/>
  <c r="F88" i="11"/>
  <c r="F87" i="11" s="1"/>
  <c r="P85" i="11"/>
  <c r="M85" i="11"/>
  <c r="J85" i="11"/>
  <c r="G85" i="11"/>
  <c r="H85" i="11" s="1"/>
  <c r="O84" i="11"/>
  <c r="N84" i="11"/>
  <c r="N83" i="11" s="1"/>
  <c r="N82" i="11" s="1"/>
  <c r="L84" i="11"/>
  <c r="I84" i="11"/>
  <c r="I83" i="11" s="1"/>
  <c r="I82" i="11" s="1"/>
  <c r="F84" i="11"/>
  <c r="F83" i="11"/>
  <c r="F82" i="11" s="1"/>
  <c r="P81" i="11"/>
  <c r="M81" i="11"/>
  <c r="K81" i="11"/>
  <c r="H81" i="11"/>
  <c r="O80" i="11"/>
  <c r="N80" i="11"/>
  <c r="N79" i="11" s="1"/>
  <c r="N78" i="11" s="1"/>
  <c r="L80" i="11"/>
  <c r="J80" i="11"/>
  <c r="J79" i="11" s="1"/>
  <c r="I80" i="11"/>
  <c r="I79" i="11" s="1"/>
  <c r="I78" i="11" s="1"/>
  <c r="G80" i="11"/>
  <c r="G79" i="11" s="1"/>
  <c r="H79" i="11" s="1"/>
  <c r="F80" i="11"/>
  <c r="L79" i="11"/>
  <c r="F79" i="11"/>
  <c r="F78" i="11" s="1"/>
  <c r="P77" i="11"/>
  <c r="M77" i="11"/>
  <c r="K77" i="11"/>
  <c r="H77" i="11"/>
  <c r="O76" i="11"/>
  <c r="N76" i="11"/>
  <c r="L76" i="11"/>
  <c r="J76" i="11"/>
  <c r="I76" i="11"/>
  <c r="G76" i="11"/>
  <c r="H76" i="11" s="1"/>
  <c r="F76" i="11"/>
  <c r="P75" i="11"/>
  <c r="M75" i="11"/>
  <c r="K75" i="11"/>
  <c r="H75" i="11"/>
  <c r="O74" i="11"/>
  <c r="N74" i="11"/>
  <c r="M74" i="11"/>
  <c r="K74" i="11"/>
  <c r="H74" i="11"/>
  <c r="O73" i="11"/>
  <c r="N73" i="11"/>
  <c r="L73" i="11"/>
  <c r="L72" i="11" s="1"/>
  <c r="L71" i="11" s="1"/>
  <c r="J73" i="11"/>
  <c r="I73" i="11"/>
  <c r="G73" i="11"/>
  <c r="F73" i="11"/>
  <c r="F72" i="11" s="1"/>
  <c r="P68" i="11"/>
  <c r="M68" i="11"/>
  <c r="K68" i="11"/>
  <c r="H68" i="11"/>
  <c r="P67" i="11"/>
  <c r="M67" i="11"/>
  <c r="J67" i="11"/>
  <c r="G67" i="11"/>
  <c r="H67" i="11" s="1"/>
  <c r="O66" i="11"/>
  <c r="O65" i="11" s="1"/>
  <c r="N66" i="11"/>
  <c r="N65" i="11" s="1"/>
  <c r="N64" i="11" s="1"/>
  <c r="L66" i="11"/>
  <c r="J66" i="11"/>
  <c r="I66" i="11"/>
  <c r="I65" i="11" s="1"/>
  <c r="I64" i="11" s="1"/>
  <c r="G66" i="11"/>
  <c r="F66" i="11"/>
  <c r="P63" i="11"/>
  <c r="M63" i="11"/>
  <c r="K63" i="11"/>
  <c r="H63" i="11"/>
  <c r="O62" i="11"/>
  <c r="N62" i="11"/>
  <c r="N61" i="11" s="1"/>
  <c r="L62" i="11"/>
  <c r="L61" i="11" s="1"/>
  <c r="J62" i="11"/>
  <c r="J61" i="11" s="1"/>
  <c r="I62" i="11"/>
  <c r="I61" i="11" s="1"/>
  <c r="G62" i="11"/>
  <c r="F62" i="11"/>
  <c r="F61" i="11" s="1"/>
  <c r="P59" i="11"/>
  <c r="M59" i="11"/>
  <c r="K59" i="11"/>
  <c r="H59" i="11"/>
  <c r="O58" i="11"/>
  <c r="O57" i="11" s="1"/>
  <c r="N58" i="11"/>
  <c r="N57" i="11" s="1"/>
  <c r="N56" i="11" s="1"/>
  <c r="L58" i="11"/>
  <c r="J58" i="11"/>
  <c r="I58" i="11"/>
  <c r="I57" i="11" s="1"/>
  <c r="I56" i="11" s="1"/>
  <c r="G58" i="11"/>
  <c r="G57" i="11" s="1"/>
  <c r="G56" i="11" s="1"/>
  <c r="F58" i="11"/>
  <c r="F57" i="11" s="1"/>
  <c r="F56" i="11" s="1"/>
  <c r="P55" i="11"/>
  <c r="M55" i="11"/>
  <c r="K55" i="11"/>
  <c r="H55" i="11"/>
  <c r="P54" i="11"/>
  <c r="M54" i="11"/>
  <c r="K54" i="11"/>
  <c r="H54" i="11"/>
  <c r="O53" i="11"/>
  <c r="N53" i="11"/>
  <c r="N52" i="11" s="1"/>
  <c r="N51" i="11" s="1"/>
  <c r="N50" i="11" s="1"/>
  <c r="L53" i="11"/>
  <c r="L52" i="11" s="1"/>
  <c r="J53" i="11"/>
  <c r="I53" i="11"/>
  <c r="I52" i="11" s="1"/>
  <c r="I51" i="11" s="1"/>
  <c r="I50" i="11" s="1"/>
  <c r="G53" i="11"/>
  <c r="F53" i="11"/>
  <c r="F52" i="11" s="1"/>
  <c r="F51" i="11" s="1"/>
  <c r="F50" i="11" s="1"/>
  <c r="O49" i="11"/>
  <c r="N49" i="11"/>
  <c r="N47" i="11" s="1"/>
  <c r="N46" i="11" s="1"/>
  <c r="N45" i="11" s="1"/>
  <c r="N44" i="11" s="1"/>
  <c r="L49" i="11"/>
  <c r="L47" i="11" s="1"/>
  <c r="J49" i="11"/>
  <c r="J47" i="11" s="1"/>
  <c r="I49" i="11"/>
  <c r="G49" i="11"/>
  <c r="F49" i="11"/>
  <c r="F47" i="11" s="1"/>
  <c r="F46" i="11" s="1"/>
  <c r="F45" i="11" s="1"/>
  <c r="F44" i="11" s="1"/>
  <c r="P48" i="11"/>
  <c r="M48" i="11"/>
  <c r="K48" i="11"/>
  <c r="H48" i="11"/>
  <c r="I47" i="11"/>
  <c r="I46" i="11" s="1"/>
  <c r="I45" i="11" s="1"/>
  <c r="I44" i="11" s="1"/>
  <c r="P43" i="11"/>
  <c r="M43" i="11"/>
  <c r="J43" i="11"/>
  <c r="J42" i="11" s="1"/>
  <c r="G43" i="11"/>
  <c r="G42" i="11" s="1"/>
  <c r="F43" i="11"/>
  <c r="F42" i="11" s="1"/>
  <c r="F41" i="11" s="1"/>
  <c r="O42" i="11"/>
  <c r="N42" i="11"/>
  <c r="N41" i="11" s="1"/>
  <c r="N40" i="11" s="1"/>
  <c r="L42" i="11"/>
  <c r="L41" i="11" s="1"/>
  <c r="I42" i="11"/>
  <c r="I41" i="11" s="1"/>
  <c r="I40" i="11" s="1"/>
  <c r="O41" i="11"/>
  <c r="O40" i="11" s="1"/>
  <c r="J41" i="11"/>
  <c r="J40" i="11" s="1"/>
  <c r="P39" i="11"/>
  <c r="M39" i="11"/>
  <c r="K39" i="11"/>
  <c r="H39" i="11"/>
  <c r="O38" i="11"/>
  <c r="P38" i="11" s="1"/>
  <c r="N38" i="11"/>
  <c r="N37" i="11" s="1"/>
  <c r="L38" i="11"/>
  <c r="J38" i="11"/>
  <c r="I38" i="11"/>
  <c r="I37" i="11" s="1"/>
  <c r="G38" i="11"/>
  <c r="G37" i="11" s="1"/>
  <c r="F38" i="11"/>
  <c r="F37" i="11" s="1"/>
  <c r="L37" i="11"/>
  <c r="P36" i="11"/>
  <c r="M36" i="11"/>
  <c r="K36" i="11"/>
  <c r="H36" i="11"/>
  <c r="P35" i="11"/>
  <c r="M35" i="11"/>
  <c r="J35" i="11"/>
  <c r="J34" i="11" s="1"/>
  <c r="G35" i="11"/>
  <c r="G34" i="11" s="1"/>
  <c r="O34" i="11"/>
  <c r="P34" i="11" s="1"/>
  <c r="N34" i="11"/>
  <c r="L34" i="11"/>
  <c r="I34" i="11"/>
  <c r="F34" i="11"/>
  <c r="O33" i="11"/>
  <c r="O32" i="11" s="1"/>
  <c r="P32" i="11" s="1"/>
  <c r="N33" i="11"/>
  <c r="N32" i="11" s="1"/>
  <c r="L33" i="11"/>
  <c r="J33" i="11"/>
  <c r="J32" i="11" s="1"/>
  <c r="I33" i="11"/>
  <c r="I32" i="11" s="1"/>
  <c r="G33" i="11"/>
  <c r="G32" i="11" s="1"/>
  <c r="F33" i="11"/>
  <c r="F32" i="11" s="1"/>
  <c r="O31" i="11"/>
  <c r="N31" i="11"/>
  <c r="L31" i="11"/>
  <c r="J31" i="11"/>
  <c r="J28" i="11" s="1"/>
  <c r="I31" i="11"/>
  <c r="G31" i="11"/>
  <c r="F31" i="11"/>
  <c r="O30" i="11"/>
  <c r="N30" i="11"/>
  <c r="L30" i="11"/>
  <c r="I30" i="11"/>
  <c r="G30" i="11"/>
  <c r="H30" i="11" s="1"/>
  <c r="F30" i="11"/>
  <c r="O29" i="11"/>
  <c r="N29" i="11"/>
  <c r="L29" i="11"/>
  <c r="I29" i="11"/>
  <c r="G29" i="11"/>
  <c r="F29" i="11"/>
  <c r="P24" i="11"/>
  <c r="M24" i="11"/>
  <c r="K24" i="11"/>
  <c r="H24" i="11"/>
  <c r="P23" i="11"/>
  <c r="M23" i="11"/>
  <c r="K23" i="11"/>
  <c r="H23" i="11"/>
  <c r="O22" i="11"/>
  <c r="O21" i="11" s="1"/>
  <c r="N22" i="11"/>
  <c r="N21" i="11" s="1"/>
  <c r="N20" i="11" s="1"/>
  <c r="N19" i="11" s="1"/>
  <c r="L22" i="11"/>
  <c r="J22" i="11"/>
  <c r="I22" i="11"/>
  <c r="I21" i="11" s="1"/>
  <c r="I20" i="11" s="1"/>
  <c r="I19" i="11" s="1"/>
  <c r="G22" i="11"/>
  <c r="H22" i="11" s="1"/>
  <c r="F22" i="11"/>
  <c r="F21" i="11" s="1"/>
  <c r="F20" i="11" s="1"/>
  <c r="F19" i="11" s="1"/>
  <c r="P17" i="11"/>
  <c r="M17" i="11"/>
  <c r="G17" i="11"/>
  <c r="H17" i="11" s="1"/>
  <c r="P16" i="11"/>
  <c r="M16" i="11"/>
  <c r="G16" i="11"/>
  <c r="F16" i="11"/>
  <c r="F15" i="11" s="1"/>
  <c r="F14" i="11" s="1"/>
  <c r="F13" i="11" s="1"/>
  <c r="O15" i="11"/>
  <c r="O14" i="11" s="1"/>
  <c r="N15" i="11"/>
  <c r="N14" i="11" s="1"/>
  <c r="N13" i="11" s="1"/>
  <c r="L15" i="11"/>
  <c r="J15" i="11"/>
  <c r="I15" i="11"/>
  <c r="I14" i="11" s="1"/>
  <c r="I13" i="11" s="1"/>
  <c r="O12" i="11"/>
  <c r="N12" i="11"/>
  <c r="N11" i="11" s="1"/>
  <c r="N10" i="11" s="1"/>
  <c r="N9" i="11" s="1"/>
  <c r="N8" i="11" s="1"/>
  <c r="N7" i="11" s="1"/>
  <c r="L12" i="11"/>
  <c r="L11" i="11" s="1"/>
  <c r="J12" i="11"/>
  <c r="J11" i="11" s="1"/>
  <c r="J10" i="11" s="1"/>
  <c r="J9" i="11" s="1"/>
  <c r="I12" i="11"/>
  <c r="I11" i="11" s="1"/>
  <c r="I10" i="11" s="1"/>
  <c r="I9" i="11" s="1"/>
  <c r="I8" i="11" s="1"/>
  <c r="I7" i="11" s="1"/>
  <c r="G12" i="11"/>
  <c r="F12" i="11"/>
  <c r="F11" i="11" s="1"/>
  <c r="F10" i="11" s="1"/>
  <c r="F9" i="11" s="1"/>
  <c r="F8" i="11" s="1"/>
  <c r="F7" i="11" s="1"/>
  <c r="M423" i="11" l="1"/>
  <c r="K668" i="11"/>
  <c r="K79" i="11"/>
  <c r="H241" i="11"/>
  <c r="K341" i="12"/>
  <c r="M49" i="12"/>
  <c r="H148" i="13"/>
  <c r="M294" i="13"/>
  <c r="N83" i="12"/>
  <c r="N82" i="12" s="1"/>
  <c r="M88" i="12"/>
  <c r="J164" i="12"/>
  <c r="P328" i="12"/>
  <c r="P327" i="12" s="1"/>
  <c r="P326" i="12" s="1"/>
  <c r="M421" i="12"/>
  <c r="J422" i="12"/>
  <c r="M429" i="12"/>
  <c r="N565" i="12"/>
  <c r="N564" i="12" s="1"/>
  <c r="N563" i="12" s="1"/>
  <c r="N562" i="12" s="1"/>
  <c r="M670" i="12"/>
  <c r="J673" i="12"/>
  <c r="R683" i="12"/>
  <c r="R727" i="12"/>
  <c r="J823" i="12"/>
  <c r="O828" i="12"/>
  <c r="R46" i="12"/>
  <c r="N65" i="12"/>
  <c r="O108" i="12"/>
  <c r="M281" i="12"/>
  <c r="J294" i="12"/>
  <c r="M303" i="12"/>
  <c r="O312" i="12"/>
  <c r="J363" i="12"/>
  <c r="M394" i="12"/>
  <c r="M547" i="12"/>
  <c r="O667" i="12"/>
  <c r="R794" i="12"/>
  <c r="J19" i="12"/>
  <c r="M40" i="12"/>
  <c r="M64" i="12"/>
  <c r="O101" i="12"/>
  <c r="M178" i="12"/>
  <c r="O200" i="12"/>
  <c r="O221" i="12"/>
  <c r="R260" i="12"/>
  <c r="R268" i="12"/>
  <c r="R295" i="12"/>
  <c r="Q414" i="12"/>
  <c r="H420" i="12"/>
  <c r="J587" i="12"/>
  <c r="R662" i="12"/>
  <c r="M668" i="12"/>
  <c r="M684" i="12"/>
  <c r="R693" i="12"/>
  <c r="K722" i="12"/>
  <c r="M725" i="12"/>
  <c r="J742" i="12"/>
  <c r="R748" i="12"/>
  <c r="O786" i="12"/>
  <c r="J801" i="12"/>
  <c r="M802" i="12"/>
  <c r="M93" i="12"/>
  <c r="P424" i="12"/>
  <c r="H599" i="12"/>
  <c r="H591" i="12" s="1"/>
  <c r="H590" i="12" s="1"/>
  <c r="H589" i="12" s="1"/>
  <c r="O636" i="12"/>
  <c r="M55" i="12"/>
  <c r="H75" i="12"/>
  <c r="L83" i="12"/>
  <c r="L82" i="12" s="1"/>
  <c r="R115" i="12"/>
  <c r="K120" i="12"/>
  <c r="R190" i="12"/>
  <c r="O265" i="12"/>
  <c r="O266" i="12"/>
  <c r="J601" i="12"/>
  <c r="M193" i="12"/>
  <c r="R219" i="12"/>
  <c r="M343" i="12"/>
  <c r="R401" i="12"/>
  <c r="O167" i="12"/>
  <c r="O773" i="12"/>
  <c r="P30" i="11"/>
  <c r="N72" i="11"/>
  <c r="N71" i="11" s="1"/>
  <c r="N70" i="11" s="1"/>
  <c r="N69" i="11" s="1"/>
  <c r="H87" i="11"/>
  <c r="M340" i="11"/>
  <c r="I228" i="11"/>
  <c r="I227" i="11" s="1"/>
  <c r="R49" i="12"/>
  <c r="K34" i="11"/>
  <c r="K49" i="11"/>
  <c r="K53" i="11"/>
  <c r="H62" i="11"/>
  <c r="P74" i="11"/>
  <c r="G78" i="11"/>
  <c r="H101" i="11"/>
  <c r="P190" i="11"/>
  <c r="G233" i="11"/>
  <c r="M258" i="11"/>
  <c r="N260" i="11"/>
  <c r="K294" i="11"/>
  <c r="G324" i="11"/>
  <c r="M164" i="11"/>
  <c r="K66" i="11"/>
  <c r="M91" i="11"/>
  <c r="K105" i="11"/>
  <c r="P123" i="11"/>
  <c r="M133" i="11"/>
  <c r="K186" i="11"/>
  <c r="K399" i="11"/>
  <c r="J398" i="11"/>
  <c r="K398" i="11" s="1"/>
  <c r="I415" i="11"/>
  <c r="I414" i="11" s="1"/>
  <c r="I413" i="11" s="1"/>
  <c r="F456" i="11"/>
  <c r="F455" i="11" s="1"/>
  <c r="K506" i="11"/>
  <c r="M507" i="11"/>
  <c r="L696" i="11"/>
  <c r="N709" i="11"/>
  <c r="N708" i="11" s="1"/>
  <c r="N105" i="12"/>
  <c r="L125" i="12"/>
  <c r="L124" i="12" s="1"/>
  <c r="L120" i="12" s="1"/>
  <c r="O205" i="12"/>
  <c r="O288" i="12"/>
  <c r="R627" i="12"/>
  <c r="L643" i="12"/>
  <c r="M644" i="12"/>
  <c r="P409" i="11"/>
  <c r="K458" i="11"/>
  <c r="P491" i="11"/>
  <c r="H509" i="11"/>
  <c r="K527" i="11"/>
  <c r="K535" i="11"/>
  <c r="F558" i="11"/>
  <c r="F557" i="11" s="1"/>
  <c r="K579" i="11"/>
  <c r="G593" i="11"/>
  <c r="H609" i="11"/>
  <c r="O614" i="11"/>
  <c r="O651" i="11"/>
  <c r="F656" i="11"/>
  <c r="F655" i="11" s="1"/>
  <c r="F654" i="11" s="1"/>
  <c r="F695" i="11"/>
  <c r="F694" i="11" s="1"/>
  <c r="F693" i="11" s="1"/>
  <c r="M728" i="11"/>
  <c r="O30" i="12"/>
  <c r="M35" i="12"/>
  <c r="Q44" i="12"/>
  <c r="Q43" i="12" s="1"/>
  <c r="Q42" i="12" s="1"/>
  <c r="I65" i="12"/>
  <c r="P65" i="12"/>
  <c r="R68" i="12"/>
  <c r="O73" i="12"/>
  <c r="R72" i="12"/>
  <c r="K83" i="12"/>
  <c r="K82" i="12" s="1"/>
  <c r="O153" i="12"/>
  <c r="R164" i="12"/>
  <c r="M219" i="12"/>
  <c r="P218" i="12"/>
  <c r="P217" i="12" s="1"/>
  <c r="P216" i="12" s="1"/>
  <c r="P215" i="12" s="1"/>
  <c r="R227" i="12"/>
  <c r="O268" i="12"/>
  <c r="O356" i="12"/>
  <c r="K414" i="12"/>
  <c r="O439" i="12"/>
  <c r="P131" i="11"/>
  <c r="K184" i="11"/>
  <c r="N183" i="11"/>
  <c r="N182" i="11" s="1"/>
  <c r="N181" i="11" s="1"/>
  <c r="N180" i="11" s="1"/>
  <c r="P186" i="11"/>
  <c r="N201" i="11"/>
  <c r="N200" i="11" s="1"/>
  <c r="M231" i="11"/>
  <c r="P241" i="11"/>
  <c r="I245" i="11"/>
  <c r="I244" i="11" s="1"/>
  <c r="I243" i="11" s="1"/>
  <c r="F255" i="11"/>
  <c r="F254" i="11" s="1"/>
  <c r="H258" i="11"/>
  <c r="H263" i="11"/>
  <c r="P287" i="11"/>
  <c r="F303" i="11"/>
  <c r="F302" i="11" s="1"/>
  <c r="M322" i="11"/>
  <c r="K324" i="11"/>
  <c r="M343" i="11"/>
  <c r="H376" i="11"/>
  <c r="I379" i="11"/>
  <c r="M390" i="11"/>
  <c r="K392" i="11"/>
  <c r="P394" i="11"/>
  <c r="H397" i="11"/>
  <c r="O408" i="11"/>
  <c r="P505" i="11"/>
  <c r="K521" i="11"/>
  <c r="H536" i="11"/>
  <c r="H546" i="11"/>
  <c r="M547" i="11"/>
  <c r="J571" i="11"/>
  <c r="H575" i="11"/>
  <c r="I577" i="11"/>
  <c r="M590" i="11"/>
  <c r="P597" i="11"/>
  <c r="P608" i="11"/>
  <c r="G656" i="11"/>
  <c r="N656" i="11"/>
  <c r="N655" i="11" s="1"/>
  <c r="N654" i="11" s="1"/>
  <c r="K715" i="11"/>
  <c r="M716" i="11"/>
  <c r="I18" i="12"/>
  <c r="I17" i="12" s="1"/>
  <c r="I16" i="12" s="1"/>
  <c r="R28" i="12"/>
  <c r="O66" i="12"/>
  <c r="O96" i="12"/>
  <c r="O111" i="12"/>
  <c r="M126" i="12"/>
  <c r="R145" i="12"/>
  <c r="M164" i="12"/>
  <c r="R207" i="12"/>
  <c r="H218" i="12"/>
  <c r="H217" i="12" s="1"/>
  <c r="H216" i="12" s="1"/>
  <c r="H215" i="12" s="1"/>
  <c r="M227" i="12"/>
  <c r="J232" i="12"/>
  <c r="O263" i="12"/>
  <c r="O275" i="12"/>
  <c r="O279" i="12"/>
  <c r="I329" i="12"/>
  <c r="K355" i="12"/>
  <c r="O355" i="12" s="1"/>
  <c r="O380" i="12"/>
  <c r="R408" i="12"/>
  <c r="J613" i="12"/>
  <c r="I612" i="12"/>
  <c r="J612" i="12" s="1"/>
  <c r="H729" i="12"/>
  <c r="J729" i="12" s="1"/>
  <c r="J730" i="12"/>
  <c r="R300" i="12"/>
  <c r="O310" i="12"/>
  <c r="R312" i="12"/>
  <c r="H349" i="12"/>
  <c r="J394" i="12"/>
  <c r="N387" i="12"/>
  <c r="M417" i="12"/>
  <c r="J418" i="12"/>
  <c r="O496" i="12"/>
  <c r="R517" i="12"/>
  <c r="O523" i="12"/>
  <c r="O575" i="12"/>
  <c r="P599" i="12"/>
  <c r="M606" i="12"/>
  <c r="J646" i="12"/>
  <c r="M655" i="12"/>
  <c r="J670" i="12"/>
  <c r="H672" i="12"/>
  <c r="O677" i="12"/>
  <c r="M677" i="12"/>
  <c r="O688" i="12"/>
  <c r="O689" i="12"/>
  <c r="R707" i="12"/>
  <c r="J725" i="12"/>
  <c r="O725" i="12"/>
  <c r="M727" i="12"/>
  <c r="J733" i="12"/>
  <c r="O748" i="12"/>
  <c r="K781" i="12"/>
  <c r="K780" i="12" s="1"/>
  <c r="K779" i="12" s="1"/>
  <c r="K778" i="12" s="1"/>
  <c r="K777" i="12" s="1"/>
  <c r="O50" i="13"/>
  <c r="P50" i="13" s="1"/>
  <c r="F49" i="13"/>
  <c r="F48" i="13" s="1"/>
  <c r="M89" i="13"/>
  <c r="P136" i="13"/>
  <c r="M167" i="13"/>
  <c r="H175" i="13"/>
  <c r="H180" i="13"/>
  <c r="M190" i="13"/>
  <c r="P198" i="13"/>
  <c r="P251" i="13"/>
  <c r="P270" i="13"/>
  <c r="P278" i="13"/>
  <c r="P347" i="13"/>
  <c r="N369" i="13"/>
  <c r="M373" i="13"/>
  <c r="I426" i="13"/>
  <c r="M439" i="13"/>
  <c r="G444" i="13"/>
  <c r="P446" i="13"/>
  <c r="P451" i="13"/>
  <c r="K470" i="13"/>
  <c r="P484" i="13"/>
  <c r="I492" i="13"/>
  <c r="I491" i="13" s="1"/>
  <c r="O566" i="12"/>
  <c r="H579" i="12"/>
  <c r="H578" i="12" s="1"/>
  <c r="P579" i="12"/>
  <c r="P578" i="12" s="1"/>
  <c r="O700" i="12"/>
  <c r="K738" i="12"/>
  <c r="M64" i="13"/>
  <c r="P143" i="13"/>
  <c r="M158" i="13"/>
  <c r="M184" i="13"/>
  <c r="P274" i="13"/>
  <c r="K343" i="13"/>
  <c r="F344" i="13"/>
  <c r="O344" i="13"/>
  <c r="K358" i="13"/>
  <c r="M374" i="13"/>
  <c r="P410" i="13"/>
  <c r="K451" i="13"/>
  <c r="K464" i="13"/>
  <c r="K489" i="13"/>
  <c r="M528" i="13"/>
  <c r="K744" i="12"/>
  <c r="H251" i="13"/>
  <c r="P300" i="13"/>
  <c r="P324" i="13"/>
  <c r="F369" i="13"/>
  <c r="F450" i="13"/>
  <c r="F449" i="13" s="1"/>
  <c r="K462" i="13"/>
  <c r="M484" i="13"/>
  <c r="N503" i="13"/>
  <c r="P507" i="13"/>
  <c r="P528" i="13"/>
  <c r="H118" i="11"/>
  <c r="P91" i="11"/>
  <c r="O90" i="11"/>
  <c r="K512" i="11"/>
  <c r="P552" i="11"/>
  <c r="H696" i="11"/>
  <c r="J14" i="12"/>
  <c r="O98" i="12"/>
  <c r="M166" i="12"/>
  <c r="J329" i="12"/>
  <c r="M454" i="12"/>
  <c r="J554" i="12"/>
  <c r="O656" i="12"/>
  <c r="M707" i="12"/>
  <c r="H44" i="13"/>
  <c r="H124" i="13"/>
  <c r="K162" i="13"/>
  <c r="H425" i="13"/>
  <c r="K428" i="13"/>
  <c r="H37" i="11"/>
  <c r="K85" i="11"/>
  <c r="O233" i="11"/>
  <c r="O228" i="11" s="1"/>
  <c r="K251" i="11"/>
  <c r="K305" i="11"/>
  <c r="M459" i="11"/>
  <c r="P484" i="11"/>
  <c r="P487" i="11"/>
  <c r="M526" i="11"/>
  <c r="H603" i="11"/>
  <c r="P620" i="11"/>
  <c r="O31" i="12"/>
  <c r="R84" i="12"/>
  <c r="J172" i="12"/>
  <c r="O296" i="12"/>
  <c r="J303" i="12"/>
  <c r="R345" i="12"/>
  <c r="K512" i="12"/>
  <c r="K511" i="12" s="1"/>
  <c r="R581" i="12"/>
  <c r="J606" i="12"/>
  <c r="M704" i="12"/>
  <c r="P738" i="12"/>
  <c r="J748" i="12"/>
  <c r="P15" i="13"/>
  <c r="N72" i="13"/>
  <c r="N71" i="13" s="1"/>
  <c r="M160" i="13"/>
  <c r="H189" i="13"/>
  <c r="M197" i="13"/>
  <c r="K228" i="13"/>
  <c r="M246" i="13"/>
  <c r="M253" i="13"/>
  <c r="H277" i="13"/>
  <c r="K290" i="13"/>
  <c r="P342" i="13"/>
  <c r="M480" i="13"/>
  <c r="P561" i="11"/>
  <c r="M705" i="12"/>
  <c r="M127" i="11"/>
  <c r="I135" i="11"/>
  <c r="N240" i="11"/>
  <c r="N239" i="11" s="1"/>
  <c r="N238" i="11" s="1"/>
  <c r="N237" i="11" s="1"/>
  <c r="J261" i="11"/>
  <c r="G278" i="11"/>
  <c r="G275" i="11" s="1"/>
  <c r="G274" i="11" s="1"/>
  <c r="H274" i="11" s="1"/>
  <c r="H329" i="11"/>
  <c r="L373" i="11"/>
  <c r="H383" i="11"/>
  <c r="O99" i="12"/>
  <c r="P293" i="12"/>
  <c r="P292" i="12" s="1"/>
  <c r="J487" i="12"/>
  <c r="H552" i="12"/>
  <c r="H551" i="12" s="1"/>
  <c r="H550" i="12" s="1"/>
  <c r="H549" i="12" s="1"/>
  <c r="M696" i="12"/>
  <c r="P722" i="12"/>
  <c r="P721" i="12" s="1"/>
  <c r="P716" i="12" s="1"/>
  <c r="P715" i="12" s="1"/>
  <c r="P744" i="12"/>
  <c r="P737" i="12" s="1"/>
  <c r="P736" i="12" s="1"/>
  <c r="P735" i="12" s="1"/>
  <c r="K115" i="13"/>
  <c r="M121" i="13"/>
  <c r="M141" i="13"/>
  <c r="K143" i="13"/>
  <c r="H257" i="13"/>
  <c r="K299" i="13"/>
  <c r="P370" i="13"/>
  <c r="K373" i="13"/>
  <c r="K429" i="13"/>
  <c r="P493" i="13"/>
  <c r="K538" i="13"/>
  <c r="I456" i="11"/>
  <c r="I455" i="11" s="1"/>
  <c r="P80" i="11"/>
  <c r="P482" i="13"/>
  <c r="I177" i="11"/>
  <c r="I176" i="11" s="1"/>
  <c r="I175" i="11" s="1"/>
  <c r="I174" i="11" s="1"/>
  <c r="I173" i="11" s="1"/>
  <c r="I172" i="11" s="1"/>
  <c r="N357" i="11"/>
  <c r="N356" i="11" s="1"/>
  <c r="F379" i="11"/>
  <c r="P507" i="11"/>
  <c r="G608" i="11"/>
  <c r="G628" i="11"/>
  <c r="H628" i="11" s="1"/>
  <c r="M713" i="11"/>
  <c r="H246" i="12"/>
  <c r="R271" i="12"/>
  <c r="R460" i="12"/>
  <c r="R706" i="12"/>
  <c r="I822" i="12"/>
  <c r="K57" i="13"/>
  <c r="K74" i="13"/>
  <c r="I231" i="13"/>
  <c r="M257" i="13"/>
  <c r="M288" i="13"/>
  <c r="H446" i="13"/>
  <c r="P480" i="13"/>
  <c r="N253" i="11"/>
  <c r="N252" i="11" s="1"/>
  <c r="P374" i="11"/>
  <c r="P194" i="13"/>
  <c r="G262" i="11"/>
  <c r="G261" i="11" s="1"/>
  <c r="H261" i="11" s="1"/>
  <c r="F336" i="11"/>
  <c r="P439" i="11"/>
  <c r="N577" i="11"/>
  <c r="N570" i="11" s="1"/>
  <c r="N569" i="11" s="1"/>
  <c r="N568" i="11" s="1"/>
  <c r="I709" i="11"/>
  <c r="I708" i="11" s="1"/>
  <c r="H716" i="11"/>
  <c r="O725" i="11"/>
  <c r="K278" i="12"/>
  <c r="O278" i="12" s="1"/>
  <c r="N14" i="13"/>
  <c r="N10" i="13" s="1"/>
  <c r="N9" i="13" s="1"/>
  <c r="I49" i="13"/>
  <c r="I48" i="13" s="1"/>
  <c r="F210" i="13"/>
  <c r="N298" i="13"/>
  <c r="N435" i="13"/>
  <c r="O453" i="13"/>
  <c r="P453" i="13" s="1"/>
  <c r="M34" i="11"/>
  <c r="H468" i="11"/>
  <c r="P268" i="13"/>
  <c r="H373" i="13"/>
  <c r="P124" i="11"/>
  <c r="N228" i="11"/>
  <c r="N227" i="11" s="1"/>
  <c r="J32" i="12"/>
  <c r="P702" i="12"/>
  <c r="P701" i="12" s="1"/>
  <c r="P110" i="13"/>
  <c r="H119" i="13"/>
  <c r="M405" i="13"/>
  <c r="H522" i="13"/>
  <c r="P12" i="11"/>
  <c r="P88" i="11"/>
  <c r="H389" i="11"/>
  <c r="H526" i="13"/>
  <c r="K22" i="11"/>
  <c r="O183" i="11"/>
  <c r="P183" i="11" s="1"/>
  <c r="P450" i="11"/>
  <c r="K480" i="11"/>
  <c r="K495" i="11"/>
  <c r="M32" i="12"/>
  <c r="R50" i="12"/>
  <c r="J295" i="12"/>
  <c r="L453" i="12"/>
  <c r="R580" i="12"/>
  <c r="R620" i="12"/>
  <c r="M636" i="12"/>
  <c r="M648" i="12"/>
  <c r="O707" i="12"/>
  <c r="J97" i="13"/>
  <c r="O223" i="13"/>
  <c r="K226" i="13"/>
  <c r="F250" i="13"/>
  <c r="H292" i="13"/>
  <c r="K295" i="13"/>
  <c r="P307" i="13"/>
  <c r="L339" i="13"/>
  <c r="M339" i="13" s="1"/>
  <c r="P389" i="13"/>
  <c r="I388" i="13"/>
  <c r="H473" i="13"/>
  <c r="H507" i="13"/>
  <c r="H535" i="13"/>
  <c r="P75" i="13"/>
  <c r="P135" i="13"/>
  <c r="H66" i="11"/>
  <c r="M76" i="11"/>
  <c r="G84" i="11"/>
  <c r="H84" i="11" s="1"/>
  <c r="J147" i="11"/>
  <c r="H223" i="11"/>
  <c r="H325" i="11"/>
  <c r="M355" i="11"/>
  <c r="K377" i="11"/>
  <c r="K390" i="11"/>
  <c r="O441" i="11"/>
  <c r="O601" i="11"/>
  <c r="K609" i="11"/>
  <c r="M628" i="11"/>
  <c r="K716" i="11"/>
  <c r="Q75" i="12"/>
  <c r="Q71" i="12" s="1"/>
  <c r="J302" i="12"/>
  <c r="R321" i="12"/>
  <c r="O388" i="12"/>
  <c r="H393" i="12"/>
  <c r="H387" i="12" s="1"/>
  <c r="H386" i="12" s="1"/>
  <c r="I681" i="12"/>
  <c r="J681" i="12" s="1"/>
  <c r="M686" i="12"/>
  <c r="O838" i="12"/>
  <c r="K37" i="13"/>
  <c r="I192" i="13"/>
  <c r="K273" i="13"/>
  <c r="N339" i="13"/>
  <c r="H362" i="13"/>
  <c r="M421" i="13"/>
  <c r="P341" i="12"/>
  <c r="P531" i="13"/>
  <c r="R656" i="12"/>
  <c r="M49" i="11"/>
  <c r="K222" i="11"/>
  <c r="H257" i="11"/>
  <c r="P258" i="11"/>
  <c r="I321" i="11"/>
  <c r="I320" i="11" s="1"/>
  <c r="K502" i="11"/>
  <c r="G588" i="11"/>
  <c r="H673" i="11"/>
  <c r="M735" i="11"/>
  <c r="O19" i="12"/>
  <c r="L342" i="12"/>
  <c r="O409" i="12"/>
  <c r="N490" i="12"/>
  <c r="O490" i="12" s="1"/>
  <c r="H504" i="12"/>
  <c r="H503" i="12" s="1"/>
  <c r="H502" i="12" s="1"/>
  <c r="H501" i="12" s="1"/>
  <c r="H642" i="12"/>
  <c r="H641" i="12" s="1"/>
  <c r="Q705" i="12"/>
  <c r="K797" i="12"/>
  <c r="K796" i="12" s="1"/>
  <c r="K795" i="12" s="1"/>
  <c r="K15" i="13"/>
  <c r="G59" i="13"/>
  <c r="K234" i="13"/>
  <c r="G268" i="13"/>
  <c r="H441" i="13"/>
  <c r="O336" i="12"/>
  <c r="K31" i="11"/>
  <c r="K154" i="11"/>
  <c r="P202" i="11"/>
  <c r="P351" i="11"/>
  <c r="P392" i="11"/>
  <c r="K403" i="11"/>
  <c r="P461" i="11"/>
  <c r="H502" i="11"/>
  <c r="M617" i="11"/>
  <c r="P663" i="11"/>
  <c r="K453" i="12"/>
  <c r="K451" i="12" s="1"/>
  <c r="O517" i="12"/>
  <c r="O605" i="12"/>
  <c r="N738" i="12"/>
  <c r="H744" i="12"/>
  <c r="H737" i="12" s="1"/>
  <c r="H736" i="12" s="1"/>
  <c r="H735" i="12" s="1"/>
  <c r="K12" i="13"/>
  <c r="I72" i="13"/>
  <c r="I71" i="13" s="1"/>
  <c r="K311" i="13"/>
  <c r="M342" i="13"/>
  <c r="M441" i="13"/>
  <c r="P601" i="11"/>
  <c r="J111" i="12"/>
  <c r="I110" i="12"/>
  <c r="J110" i="12" s="1"/>
  <c r="O324" i="12"/>
  <c r="N323" i="12"/>
  <c r="O323" i="12" s="1"/>
  <c r="M430" i="12"/>
  <c r="I428" i="12"/>
  <c r="J428" i="12" s="1"/>
  <c r="M464" i="13"/>
  <c r="L463" i="13"/>
  <c r="M463" i="13" s="1"/>
  <c r="N28" i="11"/>
  <c r="N27" i="11" s="1"/>
  <c r="N26" i="11" s="1"/>
  <c r="N25" i="11" s="1"/>
  <c r="N18" i="11" s="1"/>
  <c r="M30" i="11"/>
  <c r="K32" i="11"/>
  <c r="O37" i="11"/>
  <c r="P37" i="11" s="1"/>
  <c r="G65" i="11"/>
  <c r="M73" i="11"/>
  <c r="J84" i="11"/>
  <c r="J83" i="11" s="1"/>
  <c r="K98" i="11"/>
  <c r="N100" i="11"/>
  <c r="M118" i="11"/>
  <c r="P117" i="11"/>
  <c r="F130" i="11"/>
  <c r="N130" i="11"/>
  <c r="M135" i="11"/>
  <c r="M147" i="11"/>
  <c r="K148" i="11"/>
  <c r="H154" i="11"/>
  <c r="K160" i="11"/>
  <c r="M160" i="11"/>
  <c r="G183" i="11"/>
  <c r="K188" i="11"/>
  <c r="K192" i="11"/>
  <c r="K196" i="11"/>
  <c r="I201" i="11"/>
  <c r="I200" i="11" s="1"/>
  <c r="K223" i="11"/>
  <c r="K229" i="11"/>
  <c r="F228" i="11"/>
  <c r="F227" i="11" s="1"/>
  <c r="M233" i="11"/>
  <c r="I255" i="11"/>
  <c r="I254" i="11" s="1"/>
  <c r="K271" i="11"/>
  <c r="K279" i="11"/>
  <c r="H282" i="11"/>
  <c r="P284" i="11"/>
  <c r="O286" i="11"/>
  <c r="P286" i="11" s="1"/>
  <c r="P295" i="11"/>
  <c r="J303" i="11"/>
  <c r="M304" i="11"/>
  <c r="F328" i="11"/>
  <c r="F327" i="11" s="1"/>
  <c r="K329" i="11"/>
  <c r="N326" i="11"/>
  <c r="N379" i="11"/>
  <c r="H381" i="11"/>
  <c r="H386" i="11"/>
  <c r="O402" i="11"/>
  <c r="O401" i="11" s="1"/>
  <c r="K405" i="11"/>
  <c r="L408" i="11"/>
  <c r="M408" i="11" s="1"/>
  <c r="H409" i="11"/>
  <c r="M418" i="11"/>
  <c r="K431" i="11"/>
  <c r="P433" i="11"/>
  <c r="G467" i="11"/>
  <c r="K482" i="11"/>
  <c r="M483" i="11"/>
  <c r="H495" i="11"/>
  <c r="P495" i="11"/>
  <c r="P502" i="11"/>
  <c r="K504" i="11"/>
  <c r="G505" i="11"/>
  <c r="H505" i="11" s="1"/>
  <c r="I519" i="11"/>
  <c r="I518" i="11" s="1"/>
  <c r="F535" i="11"/>
  <c r="H535" i="11" s="1"/>
  <c r="G545" i="11"/>
  <c r="H545" i="11" s="1"/>
  <c r="K546" i="11"/>
  <c r="P545" i="11"/>
  <c r="G551" i="11"/>
  <c r="H551" i="11" s="1"/>
  <c r="K561" i="11"/>
  <c r="G571" i="11"/>
  <c r="K571" i="11" s="1"/>
  <c r="H595" i="11"/>
  <c r="K596" i="11"/>
  <c r="M597" i="11"/>
  <c r="G602" i="11"/>
  <c r="G601" i="11" s="1"/>
  <c r="H601" i="11" s="1"/>
  <c r="K617" i="11"/>
  <c r="K622" i="11"/>
  <c r="K630" i="11"/>
  <c r="K640" i="11"/>
  <c r="M640" i="11"/>
  <c r="M663" i="11"/>
  <c r="M679" i="11"/>
  <c r="I732" i="11"/>
  <c r="I730" i="11" s="1"/>
  <c r="I729" i="11" s="1"/>
  <c r="P734" i="11"/>
  <c r="N732" i="11"/>
  <c r="M742" i="11"/>
  <c r="K18" i="12"/>
  <c r="K17" i="12" s="1"/>
  <c r="K16" i="12" s="1"/>
  <c r="P25" i="12"/>
  <c r="J27" i="12"/>
  <c r="M46" i="12"/>
  <c r="I44" i="12"/>
  <c r="I43" i="12" s="1"/>
  <c r="J43" i="12" s="1"/>
  <c r="J46" i="12"/>
  <c r="J63" i="12"/>
  <c r="J80" i="12"/>
  <c r="I79" i="12"/>
  <c r="J79" i="12" s="1"/>
  <c r="J132" i="12"/>
  <c r="I131" i="12"/>
  <c r="J131" i="12" s="1"/>
  <c r="J230" i="12"/>
  <c r="I229" i="12"/>
  <c r="J229" i="12" s="1"/>
  <c r="P224" i="12"/>
  <c r="P223" i="12" s="1"/>
  <c r="Q294" i="12"/>
  <c r="R294" i="12" s="1"/>
  <c r="H453" i="12"/>
  <c r="O472" i="12"/>
  <c r="N471" i="12"/>
  <c r="O471" i="12" s="1"/>
  <c r="M492" i="12"/>
  <c r="J492" i="12"/>
  <c r="I490" i="12"/>
  <c r="J490" i="12" s="1"/>
  <c r="K565" i="12"/>
  <c r="K564" i="12" s="1"/>
  <c r="K563" i="12" s="1"/>
  <c r="K562" i="12" s="1"/>
  <c r="K561" i="12" s="1"/>
  <c r="P124" i="13"/>
  <c r="O123" i="13"/>
  <c r="P123" i="13" s="1"/>
  <c r="M37" i="11"/>
  <c r="I59" i="12"/>
  <c r="M59" i="12" s="1"/>
  <c r="J60" i="12"/>
  <c r="M446" i="13"/>
  <c r="L443" i="13"/>
  <c r="M443" i="13" s="1"/>
  <c r="M33" i="11"/>
  <c r="M38" i="11"/>
  <c r="M58" i="11"/>
  <c r="F65" i="11"/>
  <c r="F64" i="11" s="1"/>
  <c r="K73" i="11"/>
  <c r="P76" i="11"/>
  <c r="K91" i="11"/>
  <c r="L90" i="11"/>
  <c r="G108" i="11"/>
  <c r="G107" i="11" s="1"/>
  <c r="H107" i="11" s="1"/>
  <c r="G117" i="11"/>
  <c r="H117" i="11" s="1"/>
  <c r="P133" i="11"/>
  <c r="F147" i="11"/>
  <c r="F146" i="11" s="1"/>
  <c r="F145" i="11" s="1"/>
  <c r="P154" i="11"/>
  <c r="H160" i="11"/>
  <c r="P160" i="11"/>
  <c r="H188" i="11"/>
  <c r="P192" i="11"/>
  <c r="P225" i="11"/>
  <c r="J250" i="11"/>
  <c r="J249" i="11" s="1"/>
  <c r="M251" i="11"/>
  <c r="K284" i="11"/>
  <c r="M289" i="11"/>
  <c r="J293" i="11"/>
  <c r="J292" i="11" s="1"/>
  <c r="H305" i="11"/>
  <c r="M331" i="11"/>
  <c r="K343" i="11"/>
  <c r="G346" i="11"/>
  <c r="K346" i="11" s="1"/>
  <c r="J357" i="11"/>
  <c r="J356" i="11" s="1"/>
  <c r="F368" i="11"/>
  <c r="F367" i="11" s="1"/>
  <c r="F366" i="11" s="1"/>
  <c r="F365" i="11" s="1"/>
  <c r="J376" i="11"/>
  <c r="K386" i="11"/>
  <c r="H405" i="11"/>
  <c r="M405" i="11"/>
  <c r="M411" i="11"/>
  <c r="M416" i="11"/>
  <c r="K418" i="11"/>
  <c r="H458" i="11"/>
  <c r="F464" i="11"/>
  <c r="F463" i="11" s="1"/>
  <c r="M482" i="11"/>
  <c r="K508" i="11"/>
  <c r="M511" i="11"/>
  <c r="F544" i="11"/>
  <c r="F543" i="11" s="1"/>
  <c r="M549" i="11"/>
  <c r="M555" i="11"/>
  <c r="I558" i="11"/>
  <c r="I557" i="11" s="1"/>
  <c r="M575" i="11"/>
  <c r="N587" i="11"/>
  <c r="N586" i="11" s="1"/>
  <c r="M609" i="11"/>
  <c r="P618" i="11"/>
  <c r="K663" i="11"/>
  <c r="G667" i="11"/>
  <c r="H667" i="11" s="1"/>
  <c r="J696" i="11"/>
  <c r="K697" i="11"/>
  <c r="J713" i="11"/>
  <c r="K742" i="11"/>
  <c r="H13" i="12"/>
  <c r="H12" i="12" s="1"/>
  <c r="H11" i="12" s="1"/>
  <c r="H10" i="12" s="1"/>
  <c r="H9" i="12" s="1"/>
  <c r="M28" i="12"/>
  <c r="L31" i="12"/>
  <c r="O106" i="12"/>
  <c r="K105" i="12"/>
  <c r="O105" i="12" s="1"/>
  <c r="R151" i="12"/>
  <c r="Q144" i="12"/>
  <c r="K246" i="12"/>
  <c r="L486" i="12"/>
  <c r="L485" i="12" s="1"/>
  <c r="L484" i="12" s="1"/>
  <c r="M487" i="12"/>
  <c r="L490" i="12"/>
  <c r="L489" i="12" s="1"/>
  <c r="L488" i="12" s="1"/>
  <c r="M491" i="12"/>
  <c r="H489" i="12"/>
  <c r="H488" i="12" s="1"/>
  <c r="H483" i="12" s="1"/>
  <c r="H482" i="12" s="1"/>
  <c r="P489" i="12"/>
  <c r="P488" i="12" s="1"/>
  <c r="P483" i="12" s="1"/>
  <c r="P482" i="12" s="1"/>
  <c r="J152" i="11"/>
  <c r="J151" i="11" s="1"/>
  <c r="J150" i="11" s="1"/>
  <c r="K76" i="11"/>
  <c r="H91" i="11"/>
  <c r="O108" i="11"/>
  <c r="O107" i="11" s="1"/>
  <c r="I108" i="11"/>
  <c r="I107" i="11" s="1"/>
  <c r="M107" i="11" s="1"/>
  <c r="G153" i="11"/>
  <c r="O157" i="11"/>
  <c r="O156" i="11" s="1"/>
  <c r="P188" i="11"/>
  <c r="N298" i="11"/>
  <c r="N290" i="11" s="1"/>
  <c r="M346" i="11"/>
  <c r="F357" i="11"/>
  <c r="F356" i="11" s="1"/>
  <c r="M373" i="11"/>
  <c r="M380" i="11"/>
  <c r="K388" i="11"/>
  <c r="K395" i="11"/>
  <c r="F387" i="11"/>
  <c r="O475" i="11"/>
  <c r="L486" i="11"/>
  <c r="M502" i="11"/>
  <c r="M546" i="11"/>
  <c r="F593" i="11"/>
  <c r="F587" i="11" s="1"/>
  <c r="F586" i="11" s="1"/>
  <c r="H608" i="11"/>
  <c r="P672" i="11"/>
  <c r="P685" i="11"/>
  <c r="O26" i="12"/>
  <c r="J138" i="12"/>
  <c r="H137" i="12"/>
  <c r="H136" i="12" s="1"/>
  <c r="H135" i="12" s="1"/>
  <c r="H134" i="12" s="1"/>
  <c r="H133" i="12" s="1"/>
  <c r="M185" i="12"/>
  <c r="L184" i="12"/>
  <c r="M184" i="12" s="1"/>
  <c r="O466" i="12"/>
  <c r="N465" i="12"/>
  <c r="N464" i="12" s="1"/>
  <c r="M518" i="12"/>
  <c r="I517" i="12"/>
  <c r="M517" i="12" s="1"/>
  <c r="J518" i="12"/>
  <c r="H593" i="12"/>
  <c r="H592" i="12" s="1"/>
  <c r="M741" i="12"/>
  <c r="L739" i="12"/>
  <c r="R66" i="12"/>
  <c r="Q83" i="12"/>
  <c r="Q82" i="12" s="1"/>
  <c r="R110" i="12"/>
  <c r="P120" i="12"/>
  <c r="P113" i="12" s="1"/>
  <c r="J127" i="12"/>
  <c r="I144" i="12"/>
  <c r="R165" i="12"/>
  <c r="R172" i="12"/>
  <c r="J206" i="12"/>
  <c r="M214" i="12"/>
  <c r="J219" i="12"/>
  <c r="J221" i="12"/>
  <c r="P256" i="12"/>
  <c r="R269" i="12"/>
  <c r="R281" i="12"/>
  <c r="O308" i="12"/>
  <c r="R331" i="12"/>
  <c r="R440" i="12"/>
  <c r="J460" i="12"/>
  <c r="P463" i="12"/>
  <c r="P462" i="12" s="1"/>
  <c r="M469" i="12"/>
  <c r="H536" i="12"/>
  <c r="O537" i="12"/>
  <c r="M554" i="12"/>
  <c r="L566" i="12"/>
  <c r="M566" i="12" s="1"/>
  <c r="P591" i="12"/>
  <c r="P590" i="12" s="1"/>
  <c r="P589" i="12" s="1"/>
  <c r="L604" i="12"/>
  <c r="P815" i="12"/>
  <c r="H94" i="13"/>
  <c r="G93" i="13"/>
  <c r="H93" i="13" s="1"/>
  <c r="P115" i="13"/>
  <c r="O114" i="13"/>
  <c r="M50" i="12"/>
  <c r="R62" i="12"/>
  <c r="O68" i="12"/>
  <c r="R79" i="12"/>
  <c r="O80" i="12"/>
  <c r="M86" i="12"/>
  <c r="K95" i="12"/>
  <c r="O95" i="12" s="1"/>
  <c r="M99" i="12"/>
  <c r="R102" i="12"/>
  <c r="J108" i="12"/>
  <c r="R122" i="12"/>
  <c r="O125" i="12"/>
  <c r="K144" i="12"/>
  <c r="K143" i="12" s="1"/>
  <c r="K142" i="12" s="1"/>
  <c r="K141" i="12" s="1"/>
  <c r="M147" i="12"/>
  <c r="R147" i="12"/>
  <c r="O151" i="12"/>
  <c r="J153" i="12"/>
  <c r="M157" i="12"/>
  <c r="R168" i="12"/>
  <c r="O174" i="12"/>
  <c r="J183" i="12"/>
  <c r="J191" i="12"/>
  <c r="O194" i="12"/>
  <c r="O208" i="12"/>
  <c r="R212" i="12"/>
  <c r="I218" i="12"/>
  <c r="I217" i="12" s="1"/>
  <c r="J227" i="12"/>
  <c r="O227" i="12"/>
  <c r="R243" i="12"/>
  <c r="K256" i="12"/>
  <c r="J260" i="12"/>
  <c r="O271" i="12"/>
  <c r="M283" i="12"/>
  <c r="O295" i="12"/>
  <c r="R296" i="12"/>
  <c r="M314" i="12"/>
  <c r="K328" i="12"/>
  <c r="K327" i="12" s="1"/>
  <c r="K326" i="12" s="1"/>
  <c r="R330" i="12"/>
  <c r="M353" i="12"/>
  <c r="P349" i="12"/>
  <c r="M380" i="12"/>
  <c r="J396" i="12"/>
  <c r="R397" i="12"/>
  <c r="R402" i="12"/>
  <c r="J408" i="12"/>
  <c r="P414" i="12"/>
  <c r="P413" i="12" s="1"/>
  <c r="Q439" i="12"/>
  <c r="Q438" i="12" s="1"/>
  <c r="Q437" i="12" s="1"/>
  <c r="Q490" i="12"/>
  <c r="R495" i="12"/>
  <c r="I523" i="12"/>
  <c r="Q543" i="12"/>
  <c r="Q542" i="12" s="1"/>
  <c r="O555" i="12"/>
  <c r="J574" i="12"/>
  <c r="J580" i="12"/>
  <c r="O596" i="12"/>
  <c r="Q642" i="12"/>
  <c r="Q641" i="12" s="1"/>
  <c r="O820" i="12"/>
  <c r="N819" i="12"/>
  <c r="I850" i="12"/>
  <c r="J850" i="12" s="1"/>
  <c r="J851" i="12"/>
  <c r="P60" i="13"/>
  <c r="O59" i="13"/>
  <c r="O58" i="13" s="1"/>
  <c r="J84" i="13"/>
  <c r="J83" i="13" s="1"/>
  <c r="K85" i="13"/>
  <c r="H191" i="13"/>
  <c r="G190" i="13"/>
  <c r="J68" i="12"/>
  <c r="M84" i="12"/>
  <c r="O116" i="12"/>
  <c r="O124" i="12"/>
  <c r="H125" i="12"/>
  <c r="H124" i="12" s="1"/>
  <c r="H120" i="12" s="1"/>
  <c r="H113" i="12" s="1"/>
  <c r="P162" i="12"/>
  <c r="P161" i="12" s="1"/>
  <c r="O178" i="12"/>
  <c r="K188" i="12"/>
  <c r="K187" i="12" s="1"/>
  <c r="K186" i="12" s="1"/>
  <c r="M194" i="12"/>
  <c r="J201" i="12"/>
  <c r="I205" i="12"/>
  <c r="H224" i="12"/>
  <c r="H223" i="12" s="1"/>
  <c r="J244" i="12"/>
  <c r="P255" i="12"/>
  <c r="O281" i="12"/>
  <c r="J283" i="12"/>
  <c r="R288" i="12"/>
  <c r="H293" i="12"/>
  <c r="H292" i="12" s="1"/>
  <c r="O300" i="12"/>
  <c r="M312" i="12"/>
  <c r="J331" i="12"/>
  <c r="O331" i="12"/>
  <c r="R336" i="12"/>
  <c r="R346" i="12"/>
  <c r="I351" i="12"/>
  <c r="M351" i="12" s="1"/>
  <c r="M376" i="12"/>
  <c r="O390" i="12"/>
  <c r="O397" i="12"/>
  <c r="K413" i="12"/>
  <c r="K407" i="12" s="1"/>
  <c r="J421" i="12"/>
  <c r="O422" i="12"/>
  <c r="O506" i="12"/>
  <c r="M508" i="12"/>
  <c r="R544" i="12"/>
  <c r="K552" i="12"/>
  <c r="K551" i="12" s="1"/>
  <c r="K550" i="12" s="1"/>
  <c r="K549" i="12" s="1"/>
  <c r="R710" i="12"/>
  <c r="Q709" i="12"/>
  <c r="R709" i="12" s="1"/>
  <c r="R843" i="12"/>
  <c r="Q842" i="12"/>
  <c r="M163" i="13"/>
  <c r="R628" i="12"/>
  <c r="O662" i="12"/>
  <c r="O668" i="12"/>
  <c r="O670" i="12"/>
  <c r="K672" i="12"/>
  <c r="R681" i="12"/>
  <c r="R687" i="12"/>
  <c r="M697" i="12"/>
  <c r="O704" i="12"/>
  <c r="J712" i="12"/>
  <c r="J713" i="12"/>
  <c r="H722" i="12"/>
  <c r="M730" i="12"/>
  <c r="H799" i="12"/>
  <c r="H798" i="12" s="1"/>
  <c r="H797" i="12" s="1"/>
  <c r="H796" i="12" s="1"/>
  <c r="H795" i="12" s="1"/>
  <c r="R806" i="12"/>
  <c r="O817" i="12"/>
  <c r="O821" i="12"/>
  <c r="R823" i="12"/>
  <c r="M838" i="12"/>
  <c r="M840" i="12"/>
  <c r="M843" i="12"/>
  <c r="P12" i="13"/>
  <c r="J14" i="13"/>
  <c r="M19" i="13"/>
  <c r="M29" i="13"/>
  <c r="M34" i="13"/>
  <c r="H37" i="13"/>
  <c r="M51" i="13"/>
  <c r="H52" i="13"/>
  <c r="P67" i="13"/>
  <c r="M79" i="13"/>
  <c r="P81" i="13"/>
  <c r="I86" i="13"/>
  <c r="I77" i="13" s="1"/>
  <c r="P89" i="13"/>
  <c r="M93" i="13"/>
  <c r="M95" i="13"/>
  <c r="K97" i="13"/>
  <c r="H104" i="13"/>
  <c r="H109" i="13"/>
  <c r="K124" i="13"/>
  <c r="P131" i="13"/>
  <c r="H135" i="13"/>
  <c r="M136" i="13"/>
  <c r="K136" i="13"/>
  <c r="H143" i="13"/>
  <c r="K164" i="13"/>
  <c r="F256" i="13"/>
  <c r="P292" i="13"/>
  <c r="O291" i="13"/>
  <c r="P291" i="13" s="1"/>
  <c r="P309" i="13"/>
  <c r="I384" i="13"/>
  <c r="H451" i="13"/>
  <c r="H504" i="13"/>
  <c r="I647" i="12"/>
  <c r="J647" i="12" s="1"/>
  <c r="M652" i="12"/>
  <c r="P650" i="12"/>
  <c r="P649" i="12" s="1"/>
  <c r="M654" i="12"/>
  <c r="M665" i="12"/>
  <c r="J668" i="12"/>
  <c r="N687" i="12"/>
  <c r="M706" i="12"/>
  <c r="O710" i="12"/>
  <c r="K737" i="12"/>
  <c r="K736" i="12" s="1"/>
  <c r="K735" i="12" s="1"/>
  <c r="R786" i="12"/>
  <c r="O794" i="12"/>
  <c r="I800" i="12"/>
  <c r="O802" i="12"/>
  <c r="R805" i="12"/>
  <c r="R820" i="12"/>
  <c r="M823" i="12"/>
  <c r="H827" i="12"/>
  <c r="H826" i="12" s="1"/>
  <c r="H825" i="12" s="1"/>
  <c r="I828" i="12"/>
  <c r="I827" i="12" s="1"/>
  <c r="R835" i="12"/>
  <c r="Q839" i="12"/>
  <c r="Q834" i="12" s="1"/>
  <c r="M851" i="12"/>
  <c r="L14" i="13"/>
  <c r="F22" i="13"/>
  <c r="F21" i="13" s="1"/>
  <c r="K29" i="13"/>
  <c r="H34" i="13"/>
  <c r="M43" i="13"/>
  <c r="M52" i="13"/>
  <c r="M56" i="13"/>
  <c r="K67" i="13"/>
  <c r="M91" i="13"/>
  <c r="M104" i="13"/>
  <c r="M108" i="13"/>
  <c r="M118" i="13"/>
  <c r="K129" i="13"/>
  <c r="I130" i="13"/>
  <c r="I127" i="13" s="1"/>
  <c r="I113" i="13" s="1"/>
  <c r="I112" i="13" s="1"/>
  <c r="M132" i="13"/>
  <c r="K145" i="13"/>
  <c r="F503" i="13"/>
  <c r="K642" i="12"/>
  <c r="K641" i="12" s="1"/>
  <c r="O647" i="12"/>
  <c r="H650" i="12"/>
  <c r="R664" i="12"/>
  <c r="H702" i="12"/>
  <c r="J707" i="12"/>
  <c r="K815" i="12"/>
  <c r="P55" i="13"/>
  <c r="F64" i="13"/>
  <c r="F72" i="13"/>
  <c r="F71" i="13" s="1"/>
  <c r="P79" i="13"/>
  <c r="M83" i="13"/>
  <c r="H88" i="13"/>
  <c r="P93" i="13"/>
  <c r="I100" i="13"/>
  <c r="K104" i="13"/>
  <c r="O109" i="13"/>
  <c r="K110" i="13"/>
  <c r="H115" i="13"/>
  <c r="K119" i="13"/>
  <c r="G123" i="13"/>
  <c r="H123" i="13" s="1"/>
  <c r="L130" i="13"/>
  <c r="M133" i="13"/>
  <c r="M140" i="13"/>
  <c r="H141" i="13"/>
  <c r="P153" i="13"/>
  <c r="H164" i="13"/>
  <c r="P181" i="13"/>
  <c r="K185" i="13"/>
  <c r="G184" i="13"/>
  <c r="H184" i="13" s="1"/>
  <c r="H228" i="13"/>
  <c r="P340" i="13"/>
  <c r="O339" i="13"/>
  <c r="P350" i="13"/>
  <c r="O349" i="13"/>
  <c r="L394" i="13"/>
  <c r="M394" i="13" s="1"/>
  <c r="M395" i="13"/>
  <c r="K410" i="13"/>
  <c r="G409" i="13"/>
  <c r="H437" i="13"/>
  <c r="K437" i="13"/>
  <c r="F456" i="13"/>
  <c r="F455" i="13" s="1"/>
  <c r="F448" i="13" s="1"/>
  <c r="F475" i="13"/>
  <c r="J493" i="13"/>
  <c r="J492" i="13" s="1"/>
  <c r="K494" i="13"/>
  <c r="P519" i="13"/>
  <c r="K190" i="13"/>
  <c r="K211" i="13"/>
  <c r="M218" i="13"/>
  <c r="H225" i="13"/>
  <c r="P246" i="13"/>
  <c r="P254" i="13"/>
  <c r="M311" i="13"/>
  <c r="M333" i="13"/>
  <c r="M345" i="13"/>
  <c r="K368" i="13"/>
  <c r="P377" i="13"/>
  <c r="O426" i="13"/>
  <c r="P426" i="13" s="1"/>
  <c r="J435" i="13"/>
  <c r="P439" i="13"/>
  <c r="K505" i="13"/>
  <c r="P522" i="13"/>
  <c r="P184" i="13"/>
  <c r="H193" i="13"/>
  <c r="K199" i="13"/>
  <c r="K201" i="13"/>
  <c r="P205" i="13"/>
  <c r="O210" i="13"/>
  <c r="P210" i="13" s="1"/>
  <c r="G227" i="13"/>
  <c r="H227" i="13" s="1"/>
  <c r="H252" i="13"/>
  <c r="K257" i="13"/>
  <c r="M261" i="13"/>
  <c r="P265" i="13"/>
  <c r="M268" i="13"/>
  <c r="P276" i="13"/>
  <c r="K300" i="13"/>
  <c r="M302" i="13"/>
  <c r="K304" i="13"/>
  <c r="K324" i="13"/>
  <c r="G326" i="13"/>
  <c r="H326" i="13" s="1"/>
  <c r="H328" i="13"/>
  <c r="I329" i="13"/>
  <c r="K347" i="13"/>
  <c r="H358" i="13"/>
  <c r="K362" i="13"/>
  <c r="M364" i="13"/>
  <c r="J366" i="13"/>
  <c r="M376" i="13"/>
  <c r="H395" i="13"/>
  <c r="H397" i="13"/>
  <c r="K402" i="13"/>
  <c r="P418" i="13"/>
  <c r="G426" i="13"/>
  <c r="H426" i="13" s="1"/>
  <c r="O432" i="13"/>
  <c r="P432" i="13" s="1"/>
  <c r="K433" i="13"/>
  <c r="K459" i="13"/>
  <c r="P468" i="13"/>
  <c r="H480" i="13"/>
  <c r="M482" i="13"/>
  <c r="H484" i="13"/>
  <c r="P489" i="13"/>
  <c r="L492" i="13"/>
  <c r="M492" i="13" s="1"/>
  <c r="F492" i="13"/>
  <c r="P495" i="13"/>
  <c r="M500" i="13"/>
  <c r="P499" i="13"/>
  <c r="H505" i="13"/>
  <c r="K520" i="13"/>
  <c r="M520" i="13"/>
  <c r="K522" i="13"/>
  <c r="P534" i="13"/>
  <c r="K170" i="13"/>
  <c r="M171" i="13"/>
  <c r="K172" i="13"/>
  <c r="P180" i="13"/>
  <c r="K195" i="13"/>
  <c r="J210" i="13"/>
  <c r="H214" i="13"/>
  <c r="P214" i="13"/>
  <c r="M216" i="13"/>
  <c r="N231" i="13"/>
  <c r="H246" i="13"/>
  <c r="H249" i="13"/>
  <c r="M254" i="13"/>
  <c r="P261" i="13"/>
  <c r="K262" i="13"/>
  <c r="K267" i="13"/>
  <c r="J272" i="13"/>
  <c r="P286" i="13"/>
  <c r="M307" i="13"/>
  <c r="M309" i="13"/>
  <c r="I318" i="13"/>
  <c r="M318" i="13" s="1"/>
  <c r="K328" i="13"/>
  <c r="M346" i="13"/>
  <c r="K360" i="13"/>
  <c r="M362" i="13"/>
  <c r="P374" i="13"/>
  <c r="M377" i="13"/>
  <c r="F388" i="13"/>
  <c r="K395" i="13"/>
  <c r="M402" i="13"/>
  <c r="M407" i="13"/>
  <c r="N414" i="13"/>
  <c r="P414" i="13" s="1"/>
  <c r="H423" i="13"/>
  <c r="M429" i="13"/>
  <c r="K439" i="13"/>
  <c r="K446" i="13"/>
  <c r="M477" i="13"/>
  <c r="N476" i="13"/>
  <c r="N475" i="13" s="1"/>
  <c r="N471" i="13" s="1"/>
  <c r="N465" i="13" s="1"/>
  <c r="N492" i="13"/>
  <c r="N491" i="13" s="1"/>
  <c r="I503" i="13"/>
  <c r="M507" i="13"/>
  <c r="H520" i="13"/>
  <c r="K532" i="13"/>
  <c r="M538" i="13"/>
  <c r="K238" i="13"/>
  <c r="M52" i="11"/>
  <c r="L51" i="11"/>
  <c r="G41" i="11"/>
  <c r="G40" i="11" s="1"/>
  <c r="K40" i="11" s="1"/>
  <c r="K42" i="11"/>
  <c r="H42" i="11"/>
  <c r="P57" i="11"/>
  <c r="O56" i="11"/>
  <c r="P56" i="11" s="1"/>
  <c r="L70" i="11"/>
  <c r="F100" i="11"/>
  <c r="F96" i="11" s="1"/>
  <c r="F95" i="11" s="1"/>
  <c r="N60" i="11"/>
  <c r="O247" i="11"/>
  <c r="P248" i="11"/>
  <c r="G331" i="11"/>
  <c r="H331" i="11" s="1"/>
  <c r="K332" i="11"/>
  <c r="J484" i="11"/>
  <c r="J475" i="11" s="1"/>
  <c r="K485" i="11"/>
  <c r="K500" i="11"/>
  <c r="J499" i="11"/>
  <c r="J516" i="11"/>
  <c r="K517" i="11"/>
  <c r="P29" i="11"/>
  <c r="M31" i="11"/>
  <c r="K33" i="11"/>
  <c r="I72" i="11"/>
  <c r="J78" i="11"/>
  <c r="K78" i="11" s="1"/>
  <c r="G83" i="11"/>
  <c r="G82" i="11" s="1"/>
  <c r="H82" i="11" s="1"/>
  <c r="J88" i="11"/>
  <c r="J87" i="11" s="1"/>
  <c r="K87" i="11" s="1"/>
  <c r="M93" i="11"/>
  <c r="P109" i="11"/>
  <c r="I117" i="11"/>
  <c r="M117" i="11" s="1"/>
  <c r="J260" i="11"/>
  <c r="H270" i="11"/>
  <c r="P316" i="11"/>
  <c r="O315" i="11"/>
  <c r="O314" i="11" s="1"/>
  <c r="N321" i="11"/>
  <c r="N320" i="11" s="1"/>
  <c r="N319" i="11" s="1"/>
  <c r="P324" i="11"/>
  <c r="P343" i="11"/>
  <c r="G524" i="11"/>
  <c r="H524" i="11" s="1"/>
  <c r="H525" i="11"/>
  <c r="O541" i="11"/>
  <c r="L551" i="11"/>
  <c r="M551" i="11" s="1"/>
  <c r="M552" i="11"/>
  <c r="O468" i="12"/>
  <c r="N467" i="12"/>
  <c r="O467" i="12" s="1"/>
  <c r="R574" i="12"/>
  <c r="Q573" i="12"/>
  <c r="R573" i="12" s="1"/>
  <c r="K17" i="11"/>
  <c r="H33" i="11"/>
  <c r="P41" i="11"/>
  <c r="K43" i="11"/>
  <c r="M47" i="11"/>
  <c r="J72" i="11"/>
  <c r="M105" i="11"/>
  <c r="M140" i="11"/>
  <c r="M170" i="11"/>
  <c r="I169" i="11"/>
  <c r="I168" i="11" s="1"/>
  <c r="I167" i="11" s="1"/>
  <c r="I166" i="11" s="1"/>
  <c r="M195" i="11"/>
  <c r="L194" i="11"/>
  <c r="M194" i="11" s="1"/>
  <c r="M392" i="11"/>
  <c r="F440" i="11"/>
  <c r="F454" i="11"/>
  <c r="F453" i="11" s="1"/>
  <c r="H498" i="11"/>
  <c r="G497" i="11"/>
  <c r="N516" i="11"/>
  <c r="N494" i="11" s="1"/>
  <c r="N493" i="11" s="1"/>
  <c r="P517" i="11"/>
  <c r="O529" i="11"/>
  <c r="P529" i="11" s="1"/>
  <c r="P530" i="11"/>
  <c r="K225" i="11"/>
  <c r="G224" i="11"/>
  <c r="H224" i="11" s="1"/>
  <c r="H225" i="11"/>
  <c r="N314" i="11"/>
  <c r="M53" i="11"/>
  <c r="M228" i="11"/>
  <c r="L227" i="11"/>
  <c r="M227" i="11" s="1"/>
  <c r="H310" i="11"/>
  <c r="H540" i="11"/>
  <c r="G539" i="11"/>
  <c r="H539" i="11" s="1"/>
  <c r="N273" i="12"/>
  <c r="H56" i="11"/>
  <c r="L167" i="11"/>
  <c r="N220" i="11"/>
  <c r="N219" i="11" s="1"/>
  <c r="P221" i="11"/>
  <c r="N440" i="11"/>
  <c r="J530" i="11"/>
  <c r="J529" i="11" s="1"/>
  <c r="K531" i="11"/>
  <c r="F624" i="11"/>
  <c r="P15" i="11"/>
  <c r="K30" i="11"/>
  <c r="K113" i="11"/>
  <c r="G491" i="11"/>
  <c r="H491" i="11" s="1"/>
  <c r="H492" i="11"/>
  <c r="K529" i="11"/>
  <c r="H529" i="11"/>
  <c r="P31" i="11"/>
  <c r="K35" i="11"/>
  <c r="P58" i="11"/>
  <c r="N96" i="11"/>
  <c r="I280" i="11"/>
  <c r="I281" i="11"/>
  <c r="M284" i="11"/>
  <c r="K300" i="11"/>
  <c r="G299" i="11"/>
  <c r="H299" i="11" s="1"/>
  <c r="H300" i="11"/>
  <c r="O328" i="11"/>
  <c r="M359" i="11"/>
  <c r="M374" i="11"/>
  <c r="M484" i="11"/>
  <c r="O509" i="11"/>
  <c r="P509" i="11" s="1"/>
  <c r="P510" i="11"/>
  <c r="F534" i="11"/>
  <c r="F533" i="11" s="1"/>
  <c r="I643" i="11"/>
  <c r="I645" i="11"/>
  <c r="I644" i="11" s="1"/>
  <c r="H681" i="11"/>
  <c r="G680" i="11"/>
  <c r="H680" i="11" s="1"/>
  <c r="Q54" i="12"/>
  <c r="Q53" i="12" s="1"/>
  <c r="R53" i="12" s="1"/>
  <c r="R55" i="12"/>
  <c r="H72" i="12"/>
  <c r="J73" i="12"/>
  <c r="M205" i="12"/>
  <c r="L204" i="12"/>
  <c r="K241" i="12"/>
  <c r="K240" i="12" s="1"/>
  <c r="G15" i="11"/>
  <c r="K15" i="11" s="1"/>
  <c r="H29" i="11"/>
  <c r="H32" i="11"/>
  <c r="P33" i="11"/>
  <c r="M42" i="11"/>
  <c r="H57" i="11"/>
  <c r="M61" i="11"/>
  <c r="P66" i="11"/>
  <c r="L100" i="11"/>
  <c r="L96" i="11" s="1"/>
  <c r="I104" i="11"/>
  <c r="M104" i="11" s="1"/>
  <c r="M165" i="11"/>
  <c r="P262" i="11"/>
  <c r="O261" i="11"/>
  <c r="M330" i="11"/>
  <c r="M349" i="11"/>
  <c r="I348" i="11"/>
  <c r="J380" i="11"/>
  <c r="K380" i="11" s="1"/>
  <c r="K381" i="11"/>
  <c r="P402" i="11"/>
  <c r="G416" i="11"/>
  <c r="G415" i="11" s="1"/>
  <c r="H417" i="11"/>
  <c r="K478" i="11"/>
  <c r="K490" i="11"/>
  <c r="J489" i="11"/>
  <c r="P503" i="11"/>
  <c r="P536" i="11"/>
  <c r="O535" i="11"/>
  <c r="P535" i="11" s="1"/>
  <c r="J104" i="11"/>
  <c r="J100" i="11" s="1"/>
  <c r="J96" i="11" s="1"/>
  <c r="K111" i="11"/>
  <c r="M139" i="11"/>
  <c r="L138" i="11"/>
  <c r="H233" i="11"/>
  <c r="F260" i="11"/>
  <c r="K265" i="11"/>
  <c r="G264" i="11"/>
  <c r="H264" i="11" s="1"/>
  <c r="H265" i="11"/>
  <c r="G286" i="11"/>
  <c r="H286" i="11" s="1"/>
  <c r="H287" i="11"/>
  <c r="O544" i="11"/>
  <c r="J597" i="11"/>
  <c r="K598" i="11"/>
  <c r="N624" i="11"/>
  <c r="H34" i="11"/>
  <c r="H12" i="11"/>
  <c r="J14" i="11"/>
  <c r="J13" i="11" s="1"/>
  <c r="G21" i="11"/>
  <c r="H21" i="11" s="1"/>
  <c r="P42" i="11"/>
  <c r="L46" i="11"/>
  <c r="J52" i="11"/>
  <c r="L57" i="11"/>
  <c r="P62" i="11"/>
  <c r="J65" i="11"/>
  <c r="P84" i="11"/>
  <c r="P101" i="11"/>
  <c r="M109" i="11"/>
  <c r="M108" i="11" s="1"/>
  <c r="G121" i="11"/>
  <c r="H121" i="11" s="1"/>
  <c r="H122" i="11"/>
  <c r="G240" i="11"/>
  <c r="M282" i="11"/>
  <c r="G461" i="11"/>
  <c r="H461" i="11" s="1"/>
  <c r="H462" i="11"/>
  <c r="I705" i="11"/>
  <c r="M706" i="11"/>
  <c r="Q18" i="12"/>
  <c r="R19" i="12"/>
  <c r="R131" i="12"/>
  <c r="Q130" i="12"/>
  <c r="Q129" i="12" s="1"/>
  <c r="Q128" i="12" s="1"/>
  <c r="I199" i="11"/>
  <c r="I198" i="11" s="1"/>
  <c r="L28" i="11"/>
  <c r="F28" i="11"/>
  <c r="F27" i="11" s="1"/>
  <c r="F26" i="11" s="1"/>
  <c r="K67" i="11"/>
  <c r="H80" i="11"/>
  <c r="H88" i="11"/>
  <c r="I97" i="11"/>
  <c r="M97" i="11" s="1"/>
  <c r="P153" i="11"/>
  <c r="O152" i="11"/>
  <c r="P152" i="11" s="1"/>
  <c r="J201" i="11"/>
  <c r="J200" i="11" s="1"/>
  <c r="K202" i="11"/>
  <c r="L321" i="11"/>
  <c r="L320" i="11" s="1"/>
  <c r="M320" i="11" s="1"/>
  <c r="K376" i="11"/>
  <c r="G449" i="11"/>
  <c r="H449" i="11" s="1"/>
  <c r="H450" i="11"/>
  <c r="H541" i="11"/>
  <c r="K594" i="11"/>
  <c r="J593" i="11"/>
  <c r="K593" i="11" s="1"/>
  <c r="P224" i="11"/>
  <c r="P231" i="11"/>
  <c r="N245" i="11"/>
  <c r="N244" i="11" s="1"/>
  <c r="N243" i="11" s="1"/>
  <c r="P264" i="11"/>
  <c r="M288" i="11"/>
  <c r="F298" i="11"/>
  <c r="K342" i="11"/>
  <c r="M410" i="11"/>
  <c r="P438" i="11"/>
  <c r="N475" i="11"/>
  <c r="I543" i="11"/>
  <c r="I538" i="11" s="1"/>
  <c r="I532" i="11" s="1"/>
  <c r="P572" i="11"/>
  <c r="N212" i="12"/>
  <c r="O213" i="12"/>
  <c r="R323" i="12"/>
  <c r="G265" i="13"/>
  <c r="H265" i="13" s="1"/>
  <c r="H266" i="13"/>
  <c r="I340" i="13"/>
  <c r="I339" i="13" s="1"/>
  <c r="M341" i="13"/>
  <c r="P121" i="11"/>
  <c r="H124" i="11"/>
  <c r="L157" i="11"/>
  <c r="P214" i="11"/>
  <c r="P229" i="11"/>
  <c r="J241" i="11"/>
  <c r="J240" i="11" s="1"/>
  <c r="K240" i="11" s="1"/>
  <c r="H271" i="11"/>
  <c r="M293" i="11"/>
  <c r="H295" i="11"/>
  <c r="I303" i="11"/>
  <c r="I302" i="11" s="1"/>
  <c r="I298" i="11" s="1"/>
  <c r="P317" i="11"/>
  <c r="P325" i="11"/>
  <c r="H332" i="11"/>
  <c r="H342" i="11"/>
  <c r="G349" i="11"/>
  <c r="K349" i="11" s="1"/>
  <c r="K359" i="11"/>
  <c r="P363" i="11"/>
  <c r="H375" i="11"/>
  <c r="G396" i="11"/>
  <c r="G402" i="11"/>
  <c r="H402" i="11" s="1"/>
  <c r="K417" i="11"/>
  <c r="H424" i="11"/>
  <c r="M447" i="11"/>
  <c r="M460" i="11"/>
  <c r="K462" i="11"/>
  <c r="M468" i="11"/>
  <c r="P476" i="11"/>
  <c r="P483" i="11"/>
  <c r="P497" i="11"/>
  <c r="M503" i="11"/>
  <c r="G507" i="11"/>
  <c r="H521" i="11"/>
  <c r="M541" i="11"/>
  <c r="P547" i="11"/>
  <c r="P549" i="11"/>
  <c r="K552" i="11"/>
  <c r="M565" i="11"/>
  <c r="G581" i="11"/>
  <c r="H594" i="11"/>
  <c r="M92" i="12"/>
  <c r="O183" i="12"/>
  <c r="N182" i="12"/>
  <c r="O182" i="12" s="1"/>
  <c r="Q446" i="12"/>
  <c r="Q445" i="12" s="1"/>
  <c r="R447" i="12"/>
  <c r="O696" i="12"/>
  <c r="K695" i="12"/>
  <c r="O695" i="12" s="1"/>
  <c r="P282" i="11"/>
  <c r="J330" i="11"/>
  <c r="J326" i="11" s="1"/>
  <c r="G379" i="11"/>
  <c r="P390" i="11"/>
  <c r="M436" i="11"/>
  <c r="I440" i="11"/>
  <c r="P460" i="11"/>
  <c r="H467" i="11"/>
  <c r="K479" i="11"/>
  <c r="F486" i="11"/>
  <c r="I494" i="11"/>
  <c r="I493" i="11" s="1"/>
  <c r="M513" i="11"/>
  <c r="N544" i="11"/>
  <c r="N543" i="11" s="1"/>
  <c r="N538" i="11" s="1"/>
  <c r="N532" i="11" s="1"/>
  <c r="M581" i="11"/>
  <c r="H588" i="11"/>
  <c r="H622" i="11"/>
  <c r="J115" i="12"/>
  <c r="I114" i="12"/>
  <c r="J114" i="12" s="1"/>
  <c r="N190" i="12"/>
  <c r="O191" i="12"/>
  <c r="J343" i="12"/>
  <c r="I342" i="12"/>
  <c r="Q375" i="12"/>
  <c r="R375" i="12" s="1"/>
  <c r="R376" i="12"/>
  <c r="K542" i="12"/>
  <c r="K541" i="12" s="1"/>
  <c r="K540" i="12" s="1"/>
  <c r="K536" i="12" s="1"/>
  <c r="K535" i="12" s="1"/>
  <c r="K136" i="11"/>
  <c r="P158" i="11"/>
  <c r="K204" i="11"/>
  <c r="P208" i="11"/>
  <c r="K215" i="11"/>
  <c r="M250" i="11"/>
  <c r="K263" i="11"/>
  <c r="K289" i="11"/>
  <c r="M295" i="11"/>
  <c r="P300" i="11"/>
  <c r="M323" i="11"/>
  <c r="M351" i="11"/>
  <c r="K362" i="11"/>
  <c r="F415" i="11"/>
  <c r="F414" i="11" s="1"/>
  <c r="F413" i="11" s="1"/>
  <c r="P417" i="11"/>
  <c r="H431" i="11"/>
  <c r="M434" i="11"/>
  <c r="H479" i="11"/>
  <c r="K481" i="11"/>
  <c r="K496" i="11"/>
  <c r="K525" i="11"/>
  <c r="O571" i="11"/>
  <c r="G725" i="11"/>
  <c r="H726" i="11"/>
  <c r="Q600" i="12"/>
  <c r="R600" i="12" s="1"/>
  <c r="R601" i="12"/>
  <c r="H184" i="11"/>
  <c r="H186" i="11"/>
  <c r="K213" i="11"/>
  <c r="M279" i="11"/>
  <c r="H311" i="11"/>
  <c r="N336" i="11"/>
  <c r="N335" i="11" s="1"/>
  <c r="N334" i="11" s="1"/>
  <c r="N333" i="11" s="1"/>
  <c r="H377" i="11"/>
  <c r="K382" i="11"/>
  <c r="I428" i="11"/>
  <c r="K450" i="11"/>
  <c r="K477" i="11"/>
  <c r="H481" i="11"/>
  <c r="M523" i="11"/>
  <c r="K530" i="11"/>
  <c r="H542" i="11"/>
  <c r="P546" i="11"/>
  <c r="M588" i="11"/>
  <c r="J347" i="12"/>
  <c r="I346" i="12"/>
  <c r="O420" i="12"/>
  <c r="M538" i="12"/>
  <c r="L537" i="12"/>
  <c r="M154" i="11"/>
  <c r="I183" i="11"/>
  <c r="I182" i="11" s="1"/>
  <c r="I181" i="11" s="1"/>
  <c r="I180" i="11" s="1"/>
  <c r="K190" i="11"/>
  <c r="H231" i="11"/>
  <c r="H242" i="11"/>
  <c r="H248" i="11"/>
  <c r="F292" i="11"/>
  <c r="F291" i="11" s="1"/>
  <c r="M382" i="11"/>
  <c r="P482" i="11"/>
  <c r="H501" i="11"/>
  <c r="G520" i="11"/>
  <c r="H520" i="11" s="1"/>
  <c r="K572" i="11"/>
  <c r="O667" i="11"/>
  <c r="P668" i="11"/>
  <c r="J671" i="11"/>
  <c r="K672" i="11"/>
  <c r="H129" i="12"/>
  <c r="H128" i="12" s="1"/>
  <c r="R477" i="12"/>
  <c r="Q476" i="12"/>
  <c r="M192" i="11"/>
  <c r="P265" i="11"/>
  <c r="H294" i="11"/>
  <c r="I326" i="11"/>
  <c r="I319" i="11" s="1"/>
  <c r="H343" i="11"/>
  <c r="I345" i="11"/>
  <c r="M345" i="11" s="1"/>
  <c r="P368" i="11"/>
  <c r="P375" i="11"/>
  <c r="H395" i="11"/>
  <c r="J457" i="11"/>
  <c r="K457" i="11" s="1"/>
  <c r="P521" i="11"/>
  <c r="H572" i="11"/>
  <c r="K574" i="11"/>
  <c r="H581" i="11"/>
  <c r="P588" i="11"/>
  <c r="G590" i="11"/>
  <c r="H590" i="11" s="1"/>
  <c r="R286" i="12"/>
  <c r="P285" i="12"/>
  <c r="R285" i="12" s="1"/>
  <c r="M294" i="12"/>
  <c r="L293" i="12"/>
  <c r="L292" i="12" s="1"/>
  <c r="I435" i="12"/>
  <c r="J435" i="12" s="1"/>
  <c r="M436" i="12"/>
  <c r="J436" i="12"/>
  <c r="K133" i="11"/>
  <c r="M186" i="11"/>
  <c r="M204" i="11"/>
  <c r="M229" i="11"/>
  <c r="M235" i="11"/>
  <c r="F326" i="11"/>
  <c r="L336" i="11"/>
  <c r="K355" i="11"/>
  <c r="J385" i="11"/>
  <c r="K385" i="11" s="1"/>
  <c r="H403" i="11"/>
  <c r="N432" i="11"/>
  <c r="N428" i="11" s="1"/>
  <c r="M461" i="11"/>
  <c r="H476" i="11"/>
  <c r="H506" i="11"/>
  <c r="I571" i="11"/>
  <c r="I570" i="11" s="1"/>
  <c r="I569" i="11" s="1"/>
  <c r="I568" i="11" s="1"/>
  <c r="H591" i="11"/>
  <c r="M618" i="11"/>
  <c r="F620" i="11"/>
  <c r="H620" i="11" s="1"/>
  <c r="P622" i="11"/>
  <c r="N695" i="11"/>
  <c r="N694" i="11" s="1"/>
  <c r="N693" i="11" s="1"/>
  <c r="N696" i="11"/>
  <c r="H712" i="11"/>
  <c r="G710" i="11"/>
  <c r="Q221" i="12"/>
  <c r="R221" i="12" s="1"/>
  <c r="R222" i="12"/>
  <c r="I248" i="12"/>
  <c r="J248" i="12" s="1"/>
  <c r="J249" i="12"/>
  <c r="M391" i="12"/>
  <c r="L390" i="12"/>
  <c r="I420" i="12"/>
  <c r="J420" i="12" s="1"/>
  <c r="M574" i="12"/>
  <c r="L573" i="12"/>
  <c r="L572" i="12" s="1"/>
  <c r="L571" i="12" s="1"/>
  <c r="H130" i="11"/>
  <c r="H133" i="11"/>
  <c r="M141" i="11"/>
  <c r="K203" i="11"/>
  <c r="F219" i="11"/>
  <c r="F218" i="11" s="1"/>
  <c r="F217" i="11" s="1"/>
  <c r="F210" i="11" s="1"/>
  <c r="K231" i="11"/>
  <c r="K258" i="11"/>
  <c r="F280" i="11"/>
  <c r="I292" i="11"/>
  <c r="I291" i="11" s="1"/>
  <c r="G328" i="11"/>
  <c r="G337" i="11"/>
  <c r="K350" i="11"/>
  <c r="M361" i="11"/>
  <c r="I387" i="11"/>
  <c r="N415" i="11"/>
  <c r="N414" i="11" s="1"/>
  <c r="N413" i="11" s="1"/>
  <c r="J430" i="11"/>
  <c r="M457" i="11"/>
  <c r="H460" i="11"/>
  <c r="M476" i="11"/>
  <c r="H478" i="11"/>
  <c r="F475" i="11"/>
  <c r="M487" i="11"/>
  <c r="M495" i="11"/>
  <c r="M497" i="11"/>
  <c r="M499" i="11"/>
  <c r="H512" i="11"/>
  <c r="M542" i="11"/>
  <c r="K547" i="11"/>
  <c r="K591" i="11"/>
  <c r="K595" i="11"/>
  <c r="P609" i="11"/>
  <c r="F614" i="11"/>
  <c r="O680" i="11"/>
  <c r="O676" i="11" s="1"/>
  <c r="P681" i="11"/>
  <c r="P697" i="11"/>
  <c r="M31" i="12"/>
  <c r="J31" i="12"/>
  <c r="N37" i="12"/>
  <c r="O37" i="12" s="1"/>
  <c r="O38" i="12"/>
  <c r="P92" i="12"/>
  <c r="R92" i="12" s="1"/>
  <c r="R93" i="12"/>
  <c r="R231" i="12"/>
  <c r="I130" i="11"/>
  <c r="K141" i="11"/>
  <c r="P184" i="11"/>
  <c r="M196" i="11"/>
  <c r="H203" i="11"/>
  <c r="O201" i="11"/>
  <c r="H208" i="11"/>
  <c r="H221" i="11"/>
  <c r="K224" i="11"/>
  <c r="P270" i="11"/>
  <c r="K286" i="11"/>
  <c r="M317" i="11"/>
  <c r="M376" i="11"/>
  <c r="F432" i="11"/>
  <c r="N456" i="11"/>
  <c r="N455" i="11" s="1"/>
  <c r="I475" i="11"/>
  <c r="H480" i="11"/>
  <c r="M490" i="11"/>
  <c r="P499" i="11"/>
  <c r="O494" i="11"/>
  <c r="M524" i="11"/>
  <c r="J534" i="11"/>
  <c r="L614" i="11"/>
  <c r="L613" i="11" s="1"/>
  <c r="H621" i="11"/>
  <c r="G733" i="11"/>
  <c r="H734" i="11"/>
  <c r="P277" i="12"/>
  <c r="P276" i="12" s="1"/>
  <c r="O369" i="12"/>
  <c r="N368" i="12"/>
  <c r="H452" i="12"/>
  <c r="H451" i="12"/>
  <c r="H710" i="11"/>
  <c r="K712" i="11"/>
  <c r="P735" i="11"/>
  <c r="Q48" i="12"/>
  <c r="R48" i="12" s="1"/>
  <c r="O59" i="12"/>
  <c r="I83" i="12"/>
  <c r="I96" i="12"/>
  <c r="J96" i="12" s="1"/>
  <c r="L98" i="12"/>
  <c r="M106" i="12"/>
  <c r="I130" i="12"/>
  <c r="I129" i="12" s="1"/>
  <c r="I128" i="12" s="1"/>
  <c r="H144" i="12"/>
  <c r="H143" i="12" s="1"/>
  <c r="H142" i="12" s="1"/>
  <c r="H141" i="12" s="1"/>
  <c r="J151" i="12"/>
  <c r="J168" i="12"/>
  <c r="J174" i="12"/>
  <c r="H198" i="12"/>
  <c r="H197" i="12" s="1"/>
  <c r="R230" i="12"/>
  <c r="J281" i="12"/>
  <c r="K318" i="12"/>
  <c r="J466" i="12"/>
  <c r="J553" i="12"/>
  <c r="R587" i="12"/>
  <c r="M37" i="13"/>
  <c r="I22" i="13"/>
  <c r="I21" i="13" s="1"/>
  <c r="P62" i="13"/>
  <c r="O61" i="13"/>
  <c r="P61" i="13" s="1"/>
  <c r="F192" i="13"/>
  <c r="P364" i="13"/>
  <c r="M26" i="12"/>
  <c r="J28" i="12"/>
  <c r="L105" i="12"/>
  <c r="J145" i="12"/>
  <c r="J147" i="12"/>
  <c r="J149" i="12"/>
  <c r="L165" i="12"/>
  <c r="Q189" i="12"/>
  <c r="R189" i="12" s="1"/>
  <c r="P188" i="12"/>
  <c r="P187" i="12" s="1"/>
  <c r="P186" i="12" s="1"/>
  <c r="K199" i="12"/>
  <c r="K198" i="12" s="1"/>
  <c r="K197" i="12" s="1"/>
  <c r="K204" i="12"/>
  <c r="K203" i="12" s="1"/>
  <c r="I231" i="12"/>
  <c r="J231" i="12" s="1"/>
  <c r="R232" i="12"/>
  <c r="R266" i="12"/>
  <c r="J282" i="12"/>
  <c r="O287" i="12"/>
  <c r="M289" i="12"/>
  <c r="J309" i="12"/>
  <c r="R310" i="12"/>
  <c r="R314" i="12"/>
  <c r="O317" i="12"/>
  <c r="J323" i="12"/>
  <c r="M331" i="12"/>
  <c r="Q335" i="12"/>
  <c r="O343" i="12"/>
  <c r="R353" i="12"/>
  <c r="M370" i="12"/>
  <c r="M396" i="12"/>
  <c r="M422" i="12"/>
  <c r="H424" i="12"/>
  <c r="J440" i="12"/>
  <c r="P453" i="12"/>
  <c r="O505" i="12"/>
  <c r="J531" i="12"/>
  <c r="M560" i="12"/>
  <c r="H565" i="12"/>
  <c r="H564" i="12" s="1"/>
  <c r="H563" i="12" s="1"/>
  <c r="H562" i="12" s="1"/>
  <c r="H561" i="12" s="1"/>
  <c r="I600" i="12"/>
  <c r="J600" i="12" s="1"/>
  <c r="M605" i="12"/>
  <c r="O613" i="12"/>
  <c r="M398" i="13"/>
  <c r="L397" i="13"/>
  <c r="M397" i="13" s="1"/>
  <c r="H672" i="11"/>
  <c r="K726" i="11"/>
  <c r="K734" i="11"/>
  <c r="K25" i="12"/>
  <c r="I34" i="12"/>
  <c r="J34" i="12" s="1"/>
  <c r="O39" i="12"/>
  <c r="M153" i="12"/>
  <c r="O165" i="12"/>
  <c r="M168" i="12"/>
  <c r="M172" i="12"/>
  <c r="M174" i="12"/>
  <c r="I182" i="12"/>
  <c r="I181" i="12" s="1"/>
  <c r="I190" i="12"/>
  <c r="R251" i="12"/>
  <c r="M356" i="12"/>
  <c r="M418" i="12"/>
  <c r="M466" i="12"/>
  <c r="K504" i="12"/>
  <c r="K503" i="12" s="1"/>
  <c r="K502" i="12" s="1"/>
  <c r="K501" i="12" s="1"/>
  <c r="J524" i="12"/>
  <c r="M553" i="12"/>
  <c r="M555" i="12"/>
  <c r="O560" i="12"/>
  <c r="J581" i="12"/>
  <c r="O148" i="13"/>
  <c r="P148" i="13" s="1"/>
  <c r="P149" i="13"/>
  <c r="M214" i="13"/>
  <c r="L210" i="13"/>
  <c r="G389" i="13"/>
  <c r="H390" i="13"/>
  <c r="M534" i="13"/>
  <c r="I533" i="13"/>
  <c r="M533" i="13" s="1"/>
  <c r="H682" i="11"/>
  <c r="P696" i="11"/>
  <c r="N703" i="11"/>
  <c r="N702" i="11" s="1"/>
  <c r="M30" i="12"/>
  <c r="L39" i="12"/>
  <c r="L38" i="12" s="1"/>
  <c r="R44" i="12"/>
  <c r="M145" i="12"/>
  <c r="M201" i="12"/>
  <c r="K224" i="12"/>
  <c r="K223" i="12" s="1"/>
  <c r="O269" i="12"/>
  <c r="K274" i="12"/>
  <c r="K273" i="12" s="1"/>
  <c r="R287" i="12"/>
  <c r="J315" i="12"/>
  <c r="M317" i="12"/>
  <c r="I362" i="12"/>
  <c r="I361" i="12" s="1"/>
  <c r="O370" i="12"/>
  <c r="R409" i="12"/>
  <c r="H414" i="12"/>
  <c r="H413" i="12" s="1"/>
  <c r="H407" i="12" s="1"/>
  <c r="O478" i="12"/>
  <c r="R496" i="12"/>
  <c r="O516" i="12"/>
  <c r="K522" i="12"/>
  <c r="K521" i="12" s="1"/>
  <c r="K520" i="12" s="1"/>
  <c r="K519" i="12" s="1"/>
  <c r="O568" i="12"/>
  <c r="R575" i="12"/>
  <c r="R596" i="12"/>
  <c r="G309" i="13"/>
  <c r="H309" i="13" s="1"/>
  <c r="K310" i="13"/>
  <c r="H310" i="13"/>
  <c r="J330" i="13"/>
  <c r="K330" i="13" s="1"/>
  <c r="K331" i="13"/>
  <c r="H356" i="13"/>
  <c r="G354" i="13"/>
  <c r="K354" i="13" s="1"/>
  <c r="P358" i="13"/>
  <c r="G499" i="13"/>
  <c r="H499" i="13" s="1"/>
  <c r="H500" i="13"/>
  <c r="H663" i="11"/>
  <c r="P673" i="11"/>
  <c r="R14" i="12"/>
  <c r="N25" i="12"/>
  <c r="Q114" i="12"/>
  <c r="R114" i="12" s="1"/>
  <c r="O149" i="12"/>
  <c r="H162" i="12"/>
  <c r="H161" i="12" s="1"/>
  <c r="P171" i="12"/>
  <c r="P170" i="12" s="1"/>
  <c r="J185" i="12"/>
  <c r="L192" i="12"/>
  <c r="M192" i="12" s="1"/>
  <c r="M206" i="12"/>
  <c r="R211" i="12"/>
  <c r="K218" i="12"/>
  <c r="K217" i="12" s="1"/>
  <c r="M267" i="12"/>
  <c r="M295" i="12"/>
  <c r="J365" i="12"/>
  <c r="H373" i="12"/>
  <c r="H372" i="12" s="1"/>
  <c r="H358" i="12" s="1"/>
  <c r="J469" i="12"/>
  <c r="O508" i="12"/>
  <c r="P512" i="12"/>
  <c r="M516" i="12"/>
  <c r="M524" i="12"/>
  <c r="P552" i="12"/>
  <c r="P551" i="12" s="1"/>
  <c r="P550" i="12" s="1"/>
  <c r="P549" i="12" s="1"/>
  <c r="N574" i="12"/>
  <c r="N573" i="12" s="1"/>
  <c r="M581" i="12"/>
  <c r="J595" i="12"/>
  <c r="F384" i="13"/>
  <c r="H25" i="12"/>
  <c r="H24" i="12" s="1"/>
  <c r="H23" i="12" s="1"/>
  <c r="H22" i="12" s="1"/>
  <c r="O57" i="12"/>
  <c r="P75" i="12"/>
  <c r="J84" i="12"/>
  <c r="J83" i="12" s="1"/>
  <c r="P144" i="12"/>
  <c r="P143" i="12" s="1"/>
  <c r="P142" i="12" s="1"/>
  <c r="P141" i="12" s="1"/>
  <c r="Q229" i="12"/>
  <c r="R229" i="12" s="1"/>
  <c r="L302" i="12"/>
  <c r="M302" i="12" s="1"/>
  <c r="P318" i="12"/>
  <c r="M594" i="12"/>
  <c r="F14" i="13"/>
  <c r="F10" i="13" s="1"/>
  <c r="H153" i="13"/>
  <c r="G152" i="13"/>
  <c r="G151" i="13" s="1"/>
  <c r="I264" i="13"/>
  <c r="I263" i="13" s="1"/>
  <c r="H668" i="11"/>
  <c r="G695" i="11"/>
  <c r="G694" i="11" s="1"/>
  <c r="H697" i="11"/>
  <c r="H707" i="11"/>
  <c r="K162" i="12"/>
  <c r="K161" i="12" s="1"/>
  <c r="R174" i="12"/>
  <c r="R201" i="12"/>
  <c r="R208" i="12"/>
  <c r="P246" i="12"/>
  <c r="K293" i="12"/>
  <c r="K292" i="12" s="1"/>
  <c r="J324" i="12"/>
  <c r="J344" i="12"/>
  <c r="R466" i="12"/>
  <c r="R478" i="12"/>
  <c r="P565" i="12"/>
  <c r="P564" i="12" s="1"/>
  <c r="P563" i="12" s="1"/>
  <c r="P562" i="12" s="1"/>
  <c r="P561" i="12" s="1"/>
  <c r="L593" i="12"/>
  <c r="M595" i="12"/>
  <c r="G58" i="13"/>
  <c r="H58" i="13" s="1"/>
  <c r="H59" i="13"/>
  <c r="N256" i="13"/>
  <c r="O394" i="13"/>
  <c r="P394" i="13" s="1"/>
  <c r="P395" i="13"/>
  <c r="K711" i="11"/>
  <c r="R13" i="12"/>
  <c r="M60" i="12"/>
  <c r="R63" i="12"/>
  <c r="M68" i="12"/>
  <c r="R76" i="12"/>
  <c r="J93" i="12"/>
  <c r="H188" i="12"/>
  <c r="H187" i="12" s="1"/>
  <c r="H186" i="12" s="1"/>
  <c r="M200" i="12"/>
  <c r="R250" i="12"/>
  <c r="R265" i="12"/>
  <c r="J310" i="12"/>
  <c r="M395" i="12"/>
  <c r="O454" i="12"/>
  <c r="R486" i="12"/>
  <c r="H649" i="12"/>
  <c r="H640" i="12" s="1"/>
  <c r="H639" i="12" s="1"/>
  <c r="K63" i="13"/>
  <c r="G62" i="13"/>
  <c r="H63" i="13"/>
  <c r="H350" i="13"/>
  <c r="G349" i="13"/>
  <c r="H349" i="13" s="1"/>
  <c r="K350" i="13"/>
  <c r="O472" i="13"/>
  <c r="P472" i="13" s="1"/>
  <c r="P473" i="13"/>
  <c r="K29" i="12"/>
  <c r="O29" i="12" s="1"/>
  <c r="J35" i="12"/>
  <c r="O58" i="12"/>
  <c r="O157" i="12"/>
  <c r="R194" i="12"/>
  <c r="M270" i="12"/>
  <c r="Q293" i="12"/>
  <c r="Q292" i="12" s="1"/>
  <c r="R292" i="12" s="1"/>
  <c r="R302" i="12"/>
  <c r="O314" i="12"/>
  <c r="M330" i="12"/>
  <c r="M344" i="12"/>
  <c r="J353" i="12"/>
  <c r="L355" i="12"/>
  <c r="K379" i="12"/>
  <c r="R390" i="12"/>
  <c r="M447" i="12"/>
  <c r="L465" i="12"/>
  <c r="L464" i="12" s="1"/>
  <c r="Q493" i="12"/>
  <c r="R493" i="12" s="1"/>
  <c r="M523" i="12"/>
  <c r="J525" i="12"/>
  <c r="I573" i="12"/>
  <c r="J573" i="12" s="1"/>
  <c r="M575" i="12"/>
  <c r="M601" i="12"/>
  <c r="R612" i="12"/>
  <c r="O619" i="12"/>
  <c r="H842" i="12"/>
  <c r="H841" i="12" s="1"/>
  <c r="J843" i="12"/>
  <c r="K186" i="13"/>
  <c r="J183" i="13"/>
  <c r="P373" i="13"/>
  <c r="O369" i="13"/>
  <c r="O357" i="13" s="1"/>
  <c r="M668" i="11"/>
  <c r="K673" i="11"/>
  <c r="M14" i="12"/>
  <c r="L25" i="12"/>
  <c r="L24" i="12" s="1"/>
  <c r="I48" i="12"/>
  <c r="I47" i="12" s="1"/>
  <c r="J47" i="12" s="1"/>
  <c r="O132" i="12"/>
  <c r="P198" i="12"/>
  <c r="P197" i="12" s="1"/>
  <c r="P196" i="12" s="1"/>
  <c r="P195" i="12" s="1"/>
  <c r="N207" i="12"/>
  <c r="M230" i="12"/>
  <c r="O237" i="12"/>
  <c r="M275" i="12"/>
  <c r="M297" i="12"/>
  <c r="H328" i="12"/>
  <c r="H327" i="12" s="1"/>
  <c r="H326" i="12" s="1"/>
  <c r="P407" i="12"/>
  <c r="O477" i="12"/>
  <c r="I530" i="12"/>
  <c r="J530" i="12" s="1"/>
  <c r="M532" i="12"/>
  <c r="J575" i="12"/>
  <c r="M587" i="12"/>
  <c r="K650" i="12"/>
  <c r="K649" i="12" s="1"/>
  <c r="O653" i="12"/>
  <c r="J697" i="12"/>
  <c r="R705" i="12"/>
  <c r="N22" i="13"/>
  <c r="N21" i="13" s="1"/>
  <c r="M697" i="11"/>
  <c r="J50" i="12"/>
  <c r="P83" i="12"/>
  <c r="P82" i="12" s="1"/>
  <c r="H105" i="12"/>
  <c r="H91" i="12" s="1"/>
  <c r="H90" i="12" s="1"/>
  <c r="L213" i="12"/>
  <c r="L212" i="12" s="1"/>
  <c r="M237" i="12"/>
  <c r="J245" i="12"/>
  <c r="O283" i="12"/>
  <c r="M301" i="12"/>
  <c r="P373" i="12"/>
  <c r="P372" i="12" s="1"/>
  <c r="P358" i="12" s="1"/>
  <c r="R388" i="12"/>
  <c r="M403" i="12"/>
  <c r="M460" i="12"/>
  <c r="M496" i="12"/>
  <c r="O538" i="12"/>
  <c r="O594" i="12"/>
  <c r="M596" i="12"/>
  <c r="L786" i="12"/>
  <c r="M786" i="12" s="1"/>
  <c r="M787" i="12"/>
  <c r="M829" i="12"/>
  <c r="L828" i="12"/>
  <c r="M828" i="12" s="1"/>
  <c r="K175" i="13"/>
  <c r="I413" i="13"/>
  <c r="G492" i="13"/>
  <c r="G491" i="13" s="1"/>
  <c r="H493" i="13"/>
  <c r="L628" i="12"/>
  <c r="L627" i="12" s="1"/>
  <c r="L626" i="12" s="1"/>
  <c r="L625" i="12" s="1"/>
  <c r="L624" i="12" s="1"/>
  <c r="O683" i="12"/>
  <c r="O709" i="12"/>
  <c r="R742" i="12"/>
  <c r="J783" i="12"/>
  <c r="J794" i="12"/>
  <c r="P19" i="13"/>
  <c r="F78" i="13"/>
  <c r="P152" i="13"/>
  <c r="G160" i="13"/>
  <c r="P216" i="13"/>
  <c r="H220" i="13"/>
  <c r="O232" i="13"/>
  <c r="P232" i="13" s="1"/>
  <c r="G235" i="13"/>
  <c r="K235" i="13" s="1"/>
  <c r="P257" i="13"/>
  <c r="H268" i="13"/>
  <c r="M276" i="13"/>
  <c r="K278" i="13"/>
  <c r="P282" i="13"/>
  <c r="P288" i="13"/>
  <c r="P311" i="13"/>
  <c r="J401" i="13"/>
  <c r="K420" i="13"/>
  <c r="H444" i="13"/>
  <c r="M489" i="13"/>
  <c r="K507" i="13"/>
  <c r="F512" i="13"/>
  <c r="F511" i="13" s="1"/>
  <c r="I518" i="13"/>
  <c r="I517" i="13" s="1"/>
  <c r="P526" i="13"/>
  <c r="K529" i="13"/>
  <c r="Q619" i="12"/>
  <c r="Q626" i="12"/>
  <c r="Q625" i="12" s="1"/>
  <c r="Q651" i="12"/>
  <c r="R651" i="12" s="1"/>
  <c r="L653" i="12"/>
  <c r="L650" i="12" s="1"/>
  <c r="L649" i="12" s="1"/>
  <c r="O681" i="12"/>
  <c r="R685" i="12"/>
  <c r="R691" i="12"/>
  <c r="J698" i="12"/>
  <c r="R725" i="12"/>
  <c r="H732" i="12"/>
  <c r="M767" i="12"/>
  <c r="M12" i="13"/>
  <c r="O49" i="13"/>
  <c r="O48" i="13" s="1"/>
  <c r="P48" i="13" s="1"/>
  <c r="N64" i="13"/>
  <c r="N54" i="13" s="1"/>
  <c r="N47" i="13" s="1"/>
  <c r="M75" i="13"/>
  <c r="K88" i="13"/>
  <c r="M143" i="13"/>
  <c r="G171" i="13"/>
  <c r="O204" i="13"/>
  <c r="K213" i="13"/>
  <c r="M270" i="13"/>
  <c r="M274" i="13"/>
  <c r="M278" i="13"/>
  <c r="H287" i="13"/>
  <c r="J294" i="13"/>
  <c r="J293" i="13" s="1"/>
  <c r="M306" i="13"/>
  <c r="O326" i="13"/>
  <c r="M381" i="13"/>
  <c r="H392" i="13"/>
  <c r="J394" i="13"/>
  <c r="K394" i="13" s="1"/>
  <c r="L401" i="13"/>
  <c r="H409" i="13"/>
  <c r="M427" i="13"/>
  <c r="G472" i="13"/>
  <c r="H472" i="13" s="1"/>
  <c r="H513" i="13"/>
  <c r="N518" i="13"/>
  <c r="N517" i="13" s="1"/>
  <c r="H532" i="13"/>
  <c r="H538" i="13"/>
  <c r="I645" i="12"/>
  <c r="J645" i="12" s="1"/>
  <c r="M673" i="12"/>
  <c r="M700" i="12"/>
  <c r="J706" i="12"/>
  <c r="J746" i="12"/>
  <c r="P834" i="12"/>
  <c r="P833" i="12" s="1"/>
  <c r="P832" i="12" s="1"/>
  <c r="P831" i="12" s="1"/>
  <c r="P830" i="12" s="1"/>
  <c r="G50" i="13"/>
  <c r="H50" i="13" s="1"/>
  <c r="P59" i="13"/>
  <c r="F86" i="13"/>
  <c r="M131" i="13"/>
  <c r="H137" i="13"/>
  <c r="G167" i="13"/>
  <c r="K266" i="13"/>
  <c r="K286" i="13"/>
  <c r="K370" i="13"/>
  <c r="O376" i="13"/>
  <c r="P376" i="13" s="1"/>
  <c r="K390" i="13"/>
  <c r="I450" i="13"/>
  <c r="I449" i="13" s="1"/>
  <c r="K495" i="13"/>
  <c r="N527" i="13"/>
  <c r="P527" i="13" s="1"/>
  <c r="J627" i="12"/>
  <c r="O643" i="12"/>
  <c r="O673" i="12"/>
  <c r="R677" i="12"/>
  <c r="M720" i="12"/>
  <c r="M724" i="12"/>
  <c r="J802" i="12"/>
  <c r="J22" i="13"/>
  <c r="J21" i="13" s="1"/>
  <c r="L55" i="13"/>
  <c r="M55" i="13" s="1"/>
  <c r="H91" i="13"/>
  <c r="P141" i="13"/>
  <c r="H146" i="13"/>
  <c r="J167" i="13"/>
  <c r="K167" i="13" s="1"/>
  <c r="J231" i="13"/>
  <c r="F248" i="13"/>
  <c r="F245" i="13" s="1"/>
  <c r="F244" i="13" s="1"/>
  <c r="H283" i="13"/>
  <c r="M285" i="13"/>
  <c r="K287" i="13"/>
  <c r="K374" i="13"/>
  <c r="K392" i="13"/>
  <c r="F414" i="13"/>
  <c r="F413" i="13" s="1"/>
  <c r="K425" i="13"/>
  <c r="J432" i="13"/>
  <c r="J431" i="13" s="1"/>
  <c r="M493" i="13"/>
  <c r="M495" i="13"/>
  <c r="P505" i="13"/>
  <c r="M643" i="12"/>
  <c r="J652" i="12"/>
  <c r="K661" i="12"/>
  <c r="R673" i="12"/>
  <c r="J684" i="12"/>
  <c r="H110" i="13"/>
  <c r="K133" i="13"/>
  <c r="K137" i="13"/>
  <c r="H195" i="13"/>
  <c r="K282" i="13"/>
  <c r="M324" i="13"/>
  <c r="H330" i="13"/>
  <c r="H340" i="13"/>
  <c r="L344" i="13"/>
  <c r="L404" i="13"/>
  <c r="M404" i="13" s="1"/>
  <c r="P427" i="13"/>
  <c r="P459" i="13"/>
  <c r="F471" i="13"/>
  <c r="F465" i="13" s="1"/>
  <c r="M532" i="13"/>
  <c r="J671" i="12"/>
  <c r="R712" i="12"/>
  <c r="Q804" i="12"/>
  <c r="R804" i="12" s="1"/>
  <c r="H29" i="13"/>
  <c r="H22" i="13" s="1"/>
  <c r="H89" i="13"/>
  <c r="M165" i="13"/>
  <c r="I183" i="13"/>
  <c r="H238" i="13"/>
  <c r="M252" i="13"/>
  <c r="H279" i="13"/>
  <c r="K283" i="13"/>
  <c r="I298" i="13"/>
  <c r="I297" i="13" s="1"/>
  <c r="P304" i="13"/>
  <c r="H307" i="13"/>
  <c r="O492" i="13"/>
  <c r="J503" i="13"/>
  <c r="G519" i="13"/>
  <c r="H519" i="13" s="1"/>
  <c r="P520" i="13"/>
  <c r="O620" i="12"/>
  <c r="R645" i="12"/>
  <c r="H661" i="12"/>
  <c r="H660" i="12" s="1"/>
  <c r="L695" i="12"/>
  <c r="K699" i="12"/>
  <c r="O699" i="12" s="1"/>
  <c r="O730" i="12"/>
  <c r="K834" i="12"/>
  <c r="K833" i="12" s="1"/>
  <c r="K832" i="12" s="1"/>
  <c r="K831" i="12" s="1"/>
  <c r="K830" i="12" s="1"/>
  <c r="O22" i="13"/>
  <c r="P22" i="13" s="1"/>
  <c r="P63" i="13"/>
  <c r="K91" i="13"/>
  <c r="M102" i="13"/>
  <c r="J163" i="13"/>
  <c r="H176" i="13"/>
  <c r="N245" i="13"/>
  <c r="N244" i="13" s="1"/>
  <c r="H267" i="13"/>
  <c r="K292" i="13"/>
  <c r="H311" i="13"/>
  <c r="H347" i="13"/>
  <c r="K364" i="13"/>
  <c r="K421" i="13"/>
  <c r="K440" i="13"/>
  <c r="K483" i="13"/>
  <c r="M521" i="13"/>
  <c r="P538" i="13"/>
  <c r="O652" i="12"/>
  <c r="O654" i="12"/>
  <c r="M656" i="12"/>
  <c r="I664" i="12"/>
  <c r="M664" i="12" s="1"/>
  <c r="M671" i="12"/>
  <c r="M678" i="12"/>
  <c r="R688" i="12"/>
  <c r="K703" i="12"/>
  <c r="K702" i="12" s="1"/>
  <c r="K701" i="12" s="1"/>
  <c r="J755" i="12"/>
  <c r="I782" i="12"/>
  <c r="M782" i="12" s="1"/>
  <c r="P799" i="12"/>
  <c r="P798" i="12" s="1"/>
  <c r="P797" i="12" s="1"/>
  <c r="P796" i="12" s="1"/>
  <c r="P795" i="12" s="1"/>
  <c r="O850" i="12"/>
  <c r="H19" i="13"/>
  <c r="K62" i="13"/>
  <c r="N86" i="13"/>
  <c r="P133" i="13"/>
  <c r="P151" i="13"/>
  <c r="H216" i="13"/>
  <c r="K221" i="13"/>
  <c r="M265" i="13"/>
  <c r="K279" i="13"/>
  <c r="N329" i="13"/>
  <c r="H360" i="13"/>
  <c r="H364" i="13"/>
  <c r="K389" i="13"/>
  <c r="H398" i="13"/>
  <c r="H410" i="13"/>
  <c r="K436" i="13"/>
  <c r="H531" i="13"/>
  <c r="P532" i="13"/>
  <c r="P642" i="12"/>
  <c r="P641" i="12" s="1"/>
  <c r="L662" i="12"/>
  <c r="R676" i="12"/>
  <c r="O697" i="12"/>
  <c r="J705" i="12"/>
  <c r="J727" i="12"/>
  <c r="O742" i="12"/>
  <c r="K39" i="13"/>
  <c r="M60" i="13"/>
  <c r="K82" i="13"/>
  <c r="H186" i="13"/>
  <c r="M221" i="13"/>
  <c r="P228" i="13"/>
  <c r="G232" i="13"/>
  <c r="G231" i="13" s="1"/>
  <c r="H231" i="13" s="1"/>
  <c r="M238" i="13"/>
  <c r="J288" i="13"/>
  <c r="K288" i="13" s="1"/>
  <c r="I344" i="13"/>
  <c r="M360" i="13"/>
  <c r="P386" i="13"/>
  <c r="K391" i="13"/>
  <c r="M426" i="13"/>
  <c r="P464" i="13"/>
  <c r="K473" i="13"/>
  <c r="P478" i="13"/>
  <c r="H514" i="13"/>
  <c r="F518" i="13"/>
  <c r="F517" i="13" s="1"/>
  <c r="M526" i="13"/>
  <c r="J644" i="12"/>
  <c r="I651" i="12"/>
  <c r="M651" i="12" s="1"/>
  <c r="J683" i="12"/>
  <c r="O685" i="12"/>
  <c r="P680" i="12"/>
  <c r="P679" i="12" s="1"/>
  <c r="O727" i="12"/>
  <c r="L729" i="12"/>
  <c r="M729" i="12" s="1"/>
  <c r="P58" i="13"/>
  <c r="K65" i="13"/>
  <c r="K153" i="13"/>
  <c r="H196" i="13"/>
  <c r="J198" i="13"/>
  <c r="H278" i="13"/>
  <c r="M282" i="13"/>
  <c r="N388" i="13"/>
  <c r="N384" i="13" s="1"/>
  <c r="P421" i="13"/>
  <c r="I435" i="13"/>
  <c r="I434" i="13" s="1"/>
  <c r="G443" i="13"/>
  <c r="H443" i="13" s="1"/>
  <c r="K493" i="13"/>
  <c r="K526" i="13"/>
  <c r="R697" i="12"/>
  <c r="H131" i="13"/>
  <c r="H145" i="13"/>
  <c r="K214" i="13"/>
  <c r="L232" i="13"/>
  <c r="M232" i="13" s="1"/>
  <c r="H341" i="13"/>
  <c r="M347" i="13"/>
  <c r="P366" i="13"/>
  <c r="K398" i="13"/>
  <c r="I512" i="13"/>
  <c r="I511" i="13" s="1"/>
  <c r="M511" i="13" s="1"/>
  <c r="H529" i="13"/>
  <c r="I537" i="13"/>
  <c r="I536" i="13" s="1"/>
  <c r="M536" i="13" s="1"/>
  <c r="M62" i="13"/>
  <c r="L61" i="13"/>
  <c r="M61" i="13" s="1"/>
  <c r="F54" i="13"/>
  <c r="F47" i="13" s="1"/>
  <c r="M15" i="13"/>
  <c r="K19" i="13"/>
  <c r="M23" i="13"/>
  <c r="L22" i="13"/>
  <c r="L21" i="13" s="1"/>
  <c r="K44" i="13"/>
  <c r="J72" i="13"/>
  <c r="P74" i="13"/>
  <c r="O73" i="13"/>
  <c r="K87" i="13"/>
  <c r="H96" i="13"/>
  <c r="G95" i="13"/>
  <c r="K95" i="13" s="1"/>
  <c r="P108" i="13"/>
  <c r="N107" i="13"/>
  <c r="N106" i="13" s="1"/>
  <c r="M124" i="13"/>
  <c r="L123" i="13"/>
  <c r="M123" i="13" s="1"/>
  <c r="J130" i="13"/>
  <c r="K132" i="13"/>
  <c r="N145" i="13"/>
  <c r="P145" i="13" s="1"/>
  <c r="P146" i="13"/>
  <c r="J151" i="13"/>
  <c r="F160" i="13"/>
  <c r="H160" i="13" s="1"/>
  <c r="H162" i="13"/>
  <c r="H226" i="13"/>
  <c r="F224" i="13"/>
  <c r="F223" i="13" s="1"/>
  <c r="J353" i="13"/>
  <c r="L10" i="13"/>
  <c r="I11" i="13"/>
  <c r="H15" i="13"/>
  <c r="I18" i="13"/>
  <c r="M18" i="13" s="1"/>
  <c r="G22" i="13"/>
  <c r="K23" i="13"/>
  <c r="P23" i="13"/>
  <c r="G43" i="13"/>
  <c r="L50" i="13"/>
  <c r="K51" i="13"/>
  <c r="J50" i="13"/>
  <c r="P56" i="13"/>
  <c r="L59" i="13"/>
  <c r="K60" i="13"/>
  <c r="J59" i="13"/>
  <c r="J64" i="13"/>
  <c r="P65" i="13"/>
  <c r="O64" i="13"/>
  <c r="P64" i="13" s="1"/>
  <c r="K76" i="13"/>
  <c r="K80" i="13"/>
  <c r="N78" i="13"/>
  <c r="P78" i="13" s="1"/>
  <c r="H82" i="13"/>
  <c r="G81" i="13"/>
  <c r="P84" i="13"/>
  <c r="O83" i="13"/>
  <c r="P83" i="13" s="1"/>
  <c r="K89" i="13"/>
  <c r="K96" i="13"/>
  <c r="P96" i="13"/>
  <c r="O95" i="13"/>
  <c r="H108" i="13"/>
  <c r="F107" i="13"/>
  <c r="F106" i="13" s="1"/>
  <c r="M110" i="13"/>
  <c r="L109" i="13"/>
  <c r="M109" i="13" s="1"/>
  <c r="P114" i="13"/>
  <c r="K121" i="13"/>
  <c r="J120" i="13"/>
  <c r="K120" i="13" s="1"/>
  <c r="H129" i="13"/>
  <c r="G128" i="13"/>
  <c r="K128" i="13" s="1"/>
  <c r="M134" i="13"/>
  <c r="M135" i="13"/>
  <c r="P140" i="13"/>
  <c r="N139" i="13"/>
  <c r="P139" i="13" s="1"/>
  <c r="L148" i="13"/>
  <c r="M148" i="13" s="1"/>
  <c r="M149" i="13"/>
  <c r="H165" i="13"/>
  <c r="G163" i="13"/>
  <c r="L193" i="13"/>
  <c r="M194" i="13"/>
  <c r="O192" i="13"/>
  <c r="J246" i="13"/>
  <c r="K246" i="13" s="1"/>
  <c r="K247" i="13"/>
  <c r="H324" i="13"/>
  <c r="F318" i="13"/>
  <c r="H65" i="13"/>
  <c r="G64" i="13"/>
  <c r="H64" i="13" s="1"/>
  <c r="K102" i="13"/>
  <c r="J101" i="13"/>
  <c r="H114" i="13"/>
  <c r="H169" i="13"/>
  <c r="F167" i="13"/>
  <c r="J10" i="13"/>
  <c r="G11" i="13"/>
  <c r="O11" i="13"/>
  <c r="H12" i="13"/>
  <c r="G18" i="13"/>
  <c r="H18" i="13" s="1"/>
  <c r="O18" i="13"/>
  <c r="P18" i="13" s="1"/>
  <c r="P37" i="13"/>
  <c r="O43" i="13"/>
  <c r="P43" i="13" s="1"/>
  <c r="P52" i="13"/>
  <c r="I54" i="13"/>
  <c r="I47" i="13" s="1"/>
  <c r="H57" i="13"/>
  <c r="G56" i="13"/>
  <c r="M63" i="13"/>
  <c r="M65" i="13"/>
  <c r="M73" i="13"/>
  <c r="L72" i="13"/>
  <c r="H74" i="13"/>
  <c r="G73" i="13"/>
  <c r="J81" i="13"/>
  <c r="H84" i="13"/>
  <c r="G83" i="13"/>
  <c r="H83" i="13" s="1"/>
  <c r="M84" i="13"/>
  <c r="M87" i="13"/>
  <c r="L86" i="13"/>
  <c r="M96" i="13"/>
  <c r="H102" i="13"/>
  <c r="F101" i="13"/>
  <c r="F100" i="13" s="1"/>
  <c r="P109" i="13"/>
  <c r="M115" i="13"/>
  <c r="L114" i="13"/>
  <c r="P121" i="13"/>
  <c r="N120" i="13"/>
  <c r="P120" i="13" s="1"/>
  <c r="P129" i="13"/>
  <c r="O128" i="13"/>
  <c r="H132" i="13"/>
  <c r="F130" i="13"/>
  <c r="K140" i="13"/>
  <c r="J139" i="13"/>
  <c r="K139" i="13" s="1"/>
  <c r="K141" i="13"/>
  <c r="J160" i="13"/>
  <c r="K160" i="13" s="1"/>
  <c r="K161" i="13"/>
  <c r="N175" i="13"/>
  <c r="P175" i="13" s="1"/>
  <c r="P176" i="13"/>
  <c r="H190" i="13"/>
  <c r="N195" i="13"/>
  <c r="N192" i="13" s="1"/>
  <c r="P196" i="13"/>
  <c r="K205" i="13"/>
  <c r="J204" i="13"/>
  <c r="P223" i="13"/>
  <c r="K251" i="13"/>
  <c r="J250" i="13"/>
  <c r="K250" i="13" s="1"/>
  <c r="P118" i="13"/>
  <c r="N117" i="13"/>
  <c r="P117" i="13" s="1"/>
  <c r="H121" i="13"/>
  <c r="F120" i="13"/>
  <c r="H120" i="13" s="1"/>
  <c r="L180" i="13"/>
  <c r="M180" i="13" s="1"/>
  <c r="M181" i="13"/>
  <c r="P235" i="13"/>
  <c r="M44" i="13"/>
  <c r="K56" i="13"/>
  <c r="J55" i="13"/>
  <c r="M74" i="13"/>
  <c r="H76" i="13"/>
  <c r="G75" i="13"/>
  <c r="H75" i="13" s="1"/>
  <c r="H80" i="13"/>
  <c r="G79" i="13"/>
  <c r="H79" i="13" s="1"/>
  <c r="M81" i="13"/>
  <c r="L78" i="13"/>
  <c r="H85" i="13"/>
  <c r="H87" i="13"/>
  <c r="K94" i="13"/>
  <c r="J93" i="13"/>
  <c r="I99" i="13"/>
  <c r="P102" i="13"/>
  <c r="N101" i="13"/>
  <c r="N100" i="13" s="1"/>
  <c r="K108" i="13"/>
  <c r="J107" i="13"/>
  <c r="K118" i="13"/>
  <c r="J117" i="13"/>
  <c r="H118" i="13"/>
  <c r="G117" i="13"/>
  <c r="H117" i="13" s="1"/>
  <c r="P132" i="13"/>
  <c r="N130" i="13"/>
  <c r="H140" i="13"/>
  <c r="F139" i="13"/>
  <c r="H139" i="13" s="1"/>
  <c r="G158" i="13"/>
  <c r="H158" i="13" s="1"/>
  <c r="K159" i="13"/>
  <c r="H159" i="13"/>
  <c r="I157" i="13"/>
  <c r="O183" i="13"/>
  <c r="N186" i="13"/>
  <c r="N183" i="13" s="1"/>
  <c r="P189" i="13"/>
  <c r="F204" i="13"/>
  <c r="H204" i="13" s="1"/>
  <c r="H205" i="13"/>
  <c r="I210" i="13"/>
  <c r="I209" i="13" s="1"/>
  <c r="M213" i="13"/>
  <c r="K249" i="13"/>
  <c r="J248" i="13"/>
  <c r="F284" i="13"/>
  <c r="H284" i="13" s="1"/>
  <c r="H285" i="13"/>
  <c r="P339" i="13"/>
  <c r="O338" i="13"/>
  <c r="H149" i="13"/>
  <c r="H154" i="13"/>
  <c r="O157" i="13"/>
  <c r="N157" i="13"/>
  <c r="K168" i="13"/>
  <c r="H181" i="13"/>
  <c r="H194" i="13"/>
  <c r="H199" i="13"/>
  <c r="G198" i="13"/>
  <c r="M205" i="13"/>
  <c r="L204" i="13"/>
  <c r="K216" i="13"/>
  <c r="J224" i="13"/>
  <c r="K225" i="13"/>
  <c r="P227" i="13"/>
  <c r="P253" i="13"/>
  <c r="O252" i="13"/>
  <c r="H260" i="13"/>
  <c r="G259" i="13"/>
  <c r="K260" i="13"/>
  <c r="K302" i="13"/>
  <c r="J301" i="13"/>
  <c r="K301" i="13" s="1"/>
  <c r="H303" i="13"/>
  <c r="M129" i="13"/>
  <c r="K131" i="13"/>
  <c r="K135" i="13"/>
  <c r="K146" i="13"/>
  <c r="H151" i="13"/>
  <c r="M152" i="13"/>
  <c r="L151" i="13"/>
  <c r="M151" i="13" s="1"/>
  <c r="K176" i="13"/>
  <c r="K189" i="13"/>
  <c r="K196" i="13"/>
  <c r="H221" i="13"/>
  <c r="F218" i="13"/>
  <c r="F209" i="13" s="1"/>
  <c r="M237" i="13"/>
  <c r="L235" i="13"/>
  <c r="M235" i="13" s="1"/>
  <c r="M259" i="13"/>
  <c r="L256" i="13"/>
  <c r="P273" i="13"/>
  <c r="O272" i="13"/>
  <c r="F280" i="13"/>
  <c r="H280" i="13" s="1"/>
  <c r="H281" i="13"/>
  <c r="G100" i="13"/>
  <c r="O100" i="13"/>
  <c r="L101" i="13"/>
  <c r="G106" i="13"/>
  <c r="O106" i="13"/>
  <c r="P106" i="13" s="1"/>
  <c r="L107" i="13"/>
  <c r="J109" i="13"/>
  <c r="K109" i="13" s="1"/>
  <c r="J114" i="13"/>
  <c r="L117" i="13"/>
  <c r="M117" i="13" s="1"/>
  <c r="L120" i="13"/>
  <c r="M120" i="13" s="1"/>
  <c r="J123" i="13"/>
  <c r="K123" i="13" s="1"/>
  <c r="G130" i="13"/>
  <c r="H130" i="13" s="1"/>
  <c r="O130" i="13"/>
  <c r="G134" i="13"/>
  <c r="H134" i="13" s="1"/>
  <c r="O134" i="13"/>
  <c r="P134" i="13" s="1"/>
  <c r="L139" i="13"/>
  <c r="M139" i="13" s="1"/>
  <c r="M146" i="13"/>
  <c r="L145" i="13"/>
  <c r="M145" i="13" s="1"/>
  <c r="K149" i="13"/>
  <c r="J148" i="13"/>
  <c r="K148" i="13" s="1"/>
  <c r="K154" i="13"/>
  <c r="L157" i="13"/>
  <c r="F163" i="13"/>
  <c r="F157" i="13" s="1"/>
  <c r="F156" i="13" s="1"/>
  <c r="K165" i="13"/>
  <c r="H167" i="13"/>
  <c r="M176" i="13"/>
  <c r="L175" i="13"/>
  <c r="M175" i="13" s="1"/>
  <c r="K181" i="13"/>
  <c r="J180" i="13"/>
  <c r="K180" i="13" s="1"/>
  <c r="M189" i="13"/>
  <c r="L186" i="13"/>
  <c r="K191" i="13"/>
  <c r="G192" i="13"/>
  <c r="H192" i="13" s="1"/>
  <c r="K194" i="13"/>
  <c r="J193" i="13"/>
  <c r="M196" i="13"/>
  <c r="L195" i="13"/>
  <c r="M195" i="13" s="1"/>
  <c r="P204" i="13"/>
  <c r="J218" i="13"/>
  <c r="K220" i="13"/>
  <c r="P221" i="13"/>
  <c r="N218" i="13"/>
  <c r="P218" i="13" s="1"/>
  <c r="M224" i="13"/>
  <c r="L223" i="13"/>
  <c r="M223" i="13" s="1"/>
  <c r="M228" i="13"/>
  <c r="L227" i="13"/>
  <c r="M227" i="13" s="1"/>
  <c r="K277" i="13"/>
  <c r="J276" i="13"/>
  <c r="K306" i="13"/>
  <c r="J305" i="13"/>
  <c r="K305" i="13" s="1"/>
  <c r="L209" i="13"/>
  <c r="M209" i="13" s="1"/>
  <c r="H213" i="13"/>
  <c r="P213" i="13"/>
  <c r="G218" i="13"/>
  <c r="G224" i="13"/>
  <c r="J227" i="13"/>
  <c r="K227" i="13" s="1"/>
  <c r="K233" i="13"/>
  <c r="H234" i="13"/>
  <c r="H235" i="13"/>
  <c r="K237" i="13"/>
  <c r="P237" i="13"/>
  <c r="H247" i="13"/>
  <c r="P248" i="13"/>
  <c r="P250" i="13"/>
  <c r="K255" i="13"/>
  <c r="K259" i="13"/>
  <c r="P260" i="13"/>
  <c r="O259" i="13"/>
  <c r="J261" i="13"/>
  <c r="K271" i="13"/>
  <c r="K275" i="13"/>
  <c r="K281" i="13"/>
  <c r="J280" i="13"/>
  <c r="K280" i="13" s="1"/>
  <c r="H282" i="13"/>
  <c r="K285" i="13"/>
  <c r="J284" i="13"/>
  <c r="K284" i="13" s="1"/>
  <c r="H286" i="13"/>
  <c r="F288" i="13"/>
  <c r="H288" i="13" s="1"/>
  <c r="H290" i="13"/>
  <c r="P295" i="13"/>
  <c r="O294" i="13"/>
  <c r="P299" i="13"/>
  <c r="O298" i="13"/>
  <c r="P303" i="13"/>
  <c r="K309" i="13"/>
  <c r="N318" i="13"/>
  <c r="M327" i="13"/>
  <c r="L326" i="13"/>
  <c r="M326" i="13" s="1"/>
  <c r="P331" i="13"/>
  <c r="O330" i="13"/>
  <c r="M340" i="13"/>
  <c r="K349" i="13"/>
  <c r="N354" i="13"/>
  <c r="N353" i="13" s="1"/>
  <c r="P356" i="13"/>
  <c r="N357" i="13"/>
  <c r="K377" i="13"/>
  <c r="J376" i="13"/>
  <c r="K376" i="13" s="1"/>
  <c r="G210" i="13"/>
  <c r="H250" i="13"/>
  <c r="M251" i="13"/>
  <c r="L250" i="13"/>
  <c r="M250" i="13" s="1"/>
  <c r="K252" i="13"/>
  <c r="I256" i="13"/>
  <c r="M260" i="13"/>
  <c r="H262" i="13"/>
  <c r="G261" i="13"/>
  <c r="H261" i="13" s="1"/>
  <c r="M272" i="13"/>
  <c r="H273" i="13"/>
  <c r="G272" i="13"/>
  <c r="N280" i="13"/>
  <c r="P280" i="13" s="1"/>
  <c r="P281" i="13"/>
  <c r="N284" i="13"/>
  <c r="P284" i="13" s="1"/>
  <c r="P285" i="13"/>
  <c r="H295" i="13"/>
  <c r="G294" i="13"/>
  <c r="H299" i="13"/>
  <c r="G298" i="13"/>
  <c r="K298" i="13" s="1"/>
  <c r="M300" i="13"/>
  <c r="L298" i="13"/>
  <c r="F301" i="13"/>
  <c r="H301" i="13" s="1"/>
  <c r="H302" i="13"/>
  <c r="M304" i="13"/>
  <c r="L303" i="13"/>
  <c r="M303" i="13" s="1"/>
  <c r="F305" i="13"/>
  <c r="H305" i="13" s="1"/>
  <c r="H306" i="13"/>
  <c r="M313" i="13"/>
  <c r="H319" i="13"/>
  <c r="G318" i="13"/>
  <c r="K323" i="13"/>
  <c r="J319" i="13"/>
  <c r="F339" i="13"/>
  <c r="F338" i="13" s="1"/>
  <c r="O353" i="13"/>
  <c r="P381" i="13"/>
  <c r="O380" i="13"/>
  <c r="I396" i="13"/>
  <c r="I383" i="13" s="1"/>
  <c r="M401" i="13"/>
  <c r="I245" i="13"/>
  <c r="M249" i="13"/>
  <c r="L248" i="13"/>
  <c r="H255" i="13"/>
  <c r="G254" i="13"/>
  <c r="K269" i="13"/>
  <c r="J268" i="13"/>
  <c r="K268" i="13" s="1"/>
  <c r="H271" i="13"/>
  <c r="G270" i="13"/>
  <c r="H270" i="13" s="1"/>
  <c r="M273" i="13"/>
  <c r="H275" i="13"/>
  <c r="G274" i="13"/>
  <c r="H274" i="13" s="1"/>
  <c r="M292" i="13"/>
  <c r="L291" i="13"/>
  <c r="M291" i="13" s="1"/>
  <c r="N301" i="13"/>
  <c r="P301" i="13" s="1"/>
  <c r="P302" i="13"/>
  <c r="N305" i="13"/>
  <c r="P305" i="13" s="1"/>
  <c r="P306" i="13"/>
  <c r="P319" i="13"/>
  <c r="O318" i="13"/>
  <c r="P318" i="13" s="1"/>
  <c r="P326" i="13"/>
  <c r="M330" i="13"/>
  <c r="L329" i="13"/>
  <c r="H336" i="13"/>
  <c r="G333" i="13"/>
  <c r="K346" i="13"/>
  <c r="J345" i="13"/>
  <c r="H370" i="13"/>
  <c r="G369" i="13"/>
  <c r="L357" i="13"/>
  <c r="M295" i="13"/>
  <c r="M299" i="13"/>
  <c r="M319" i="13"/>
  <c r="M331" i="13"/>
  <c r="K336" i="13"/>
  <c r="K341" i="13"/>
  <c r="J340" i="13"/>
  <c r="N344" i="13"/>
  <c r="N338" i="13" s="1"/>
  <c r="H346" i="13"/>
  <c r="G345" i="13"/>
  <c r="P349" i="13"/>
  <c r="K356" i="13"/>
  <c r="F357" i="13"/>
  <c r="I369" i="13"/>
  <c r="I357" i="13" s="1"/>
  <c r="I352" i="13" s="1"/>
  <c r="M370" i="13"/>
  <c r="H381" i="13"/>
  <c r="G380" i="13"/>
  <c r="N423" i="13"/>
  <c r="P423" i="13" s="1"/>
  <c r="P424" i="13"/>
  <c r="G276" i="13"/>
  <c r="H276" i="13" s="1"/>
  <c r="L280" i="13"/>
  <c r="M280" i="13" s="1"/>
  <c r="L284" i="13"/>
  <c r="M284" i="13" s="1"/>
  <c r="J291" i="13"/>
  <c r="K291" i="13" s="1"/>
  <c r="L293" i="13"/>
  <c r="M293" i="13" s="1"/>
  <c r="L301" i="13"/>
  <c r="M301" i="13" s="1"/>
  <c r="J303" i="13"/>
  <c r="K303" i="13" s="1"/>
  <c r="L305" i="13"/>
  <c r="M305" i="13" s="1"/>
  <c r="G313" i="13"/>
  <c r="H313" i="13" s="1"/>
  <c r="O313" i="13"/>
  <c r="P313" i="13" s="1"/>
  <c r="J326" i="13"/>
  <c r="P341" i="13"/>
  <c r="H343" i="13"/>
  <c r="M356" i="13"/>
  <c r="L354" i="13"/>
  <c r="P362" i="13"/>
  <c r="H374" i="13"/>
  <c r="F405" i="13"/>
  <c r="F404" i="13" s="1"/>
  <c r="F396" i="13" s="1"/>
  <c r="H407" i="13"/>
  <c r="H331" i="13"/>
  <c r="J333" i="13"/>
  <c r="G342" i="13"/>
  <c r="M350" i="13"/>
  <c r="L349" i="13"/>
  <c r="M349" i="13" s="1"/>
  <c r="P360" i="13"/>
  <c r="H368" i="13"/>
  <c r="G366" i="13"/>
  <c r="H366" i="13" s="1"/>
  <c r="J357" i="13"/>
  <c r="H377" i="13"/>
  <c r="F376" i="13"/>
  <c r="H376" i="13" s="1"/>
  <c r="K381" i="13"/>
  <c r="L380" i="13"/>
  <c r="M392" i="13"/>
  <c r="L391" i="13"/>
  <c r="K397" i="13"/>
  <c r="K407" i="13"/>
  <c r="J405" i="13"/>
  <c r="P415" i="13"/>
  <c r="J418" i="13"/>
  <c r="M424" i="13"/>
  <c r="K427" i="13"/>
  <c r="J426" i="13"/>
  <c r="K426" i="13" s="1"/>
  <c r="G432" i="13"/>
  <c r="K441" i="13"/>
  <c r="M444" i="13"/>
  <c r="P385" i="13"/>
  <c r="P391" i="13"/>
  <c r="P398" i="13"/>
  <c r="O397" i="13"/>
  <c r="N405" i="13"/>
  <c r="P407" i="13"/>
  <c r="H417" i="13"/>
  <c r="G415" i="13"/>
  <c r="K415" i="13" s="1"/>
  <c r="I412" i="13"/>
  <c r="P437" i="13"/>
  <c r="P445" i="13"/>
  <c r="O444" i="13"/>
  <c r="I467" i="13"/>
  <c r="I466" i="13" s="1"/>
  <c r="M468" i="13"/>
  <c r="M386" i="13"/>
  <c r="L385" i="13"/>
  <c r="G386" i="13"/>
  <c r="K386" i="13" s="1"/>
  <c r="H387" i="13"/>
  <c r="M390" i="13"/>
  <c r="L389" i="13"/>
  <c r="M389" i="13" s="1"/>
  <c r="H402" i="13"/>
  <c r="G401" i="13"/>
  <c r="K409" i="13"/>
  <c r="H421" i="13"/>
  <c r="M423" i="13"/>
  <c r="P436" i="13"/>
  <c r="O435" i="13"/>
  <c r="F439" i="13"/>
  <c r="H440" i="13"/>
  <c r="J444" i="13"/>
  <c r="K445" i="13"/>
  <c r="M459" i="13"/>
  <c r="L466" i="13"/>
  <c r="J475" i="13"/>
  <c r="H477" i="13"/>
  <c r="G476" i="13"/>
  <c r="K476" i="13" s="1"/>
  <c r="K477" i="13"/>
  <c r="P409" i="13"/>
  <c r="K417" i="13"/>
  <c r="H427" i="13"/>
  <c r="H429" i="13"/>
  <c r="P429" i="13"/>
  <c r="H436" i="13"/>
  <c r="G435" i="13"/>
  <c r="K435" i="13" s="1"/>
  <c r="N443" i="13"/>
  <c r="N434" i="13" s="1"/>
  <c r="M451" i="13"/>
  <c r="M457" i="13"/>
  <c r="L456" i="13"/>
  <c r="J467" i="13"/>
  <c r="P477" i="13"/>
  <c r="O476" i="13"/>
  <c r="F491" i="13"/>
  <c r="M499" i="13"/>
  <c r="K387" i="13"/>
  <c r="H389" i="13"/>
  <c r="H391" i="13"/>
  <c r="G388" i="13"/>
  <c r="H388" i="13" s="1"/>
  <c r="H394" i="13"/>
  <c r="P402" i="13"/>
  <c r="O401" i="13"/>
  <c r="P401" i="13" s="1"/>
  <c r="M415" i="13"/>
  <c r="L414" i="13"/>
  <c r="H420" i="13"/>
  <c r="G418" i="13"/>
  <c r="H418" i="13" s="1"/>
  <c r="H424" i="13"/>
  <c r="H428" i="13"/>
  <c r="M437" i="13"/>
  <c r="L436" i="13"/>
  <c r="P441" i="13"/>
  <c r="G453" i="13"/>
  <c r="K453" i="13" s="1"/>
  <c r="H454" i="13"/>
  <c r="N456" i="13"/>
  <c r="N455" i="13" s="1"/>
  <c r="N448" i="13" s="1"/>
  <c r="H462" i="13"/>
  <c r="G461" i="13"/>
  <c r="K461" i="13" s="1"/>
  <c r="N498" i="13"/>
  <c r="N490" i="13" s="1"/>
  <c r="M410" i="13"/>
  <c r="L409" i="13"/>
  <c r="M409" i="13" s="1"/>
  <c r="K424" i="13"/>
  <c r="J423" i="13"/>
  <c r="K423" i="13" s="1"/>
  <c r="M433" i="13"/>
  <c r="L432" i="13"/>
  <c r="M454" i="13"/>
  <c r="L453" i="13"/>
  <c r="M453" i="13" s="1"/>
  <c r="P462" i="13"/>
  <c r="O461" i="13"/>
  <c r="G468" i="13"/>
  <c r="K468" i="13" s="1"/>
  <c r="H469" i="13"/>
  <c r="M473" i="13"/>
  <c r="L472" i="13"/>
  <c r="J450" i="13"/>
  <c r="K454" i="13"/>
  <c r="J456" i="13"/>
  <c r="H459" i="13"/>
  <c r="I461" i="13"/>
  <c r="M461" i="13" s="1"/>
  <c r="G463" i="13"/>
  <c r="H463" i="13" s="1"/>
  <c r="O463" i="13"/>
  <c r="P463" i="13" s="1"/>
  <c r="H464" i="13"/>
  <c r="O467" i="13"/>
  <c r="K469" i="13"/>
  <c r="J472" i="13"/>
  <c r="L475" i="13"/>
  <c r="I476" i="13"/>
  <c r="I475" i="13" s="1"/>
  <c r="I471" i="13" s="1"/>
  <c r="H483" i="13"/>
  <c r="O488" i="13"/>
  <c r="P488" i="13" s="1"/>
  <c r="H489" i="13"/>
  <c r="K500" i="13"/>
  <c r="J499" i="13"/>
  <c r="K504" i="13"/>
  <c r="P509" i="13"/>
  <c r="M524" i="13"/>
  <c r="G482" i="13"/>
  <c r="H482" i="13" s="1"/>
  <c r="G488" i="13"/>
  <c r="H494" i="13"/>
  <c r="P500" i="13"/>
  <c r="M505" i="13"/>
  <c r="L504" i="13"/>
  <c r="I523" i="13"/>
  <c r="I516" i="13" s="1"/>
  <c r="K480" i="13"/>
  <c r="K484" i="13"/>
  <c r="M488" i="13"/>
  <c r="P504" i="13"/>
  <c r="O503" i="13"/>
  <c r="H510" i="13"/>
  <c r="G509" i="13"/>
  <c r="K509" i="13" s="1"/>
  <c r="K510" i="13"/>
  <c r="H495" i="13"/>
  <c r="G512" i="13"/>
  <c r="O512" i="13"/>
  <c r="G521" i="13"/>
  <c r="H521" i="13" s="1"/>
  <c r="O521" i="13"/>
  <c r="P521" i="13" s="1"/>
  <c r="G525" i="13"/>
  <c r="O525" i="13"/>
  <c r="F528" i="13"/>
  <c r="J528" i="13"/>
  <c r="O533" i="13"/>
  <c r="P533" i="13" s="1"/>
  <c r="G537" i="13"/>
  <c r="O537" i="13"/>
  <c r="K514" i="13"/>
  <c r="K535" i="13"/>
  <c r="K519" i="13"/>
  <c r="M525" i="13"/>
  <c r="K531" i="13"/>
  <c r="M537" i="13"/>
  <c r="J512" i="13"/>
  <c r="G518" i="13"/>
  <c r="L519" i="13"/>
  <c r="J521" i="13"/>
  <c r="J525" i="13"/>
  <c r="L527" i="13"/>
  <c r="M527" i="13" s="1"/>
  <c r="G530" i="13"/>
  <c r="H530" i="13" s="1"/>
  <c r="O530" i="13"/>
  <c r="P530" i="13" s="1"/>
  <c r="L531" i="13"/>
  <c r="J533" i="13"/>
  <c r="G534" i="13"/>
  <c r="K534" i="13" s="1"/>
  <c r="J537" i="13"/>
  <c r="O13" i="12"/>
  <c r="N12" i="12"/>
  <c r="L57" i="12"/>
  <c r="J65" i="12"/>
  <c r="M101" i="12"/>
  <c r="J101" i="12"/>
  <c r="R137" i="12"/>
  <c r="Q136" i="12"/>
  <c r="H16" i="12"/>
  <c r="P24" i="12"/>
  <c r="P23" i="12" s="1"/>
  <c r="P22" i="12" s="1"/>
  <c r="P15" i="12" s="1"/>
  <c r="N130" i="12"/>
  <c r="L136" i="12"/>
  <c r="M137" i="12"/>
  <c r="N17" i="12"/>
  <c r="N24" i="12"/>
  <c r="L53" i="12"/>
  <c r="M121" i="12"/>
  <c r="J121" i="12"/>
  <c r="P129" i="12"/>
  <c r="P128" i="12" s="1"/>
  <c r="L10" i="12"/>
  <c r="R12" i="12"/>
  <c r="Q11" i="12"/>
  <c r="O28" i="12"/>
  <c r="O49" i="12"/>
  <c r="N48" i="12"/>
  <c r="I62" i="12"/>
  <c r="J62" i="12" s="1"/>
  <c r="M63" i="12"/>
  <c r="M76" i="12"/>
  <c r="O92" i="12"/>
  <c r="N91" i="12"/>
  <c r="M102" i="12"/>
  <c r="M108" i="12"/>
  <c r="M116" i="12"/>
  <c r="L115" i="12"/>
  <c r="M122" i="12"/>
  <c r="O163" i="12"/>
  <c r="N162" i="12"/>
  <c r="L198" i="12"/>
  <c r="H207" i="12"/>
  <c r="J207" i="12" s="1"/>
  <c r="J208" i="12"/>
  <c r="L221" i="12"/>
  <c r="M222" i="12"/>
  <c r="J346" i="12"/>
  <c r="I345" i="12"/>
  <c r="L404" i="12"/>
  <c r="M404" i="12" s="1"/>
  <c r="M405" i="12"/>
  <c r="J495" i="12"/>
  <c r="M495" i="12"/>
  <c r="I493" i="12"/>
  <c r="M493" i="12" s="1"/>
  <c r="O14" i="12"/>
  <c r="R26" i="12"/>
  <c r="Q25" i="12"/>
  <c r="J30" i="12"/>
  <c r="I29" i="12"/>
  <c r="J29" i="12" s="1"/>
  <c r="J49" i="12"/>
  <c r="J55" i="12"/>
  <c r="O55" i="12"/>
  <c r="N54" i="12"/>
  <c r="R59" i="12"/>
  <c r="Q58" i="12"/>
  <c r="O63" i="12"/>
  <c r="N62" i="12"/>
  <c r="O62" i="12" s="1"/>
  <c r="L65" i="12"/>
  <c r="Q65" i="12"/>
  <c r="J66" i="12"/>
  <c r="K65" i="12"/>
  <c r="M73" i="12"/>
  <c r="L72" i="12"/>
  <c r="O76" i="12"/>
  <c r="N75" i="12"/>
  <c r="M80" i="12"/>
  <c r="L79" i="12"/>
  <c r="J92" i="12"/>
  <c r="R99" i="12"/>
  <c r="Q98" i="12"/>
  <c r="R98" i="12" s="1"/>
  <c r="Q101" i="12"/>
  <c r="R101" i="12" s="1"/>
  <c r="J102" i="12"/>
  <c r="M111" i="12"/>
  <c r="L110" i="12"/>
  <c r="R116" i="12"/>
  <c r="Q121" i="12"/>
  <c r="J122" i="12"/>
  <c r="J126" i="12"/>
  <c r="M127" i="12"/>
  <c r="M132" i="12"/>
  <c r="L131" i="12"/>
  <c r="I136" i="12"/>
  <c r="M138" i="12"/>
  <c r="R138" i="12"/>
  <c r="R149" i="12"/>
  <c r="J157" i="12"/>
  <c r="I156" i="12"/>
  <c r="J166" i="12"/>
  <c r="I165" i="12"/>
  <c r="J165" i="12" s="1"/>
  <c r="O168" i="12"/>
  <c r="K171" i="12"/>
  <c r="K170" i="12" s="1"/>
  <c r="R178" i="12"/>
  <c r="Q176" i="12"/>
  <c r="Q181" i="12"/>
  <c r="O184" i="12"/>
  <c r="J193" i="12"/>
  <c r="R205" i="12"/>
  <c r="Q204" i="12"/>
  <c r="P244" i="12"/>
  <c r="P241" i="12" s="1"/>
  <c r="P240" i="12" s="1"/>
  <c r="R245" i="12"/>
  <c r="O257" i="12"/>
  <c r="N256" i="12"/>
  <c r="L328" i="12"/>
  <c r="M329" i="12"/>
  <c r="H341" i="12"/>
  <c r="H340" i="12" s="1"/>
  <c r="H339" i="12" s="1"/>
  <c r="H338" i="12" s="1"/>
  <c r="N433" i="12"/>
  <c r="O434" i="12"/>
  <c r="R30" i="12"/>
  <c r="Q29" i="12"/>
  <c r="R29" i="12" s="1"/>
  <c r="J39" i="12"/>
  <c r="I38" i="12"/>
  <c r="I54" i="12"/>
  <c r="I13" i="12"/>
  <c r="M19" i="12"/>
  <c r="L18" i="12"/>
  <c r="J26" i="12"/>
  <c r="I25" i="12"/>
  <c r="R35" i="12"/>
  <c r="J40" i="12"/>
  <c r="L41" i="12"/>
  <c r="I58" i="12"/>
  <c r="R73" i="12"/>
  <c r="R80" i="12"/>
  <c r="M97" i="12"/>
  <c r="J99" i="12"/>
  <c r="I98" i="12"/>
  <c r="J98" i="12" s="1"/>
  <c r="O102" i="12"/>
  <c r="R106" i="12"/>
  <c r="Q105" i="12"/>
  <c r="R105" i="12" s="1"/>
  <c r="R111" i="12"/>
  <c r="K115" i="12"/>
  <c r="K114" i="12" s="1"/>
  <c r="J116" i="12"/>
  <c r="O122" i="12"/>
  <c r="R125" i="12"/>
  <c r="Q124" i="12"/>
  <c r="R124" i="12" s="1"/>
  <c r="R132" i="12"/>
  <c r="O138" i="12"/>
  <c r="N137" i="12"/>
  <c r="M149" i="12"/>
  <c r="L144" i="12"/>
  <c r="M151" i="12"/>
  <c r="M156" i="12"/>
  <c r="L155" i="12"/>
  <c r="H171" i="12"/>
  <c r="H170" i="12" s="1"/>
  <c r="P183" i="12"/>
  <c r="P182" i="12" s="1"/>
  <c r="P181" i="12" s="1"/>
  <c r="P180" i="12" s="1"/>
  <c r="R184" i="12"/>
  <c r="O232" i="12"/>
  <c r="N231" i="12"/>
  <c r="O231" i="12" s="1"/>
  <c r="K236" i="12"/>
  <c r="K235" i="12" s="1"/>
  <c r="O235" i="12" s="1"/>
  <c r="M243" i="12"/>
  <c r="L242" i="12"/>
  <c r="H256" i="12"/>
  <c r="H255" i="12" s="1"/>
  <c r="J271" i="12"/>
  <c r="M271" i="12"/>
  <c r="J321" i="12"/>
  <c r="I320" i="12"/>
  <c r="M320" i="12" s="1"/>
  <c r="M321" i="12"/>
  <c r="R428" i="12"/>
  <c r="Q427" i="12"/>
  <c r="R34" i="12"/>
  <c r="O44" i="12"/>
  <c r="N43" i="12"/>
  <c r="M66" i="12"/>
  <c r="O35" i="12"/>
  <c r="N34" i="12"/>
  <c r="O34" i="12" s="1"/>
  <c r="R39" i="12"/>
  <c r="Q38" i="12"/>
  <c r="O46" i="12"/>
  <c r="O50" i="12"/>
  <c r="K72" i="12"/>
  <c r="K79" i="12"/>
  <c r="K75" i="12" s="1"/>
  <c r="O84" i="12"/>
  <c r="O83" i="12" s="1"/>
  <c r="O93" i="12"/>
  <c r="R96" i="12"/>
  <c r="Q95" i="12"/>
  <c r="J106" i="12"/>
  <c r="I105" i="12"/>
  <c r="K110" i="12"/>
  <c r="O110" i="12" s="1"/>
  <c r="O121" i="12"/>
  <c r="N120" i="12"/>
  <c r="I125" i="12"/>
  <c r="K131" i="12"/>
  <c r="K130" i="12" s="1"/>
  <c r="K129" i="12" s="1"/>
  <c r="K128" i="12" s="1"/>
  <c r="O145" i="12"/>
  <c r="N144" i="12"/>
  <c r="R157" i="12"/>
  <c r="Q156" i="12"/>
  <c r="O164" i="12"/>
  <c r="O172" i="12"/>
  <c r="J178" i="12"/>
  <c r="I176" i="12"/>
  <c r="M176" i="12" s="1"/>
  <c r="O201" i="12"/>
  <c r="N198" i="12"/>
  <c r="M208" i="12"/>
  <c r="L207" i="12"/>
  <c r="M207" i="12" s="1"/>
  <c r="H242" i="12"/>
  <c r="H241" i="12" s="1"/>
  <c r="H240" i="12" s="1"/>
  <c r="J243" i="12"/>
  <c r="O249" i="12"/>
  <c r="N248" i="12"/>
  <c r="L250" i="12"/>
  <c r="R263" i="12"/>
  <c r="Q256" i="12"/>
  <c r="O305" i="12"/>
  <c r="K304" i="12"/>
  <c r="O304" i="12" s="1"/>
  <c r="R363" i="12"/>
  <c r="Q362" i="12"/>
  <c r="Q413" i="12"/>
  <c r="R414" i="12"/>
  <c r="M440" i="12"/>
  <c r="L439" i="12"/>
  <c r="I163" i="12"/>
  <c r="Q163" i="12"/>
  <c r="I167" i="12"/>
  <c r="J167" i="12" s="1"/>
  <c r="Q167" i="12"/>
  <c r="R167" i="12" s="1"/>
  <c r="L171" i="12"/>
  <c r="J184" i="12"/>
  <c r="R191" i="12"/>
  <c r="Q193" i="12"/>
  <c r="J194" i="12"/>
  <c r="R213" i="12"/>
  <c r="O230" i="12"/>
  <c r="N229" i="12"/>
  <c r="M232" i="12"/>
  <c r="L231" i="12"/>
  <c r="J237" i="12"/>
  <c r="I236" i="12"/>
  <c r="M236" i="12" s="1"/>
  <c r="I241" i="12"/>
  <c r="R242" i="12"/>
  <c r="Q241" i="12"/>
  <c r="O245" i="12"/>
  <c r="N244" i="12"/>
  <c r="O244" i="12" s="1"/>
  <c r="M249" i="12"/>
  <c r="L248" i="12"/>
  <c r="R249" i="12"/>
  <c r="M252" i="12"/>
  <c r="R257" i="12"/>
  <c r="O260" i="12"/>
  <c r="J267" i="12"/>
  <c r="I266" i="12"/>
  <c r="L274" i="12"/>
  <c r="M279" i="12"/>
  <c r="M306" i="12"/>
  <c r="I305" i="12"/>
  <c r="J306" i="12"/>
  <c r="R317" i="12"/>
  <c r="Q316" i="12"/>
  <c r="Q329" i="12"/>
  <c r="J389" i="12"/>
  <c r="I388" i="12"/>
  <c r="M389" i="12"/>
  <c r="K387" i="12"/>
  <c r="K386" i="12" s="1"/>
  <c r="O393" i="12"/>
  <c r="N408" i="12"/>
  <c r="M415" i="12"/>
  <c r="L414" i="12"/>
  <c r="O435" i="12"/>
  <c r="I446" i="12"/>
  <c r="J447" i="12"/>
  <c r="L452" i="12"/>
  <c r="L451" i="12"/>
  <c r="K452" i="12"/>
  <c r="I476" i="12"/>
  <c r="H477" i="12"/>
  <c r="H476" i="12" s="1"/>
  <c r="H475" i="12" s="1"/>
  <c r="H474" i="12" s="1"/>
  <c r="J478" i="12"/>
  <c r="J192" i="12"/>
  <c r="O193" i="12"/>
  <c r="N192" i="12"/>
  <c r="O192" i="12" s="1"/>
  <c r="R200" i="12"/>
  <c r="Q199" i="12"/>
  <c r="J205" i="12"/>
  <c r="I204" i="12"/>
  <c r="R210" i="12"/>
  <c r="J214" i="12"/>
  <c r="I213" i="12"/>
  <c r="O219" i="12"/>
  <c r="N218" i="12"/>
  <c r="M225" i="12"/>
  <c r="L235" i="12"/>
  <c r="O243" i="12"/>
  <c r="N242" i="12"/>
  <c r="O251" i="12"/>
  <c r="N250" i="12"/>
  <c r="O250" i="12" s="1"/>
  <c r="M259" i="12"/>
  <c r="J259" i="12"/>
  <c r="I257" i="12"/>
  <c r="M257" i="12" s="1"/>
  <c r="L260" i="12"/>
  <c r="M260" i="12" s="1"/>
  <c r="M262" i="12"/>
  <c r="J279" i="12"/>
  <c r="I278" i="12"/>
  <c r="M278" i="12" s="1"/>
  <c r="O294" i="12"/>
  <c r="N293" i="12"/>
  <c r="O302" i="12"/>
  <c r="N299" i="12"/>
  <c r="P298" i="12"/>
  <c r="R308" i="12"/>
  <c r="M324" i="12"/>
  <c r="L323" i="12"/>
  <c r="M323" i="12" s="1"/>
  <c r="J337" i="12"/>
  <c r="I336" i="12"/>
  <c r="M337" i="12"/>
  <c r="I350" i="12"/>
  <c r="O353" i="12"/>
  <c r="N351" i="12"/>
  <c r="L368" i="12"/>
  <c r="R393" i="12"/>
  <c r="Q387" i="12"/>
  <c r="L427" i="12"/>
  <c r="L432" i="12"/>
  <c r="I618" i="12"/>
  <c r="H619" i="12"/>
  <c r="H618" i="12" s="1"/>
  <c r="H617" i="12" s="1"/>
  <c r="H616" i="12" s="1"/>
  <c r="H615" i="12" s="1"/>
  <c r="J620" i="12"/>
  <c r="N156" i="12"/>
  <c r="L163" i="12"/>
  <c r="L167" i="12"/>
  <c r="N176" i="12"/>
  <c r="O176" i="12" s="1"/>
  <c r="M191" i="12"/>
  <c r="L190" i="12"/>
  <c r="J200" i="12"/>
  <c r="I199" i="12"/>
  <c r="Q218" i="12"/>
  <c r="R237" i="12"/>
  <c r="Q236" i="12"/>
  <c r="M245" i="12"/>
  <c r="L244" i="12"/>
  <c r="M244" i="12" s="1"/>
  <c r="R248" i="12"/>
  <c r="Q247" i="12"/>
  <c r="J252" i="12"/>
  <c r="I251" i="12"/>
  <c r="O316" i="12"/>
  <c r="R343" i="12"/>
  <c r="Q342" i="12"/>
  <c r="O346" i="12"/>
  <c r="N345" i="12"/>
  <c r="O345" i="12" s="1"/>
  <c r="M375" i="12"/>
  <c r="L374" i="12"/>
  <c r="M392" i="12"/>
  <c r="I390" i="12"/>
  <c r="J390" i="12" s="1"/>
  <c r="J392" i="12"/>
  <c r="O402" i="12"/>
  <c r="N401" i="12"/>
  <c r="O401" i="12" s="1"/>
  <c r="I438" i="12"/>
  <c r="J439" i="12"/>
  <c r="J262" i="12"/>
  <c r="I269" i="12"/>
  <c r="R275" i="12"/>
  <c r="Q274" i="12"/>
  <c r="M282" i="12"/>
  <c r="J289" i="12"/>
  <c r="I288" i="12"/>
  <c r="M288" i="12" s="1"/>
  <c r="J297" i="12"/>
  <c r="I296" i="12"/>
  <c r="M296" i="12" s="1"/>
  <c r="Q299" i="12"/>
  <c r="J301" i="12"/>
  <c r="I300" i="12"/>
  <c r="M300" i="12" s="1"/>
  <c r="M315" i="12"/>
  <c r="J317" i="12"/>
  <c r="I316" i="12"/>
  <c r="M316" i="12" s="1"/>
  <c r="O321" i="12"/>
  <c r="N320" i="12"/>
  <c r="R324" i="12"/>
  <c r="M325" i="12"/>
  <c r="I328" i="12"/>
  <c r="Q351" i="12"/>
  <c r="J356" i="12"/>
  <c r="I355" i="12"/>
  <c r="J355" i="12" s="1"/>
  <c r="L363" i="12"/>
  <c r="M365" i="12"/>
  <c r="J376" i="12"/>
  <c r="J380" i="12"/>
  <c r="I379" i="12"/>
  <c r="M379" i="12" s="1"/>
  <c r="J395" i="12"/>
  <c r="I393" i="12"/>
  <c r="O395" i="12"/>
  <c r="J403" i="12"/>
  <c r="I402" i="12"/>
  <c r="J409" i="12"/>
  <c r="J417" i="12"/>
  <c r="I414" i="12"/>
  <c r="O418" i="12"/>
  <c r="N414" i="12"/>
  <c r="R420" i="12"/>
  <c r="J430" i="12"/>
  <c r="N438" i="12"/>
  <c r="O440" i="12"/>
  <c r="O447" i="12"/>
  <c r="N446" i="12"/>
  <c r="H463" i="12"/>
  <c r="H462" i="12" s="1"/>
  <c r="J486" i="12"/>
  <c r="I485" i="12"/>
  <c r="R508" i="12"/>
  <c r="Q507" i="12"/>
  <c r="R507" i="12" s="1"/>
  <c r="J544" i="12"/>
  <c r="M544" i="12"/>
  <c r="I543" i="12"/>
  <c r="M543" i="12" s="1"/>
  <c r="J275" i="12"/>
  <c r="I274" i="12"/>
  <c r="L277" i="12"/>
  <c r="L287" i="12"/>
  <c r="R293" i="12"/>
  <c r="H299" i="12"/>
  <c r="R305" i="12"/>
  <c r="Q304" i="12"/>
  <c r="R304" i="12" s="1"/>
  <c r="H307" i="12"/>
  <c r="R320" i="12"/>
  <c r="Q319" i="12"/>
  <c r="O329" i="12"/>
  <c r="N328" i="12"/>
  <c r="O335" i="12"/>
  <c r="N334" i="12"/>
  <c r="M347" i="12"/>
  <c r="L346" i="12"/>
  <c r="O363" i="12"/>
  <c r="J370" i="12"/>
  <c r="I369" i="12"/>
  <c r="J375" i="12"/>
  <c r="I374" i="12"/>
  <c r="M398" i="12"/>
  <c r="I397" i="12"/>
  <c r="L470" i="12"/>
  <c r="J472" i="12"/>
  <c r="I471" i="12"/>
  <c r="M471" i="12" s="1"/>
  <c r="M472" i="12"/>
  <c r="J263" i="12"/>
  <c r="N277" i="12"/>
  <c r="H277" i="12"/>
  <c r="H276" i="12" s="1"/>
  <c r="R279" i="12"/>
  <c r="Q278" i="12"/>
  <c r="O286" i="12"/>
  <c r="N285" i="12"/>
  <c r="O285" i="12" s="1"/>
  <c r="J308" i="12"/>
  <c r="J314" i="12"/>
  <c r="J325" i="12"/>
  <c r="L350" i="12"/>
  <c r="N362" i="12"/>
  <c r="L378" i="12"/>
  <c r="P387" i="12"/>
  <c r="P386" i="12" s="1"/>
  <c r="P385" i="12" s="1"/>
  <c r="P384" i="12" s="1"/>
  <c r="J398" i="12"/>
  <c r="L402" i="12"/>
  <c r="M409" i="12"/>
  <c r="L408" i="12"/>
  <c r="R417" i="12"/>
  <c r="R418" i="12"/>
  <c r="L444" i="12"/>
  <c r="O342" i="12"/>
  <c r="R356" i="12"/>
  <c r="Q355" i="12"/>
  <c r="R355" i="12" s="1"/>
  <c r="R370" i="12"/>
  <c r="Q369" i="12"/>
  <c r="O376" i="12"/>
  <c r="N375" i="12"/>
  <c r="R380" i="12"/>
  <c r="Q379" i="12"/>
  <c r="L393" i="12"/>
  <c r="O417" i="12"/>
  <c r="L420" i="12"/>
  <c r="R422" i="12"/>
  <c r="K424" i="12"/>
  <c r="O428" i="12"/>
  <c r="N427" i="12"/>
  <c r="R454" i="12"/>
  <c r="Q453" i="12"/>
  <c r="J468" i="12"/>
  <c r="I467" i="12"/>
  <c r="J467" i="12" s="1"/>
  <c r="N476" i="12"/>
  <c r="L522" i="12"/>
  <c r="R531" i="12"/>
  <c r="Q530" i="12"/>
  <c r="L552" i="12"/>
  <c r="R553" i="12"/>
  <c r="R560" i="12"/>
  <c r="Q559" i="12"/>
  <c r="O581" i="12"/>
  <c r="N580" i="12"/>
  <c r="O580" i="12" s="1"/>
  <c r="K586" i="12"/>
  <c r="K585" i="12" s="1"/>
  <c r="K584" i="12" s="1"/>
  <c r="K583" i="12" s="1"/>
  <c r="K579" i="12" s="1"/>
  <c r="K578" i="12" s="1"/>
  <c r="O587" i="12"/>
  <c r="O627" i="12"/>
  <c r="N626" i="12"/>
  <c r="J692" i="12"/>
  <c r="M692" i="12"/>
  <c r="I691" i="12"/>
  <c r="R468" i="12"/>
  <c r="Q467" i="12"/>
  <c r="R467" i="12" s="1"/>
  <c r="R472" i="12"/>
  <c r="Q471" i="12"/>
  <c r="Q489" i="12"/>
  <c r="R490" i="12"/>
  <c r="J508" i="12"/>
  <c r="I507" i="12"/>
  <c r="J507" i="12" s="1"/>
  <c r="J516" i="12"/>
  <c r="I513" i="12"/>
  <c r="M513" i="12" s="1"/>
  <c r="M531" i="12"/>
  <c r="L530" i="12"/>
  <c r="J566" i="12"/>
  <c r="I565" i="12"/>
  <c r="M613" i="12"/>
  <c r="L612" i="12"/>
  <c r="J667" i="12"/>
  <c r="I666" i="12"/>
  <c r="M666" i="12" s="1"/>
  <c r="M667" i="12"/>
  <c r="J454" i="12"/>
  <c r="I453" i="12"/>
  <c r="N453" i="12"/>
  <c r="O460" i="12"/>
  <c r="K463" i="12"/>
  <c r="K462" i="12" s="1"/>
  <c r="M478" i="12"/>
  <c r="L477" i="12"/>
  <c r="L504" i="12"/>
  <c r="P504" i="12"/>
  <c r="P503" i="12" s="1"/>
  <c r="P502" i="12" s="1"/>
  <c r="P501" i="12" s="1"/>
  <c r="R545" i="12"/>
  <c r="P543" i="12"/>
  <c r="P542" i="12" s="1"/>
  <c r="P541" i="12" s="1"/>
  <c r="P540" i="12" s="1"/>
  <c r="P536" i="12" s="1"/>
  <c r="J560" i="12"/>
  <c r="I559" i="12"/>
  <c r="M559" i="12" s="1"/>
  <c r="M568" i="12"/>
  <c r="I465" i="12"/>
  <c r="Q465" i="12"/>
  <c r="L468" i="12"/>
  <c r="K489" i="12"/>
  <c r="K488" i="12" s="1"/>
  <c r="K483" i="12" s="1"/>
  <c r="K482" i="12" s="1"/>
  <c r="J496" i="12"/>
  <c r="N507" i="12"/>
  <c r="N512" i="12"/>
  <c r="H512" i="12"/>
  <c r="R516" i="12"/>
  <c r="Q513" i="12"/>
  <c r="R547" i="12"/>
  <c r="O553" i="12"/>
  <c r="N559" i="12"/>
  <c r="O559" i="12" s="1"/>
  <c r="R566" i="12"/>
  <c r="Q565" i="12"/>
  <c r="N585" i="12"/>
  <c r="R605" i="12"/>
  <c r="Q604" i="12"/>
  <c r="R613" i="12"/>
  <c r="M620" i="12"/>
  <c r="L619" i="12"/>
  <c r="I626" i="12"/>
  <c r="J636" i="12"/>
  <c r="I635" i="12"/>
  <c r="M635" i="12" s="1"/>
  <c r="J643" i="12"/>
  <c r="R669" i="12"/>
  <c r="P668" i="12"/>
  <c r="R668" i="12" s="1"/>
  <c r="R675" i="12"/>
  <c r="Q672" i="12"/>
  <c r="O486" i="12"/>
  <c r="N485" i="12"/>
  <c r="O495" i="12"/>
  <c r="N493" i="12"/>
  <c r="R506" i="12"/>
  <c r="Q505" i="12"/>
  <c r="N519" i="12"/>
  <c r="R523" i="12"/>
  <c r="Q522" i="12"/>
  <c r="R538" i="12"/>
  <c r="Q537" i="12"/>
  <c r="O544" i="12"/>
  <c r="N543" i="12"/>
  <c r="R555" i="12"/>
  <c r="R568" i="12"/>
  <c r="J594" i="12"/>
  <c r="I593" i="12"/>
  <c r="M593" i="12" s="1"/>
  <c r="L603" i="12"/>
  <c r="J605" i="12"/>
  <c r="I604" i="12"/>
  <c r="M604" i="12" s="1"/>
  <c r="N618" i="12"/>
  <c r="R636" i="12"/>
  <c r="Q635" i="12"/>
  <c r="L647" i="12"/>
  <c r="M647" i="12" s="1"/>
  <c r="J655" i="12"/>
  <c r="J664" i="12"/>
  <c r="O665" i="12"/>
  <c r="J675" i="12"/>
  <c r="I672" i="12"/>
  <c r="J672" i="12" s="1"/>
  <c r="H687" i="12"/>
  <c r="H680" i="12" s="1"/>
  <c r="H679" i="12" s="1"/>
  <c r="J688" i="12"/>
  <c r="O713" i="12"/>
  <c r="N712" i="12"/>
  <c r="O712" i="12" s="1"/>
  <c r="R485" i="12"/>
  <c r="Q484" i="12"/>
  <c r="R484" i="12" s="1"/>
  <c r="J506" i="12"/>
  <c r="I505" i="12"/>
  <c r="L512" i="12"/>
  <c r="J523" i="12"/>
  <c r="I522" i="12"/>
  <c r="O531" i="12"/>
  <c r="N530" i="12"/>
  <c r="J538" i="12"/>
  <c r="I537" i="12"/>
  <c r="L541" i="12"/>
  <c r="J555" i="12"/>
  <c r="J568" i="12"/>
  <c r="L592" i="12"/>
  <c r="R594" i="12"/>
  <c r="Q593" i="12"/>
  <c r="O601" i="12"/>
  <c r="N600" i="12"/>
  <c r="O646" i="12"/>
  <c r="N645" i="12"/>
  <c r="O651" i="12"/>
  <c r="N650" i="12"/>
  <c r="J654" i="12"/>
  <c r="I653" i="12"/>
  <c r="J653" i="12" s="1"/>
  <c r="R667" i="12"/>
  <c r="Q666" i="12"/>
  <c r="L580" i="12"/>
  <c r="M580" i="12" s="1"/>
  <c r="L585" i="12"/>
  <c r="I586" i="12"/>
  <c r="M586" i="12" s="1"/>
  <c r="Q586" i="12"/>
  <c r="N592" i="12"/>
  <c r="K593" i="12"/>
  <c r="K592" i="12" s="1"/>
  <c r="J596" i="12"/>
  <c r="L600" i="12"/>
  <c r="N603" i="12"/>
  <c r="K604" i="12"/>
  <c r="K603" i="12" s="1"/>
  <c r="K599" i="12" s="1"/>
  <c r="Q611" i="12"/>
  <c r="N612" i="12"/>
  <c r="N635" i="12"/>
  <c r="R643" i="12"/>
  <c r="I642" i="12"/>
  <c r="M646" i="12"/>
  <c r="L645" i="12"/>
  <c r="R654" i="12"/>
  <c r="Q653" i="12"/>
  <c r="Q655" i="12"/>
  <c r="R655" i="12" s="1"/>
  <c r="J656" i="12"/>
  <c r="J663" i="12"/>
  <c r="I662" i="12"/>
  <c r="J662" i="12" s="1"/>
  <c r="L661" i="12"/>
  <c r="J665" i="12"/>
  <c r="N666" i="12"/>
  <c r="O669" i="12"/>
  <c r="J676" i="12"/>
  <c r="P672" i="12"/>
  <c r="J678" i="12"/>
  <c r="L683" i="12"/>
  <c r="M683" i="12" s="1"/>
  <c r="M688" i="12"/>
  <c r="L687" i="12"/>
  <c r="R704" i="12"/>
  <c r="Q703" i="12"/>
  <c r="H709" i="12"/>
  <c r="H701" i="12" s="1"/>
  <c r="J710" i="12"/>
  <c r="L718" i="12"/>
  <c r="H750" i="12"/>
  <c r="H786" i="12"/>
  <c r="J787" i="12"/>
  <c r="L632" i="12"/>
  <c r="R647" i="12"/>
  <c r="O655" i="12"/>
  <c r="O664" i="12"/>
  <c r="M676" i="12"/>
  <c r="L675" i="12"/>
  <c r="L681" i="12"/>
  <c r="M682" i="12"/>
  <c r="J690" i="12"/>
  <c r="M690" i="12"/>
  <c r="I689" i="12"/>
  <c r="R720" i="12"/>
  <c r="Q719" i="12"/>
  <c r="O806" i="12"/>
  <c r="N805" i="12"/>
  <c r="O676" i="12"/>
  <c r="N675" i="12"/>
  <c r="J677" i="12"/>
  <c r="O687" i="12"/>
  <c r="N680" i="12"/>
  <c r="I693" i="12"/>
  <c r="J693" i="12" s="1"/>
  <c r="J694" i="12"/>
  <c r="N705" i="12"/>
  <c r="O706" i="12"/>
  <c r="M710" i="12"/>
  <c r="L709" i="12"/>
  <c r="M709" i="12" s="1"/>
  <c r="O724" i="12"/>
  <c r="M733" i="12"/>
  <c r="L732" i="12"/>
  <c r="M732" i="12" s="1"/>
  <c r="M745" i="12"/>
  <c r="L748" i="12"/>
  <c r="M748" i="12" s="1"/>
  <c r="M749" i="12"/>
  <c r="L772" i="12"/>
  <c r="J774" i="12"/>
  <c r="I773" i="12"/>
  <c r="M773" i="12" s="1"/>
  <c r="M774" i="12"/>
  <c r="J686" i="12"/>
  <c r="M698" i="12"/>
  <c r="J700" i="12"/>
  <c r="I699" i="12"/>
  <c r="J699" i="12" s="1"/>
  <c r="L702" i="12"/>
  <c r="J708" i="12"/>
  <c r="L713" i="12"/>
  <c r="R713" i="12"/>
  <c r="O723" i="12"/>
  <c r="N722" i="12"/>
  <c r="J724" i="12"/>
  <c r="I723" i="12"/>
  <c r="M723" i="12" s="1"/>
  <c r="R733" i="12"/>
  <c r="Q732" i="12"/>
  <c r="R732" i="12" s="1"/>
  <c r="R739" i="12"/>
  <c r="Q738" i="12"/>
  <c r="R745" i="12"/>
  <c r="Q744" i="12"/>
  <c r="I685" i="12"/>
  <c r="R696" i="12"/>
  <c r="Q695" i="12"/>
  <c r="R695" i="12" s="1"/>
  <c r="J704" i="12"/>
  <c r="I703" i="12"/>
  <c r="M708" i="12"/>
  <c r="O719" i="12"/>
  <c r="N718" i="12"/>
  <c r="J720" i="12"/>
  <c r="I719" i="12"/>
  <c r="M719" i="12" s="1"/>
  <c r="O729" i="12"/>
  <c r="J739" i="12"/>
  <c r="I738" i="12"/>
  <c r="O738" i="12"/>
  <c r="M742" i="12"/>
  <c r="O746" i="12"/>
  <c r="N745" i="12"/>
  <c r="O755" i="12"/>
  <c r="N754" i="12"/>
  <c r="Q781" i="12"/>
  <c r="M694" i="12"/>
  <c r="J696" i="12"/>
  <c r="I695" i="12"/>
  <c r="J695" i="12" s="1"/>
  <c r="R700" i="12"/>
  <c r="Q699" i="12"/>
  <c r="R699" i="12" s="1"/>
  <c r="O720" i="12"/>
  <c r="L722" i="12"/>
  <c r="R724" i="12"/>
  <c r="Q723" i="12"/>
  <c r="R729" i="12"/>
  <c r="K721" i="12"/>
  <c r="K716" i="12" s="1"/>
  <c r="K715" i="12" s="1"/>
  <c r="O767" i="12"/>
  <c r="M800" i="12"/>
  <c r="L799" i="12"/>
  <c r="R730" i="12"/>
  <c r="J745" i="12"/>
  <c r="I744" i="12"/>
  <c r="M746" i="12"/>
  <c r="R746" i="12"/>
  <c r="J749" i="12"/>
  <c r="M755" i="12"/>
  <c r="L754" i="12"/>
  <c r="R755" i="12"/>
  <c r="O766" i="12"/>
  <c r="N765" i="12"/>
  <c r="J767" i="12"/>
  <c r="I766" i="12"/>
  <c r="M766" i="12" s="1"/>
  <c r="J732" i="12"/>
  <c r="O793" i="12"/>
  <c r="N792" i="12"/>
  <c r="M806" i="12"/>
  <c r="J806" i="12"/>
  <c r="I805" i="12"/>
  <c r="M805" i="12" s="1"/>
  <c r="R842" i="12"/>
  <c r="Q841" i="12"/>
  <c r="O733" i="12"/>
  <c r="N732" i="12"/>
  <c r="O732" i="12" s="1"/>
  <c r="O739" i="12"/>
  <c r="J754" i="12"/>
  <c r="I753" i="12"/>
  <c r="R754" i="12"/>
  <c r="Q753" i="12"/>
  <c r="L765" i="12"/>
  <c r="R767" i="12"/>
  <c r="Q766" i="12"/>
  <c r="R774" i="12"/>
  <c r="Q773" i="12"/>
  <c r="P782" i="12"/>
  <c r="P781" i="12" s="1"/>
  <c r="P780" i="12" s="1"/>
  <c r="P779" i="12" s="1"/>
  <c r="P778" i="12" s="1"/>
  <c r="P777" i="12" s="1"/>
  <c r="R783" i="12"/>
  <c r="R800" i="12"/>
  <c r="Q799" i="12"/>
  <c r="I819" i="12"/>
  <c r="M821" i="12"/>
  <c r="L820" i="12"/>
  <c r="R828" i="12"/>
  <c r="Q827" i="12"/>
  <c r="J836" i="12"/>
  <c r="I835" i="12"/>
  <c r="J835" i="12" s="1"/>
  <c r="M836" i="12"/>
  <c r="I793" i="12"/>
  <c r="R802" i="12"/>
  <c r="H820" i="12"/>
  <c r="H819" i="12" s="1"/>
  <c r="H815" i="12" s="1"/>
  <c r="J821" i="12"/>
  <c r="O823" i="12"/>
  <c r="N822" i="12"/>
  <c r="O822" i="12" s="1"/>
  <c r="L827" i="12"/>
  <c r="O774" i="12"/>
  <c r="J782" i="12"/>
  <c r="I781" i="12"/>
  <c r="M783" i="12"/>
  <c r="M794" i="12"/>
  <c r="J800" i="12"/>
  <c r="I799" i="12"/>
  <c r="M801" i="12"/>
  <c r="O816" i="12"/>
  <c r="O819" i="12"/>
  <c r="N772" i="12"/>
  <c r="O783" i="12"/>
  <c r="N782" i="12"/>
  <c r="L790" i="12"/>
  <c r="Q793" i="12"/>
  <c r="O801" i="12"/>
  <c r="N800" i="12"/>
  <c r="R819" i="12"/>
  <c r="R821" i="12"/>
  <c r="L822" i="12"/>
  <c r="M822" i="12" s="1"/>
  <c r="Q822" i="12"/>
  <c r="R822" i="12" s="1"/>
  <c r="J827" i="12"/>
  <c r="I826" i="12"/>
  <c r="R837" i="12"/>
  <c r="N839" i="12"/>
  <c r="O839" i="12" s="1"/>
  <c r="O840" i="12"/>
  <c r="R850" i="12"/>
  <c r="R817" i="12"/>
  <c r="Q816" i="12"/>
  <c r="H834" i="12"/>
  <c r="H833" i="12" s="1"/>
  <c r="I841" i="12"/>
  <c r="O843" i="12"/>
  <c r="N842" i="12"/>
  <c r="L849" i="12"/>
  <c r="J817" i="12"/>
  <c r="I816" i="12"/>
  <c r="M816" i="12" s="1"/>
  <c r="J822" i="12"/>
  <c r="L834" i="12"/>
  <c r="J838" i="12"/>
  <c r="I837" i="12"/>
  <c r="M837" i="12" s="1"/>
  <c r="J840" i="12"/>
  <c r="I839" i="12"/>
  <c r="J839" i="12" s="1"/>
  <c r="N827" i="12"/>
  <c r="L842" i="12"/>
  <c r="N849" i="12"/>
  <c r="N835" i="12"/>
  <c r="O835" i="12" s="1"/>
  <c r="N837" i="12"/>
  <c r="Q849" i="12"/>
  <c r="G14" i="11"/>
  <c r="K14" i="11" s="1"/>
  <c r="H15" i="11"/>
  <c r="G174" i="11"/>
  <c r="M176" i="11"/>
  <c r="L175" i="11"/>
  <c r="P212" i="11"/>
  <c r="O211" i="11"/>
  <c r="P211" i="11" s="1"/>
  <c r="M11" i="11"/>
  <c r="L10" i="11"/>
  <c r="O174" i="11"/>
  <c r="M153" i="11"/>
  <c r="L152" i="11"/>
  <c r="L156" i="11"/>
  <c r="H201" i="11"/>
  <c r="G200" i="11"/>
  <c r="K200" i="11" s="1"/>
  <c r="P21" i="11"/>
  <c r="O20" i="11"/>
  <c r="F40" i="11"/>
  <c r="F25" i="11" s="1"/>
  <c r="F18" i="11" s="1"/>
  <c r="K130" i="11"/>
  <c r="O155" i="11"/>
  <c r="P201" i="11"/>
  <c r="O200" i="11"/>
  <c r="K29" i="11"/>
  <c r="K38" i="11"/>
  <c r="J37" i="11"/>
  <c r="K37" i="11" s="1"/>
  <c r="K58" i="11"/>
  <c r="J57" i="11"/>
  <c r="M66" i="11"/>
  <c r="L65" i="11"/>
  <c r="M88" i="11"/>
  <c r="K101" i="11"/>
  <c r="M121" i="11"/>
  <c r="L120" i="11"/>
  <c r="P22" i="11"/>
  <c r="I126" i="11"/>
  <c r="M126" i="11" s="1"/>
  <c r="K127" i="11"/>
  <c r="J126" i="11"/>
  <c r="K126" i="11" s="1"/>
  <c r="K131" i="11"/>
  <c r="M12" i="11"/>
  <c r="H16" i="11"/>
  <c r="M22" i="11"/>
  <c r="L21" i="11"/>
  <c r="I28" i="11"/>
  <c r="I27" i="11" s="1"/>
  <c r="I26" i="11" s="1"/>
  <c r="I25" i="11" s="1"/>
  <c r="I18" i="11" s="1"/>
  <c r="M29" i="11"/>
  <c r="L32" i="11"/>
  <c r="M32" i="11" s="1"/>
  <c r="H38" i="11"/>
  <c r="H43" i="11"/>
  <c r="P53" i="11"/>
  <c r="O52" i="11"/>
  <c r="H58" i="11"/>
  <c r="M62" i="11"/>
  <c r="J71" i="11"/>
  <c r="K80" i="11"/>
  <c r="M84" i="11"/>
  <c r="L83" i="11"/>
  <c r="K88" i="11"/>
  <c r="J90" i="11"/>
  <c r="N90" i="11"/>
  <c r="H98" i="11"/>
  <c r="G97" i="11"/>
  <c r="I100" i="11"/>
  <c r="I96" i="11" s="1"/>
  <c r="I95" i="11" s="1"/>
  <c r="M101" i="11"/>
  <c r="P105" i="11"/>
  <c r="O104" i="11"/>
  <c r="P104" i="11" s="1"/>
  <c r="H109" i="11"/>
  <c r="H108" i="11" s="1"/>
  <c r="K118" i="11"/>
  <c r="J117" i="11"/>
  <c r="P120" i="11"/>
  <c r="K124" i="11"/>
  <c r="F126" i="11"/>
  <c r="H126" i="11" s="1"/>
  <c r="H127" i="11"/>
  <c r="H131" i="11"/>
  <c r="M131" i="11"/>
  <c r="L130" i="11"/>
  <c r="J135" i="11"/>
  <c r="P141" i="11"/>
  <c r="O140" i="11"/>
  <c r="I146" i="11"/>
  <c r="H149" i="11"/>
  <c r="M158" i="11"/>
  <c r="H159" i="11"/>
  <c r="G158" i="11"/>
  <c r="K158" i="11" s="1"/>
  <c r="N164" i="11"/>
  <c r="P165" i="11"/>
  <c r="P170" i="11"/>
  <c r="O169" i="11"/>
  <c r="F177" i="11"/>
  <c r="H178" i="11"/>
  <c r="J183" i="11"/>
  <c r="P196" i="11"/>
  <c r="O195" i="11"/>
  <c r="F199" i="11"/>
  <c r="F198" i="11" s="1"/>
  <c r="N199" i="11"/>
  <c r="N198" i="11" s="1"/>
  <c r="K201" i="11"/>
  <c r="M202" i="11"/>
  <c r="L201" i="11"/>
  <c r="P207" i="11"/>
  <c r="O206" i="11"/>
  <c r="P206" i="11" s="1"/>
  <c r="M248" i="11"/>
  <c r="L247" i="11"/>
  <c r="M256" i="11"/>
  <c r="L255" i="11"/>
  <c r="N275" i="11"/>
  <c r="N274" i="11" s="1"/>
  <c r="P276" i="11"/>
  <c r="P279" i="11"/>
  <c r="O278" i="11"/>
  <c r="F316" i="11"/>
  <c r="F315" i="11" s="1"/>
  <c r="F314" i="11" s="1"/>
  <c r="H317" i="11"/>
  <c r="P331" i="11"/>
  <c r="O330" i="11"/>
  <c r="P330" i="11" s="1"/>
  <c r="P367" i="11"/>
  <c r="O366" i="11"/>
  <c r="F373" i="11"/>
  <c r="F372" i="11" s="1"/>
  <c r="H372" i="11" s="1"/>
  <c r="H374" i="11"/>
  <c r="I402" i="11"/>
  <c r="I401" i="11" s="1"/>
  <c r="I400" i="11" s="1"/>
  <c r="M403" i="11"/>
  <c r="H470" i="11"/>
  <c r="G469" i="11"/>
  <c r="H469" i="11" s="1"/>
  <c r="G11" i="11"/>
  <c r="K16" i="11"/>
  <c r="J21" i="11"/>
  <c r="G28" i="11"/>
  <c r="H35" i="11"/>
  <c r="M41" i="11"/>
  <c r="L40" i="11"/>
  <c r="M40" i="11" s="1"/>
  <c r="J46" i="11"/>
  <c r="H53" i="11"/>
  <c r="G52" i="11"/>
  <c r="K52" i="11" s="1"/>
  <c r="G61" i="11"/>
  <c r="H61" i="11" s="1"/>
  <c r="H65" i="11"/>
  <c r="G64" i="11"/>
  <c r="L69" i="11"/>
  <c r="F71" i="11"/>
  <c r="F70" i="11" s="1"/>
  <c r="F69" i="11" s="1"/>
  <c r="F60" i="11" s="1"/>
  <c r="P73" i="11"/>
  <c r="O72" i="11"/>
  <c r="O79" i="11"/>
  <c r="O83" i="11"/>
  <c r="O87" i="11"/>
  <c r="P87" i="11" s="1"/>
  <c r="I90" i="11"/>
  <c r="F90" i="11"/>
  <c r="K93" i="11"/>
  <c r="P93" i="11"/>
  <c r="H105" i="11"/>
  <c r="G104" i="11"/>
  <c r="H104" i="11" s="1"/>
  <c r="N108" i="11"/>
  <c r="N107" i="11" s="1"/>
  <c r="P118" i="11"/>
  <c r="J120" i="11"/>
  <c r="K122" i="11"/>
  <c r="G123" i="11"/>
  <c r="H123" i="11" s="1"/>
  <c r="M124" i="11"/>
  <c r="L123" i="11"/>
  <c r="M123" i="11" s="1"/>
  <c r="O130" i="11"/>
  <c r="P130" i="11" s="1"/>
  <c r="H136" i="11"/>
  <c r="G135" i="11"/>
  <c r="H135" i="11" s="1"/>
  <c r="J140" i="11"/>
  <c r="H148" i="11"/>
  <c r="G147" i="11"/>
  <c r="K147" i="11" s="1"/>
  <c r="K165" i="11"/>
  <c r="J164" i="11"/>
  <c r="K164" i="11" s="1"/>
  <c r="J169" i="11"/>
  <c r="M177" i="11"/>
  <c r="M188" i="11"/>
  <c r="H190" i="11"/>
  <c r="J195" i="11"/>
  <c r="H202" i="11"/>
  <c r="P204" i="11"/>
  <c r="K207" i="11"/>
  <c r="J206" i="11"/>
  <c r="H207" i="11"/>
  <c r="G206" i="11"/>
  <c r="H206" i="11" s="1"/>
  <c r="K208" i="11"/>
  <c r="P213" i="11"/>
  <c r="N218" i="11"/>
  <c r="M225" i="11"/>
  <c r="L224" i="11"/>
  <c r="M224" i="11" s="1"/>
  <c r="H229" i="11"/>
  <c r="J239" i="11"/>
  <c r="P240" i="11"/>
  <c r="O239" i="11"/>
  <c r="P251" i="11"/>
  <c r="O250" i="11"/>
  <c r="G256" i="11"/>
  <c r="P257" i="11"/>
  <c r="O256" i="11"/>
  <c r="M265" i="11"/>
  <c r="L264" i="11"/>
  <c r="M264" i="11" s="1"/>
  <c r="M276" i="11"/>
  <c r="I275" i="11"/>
  <c r="I274" i="11" s="1"/>
  <c r="I273" i="11" s="1"/>
  <c r="J288" i="11"/>
  <c r="J281" i="11" s="1"/>
  <c r="H293" i="11"/>
  <c r="G292" i="11"/>
  <c r="K295" i="11"/>
  <c r="M315" i="11"/>
  <c r="L314" i="11"/>
  <c r="M316" i="11"/>
  <c r="H324" i="11"/>
  <c r="M329" i="11"/>
  <c r="K351" i="11"/>
  <c r="J348" i="11"/>
  <c r="P355" i="11"/>
  <c r="O354" i="11"/>
  <c r="I357" i="11"/>
  <c r="I356" i="11" s="1"/>
  <c r="H359" i="11"/>
  <c r="G358" i="11"/>
  <c r="K358" i="11" s="1"/>
  <c r="K369" i="11"/>
  <c r="J368" i="11"/>
  <c r="L372" i="11"/>
  <c r="M372" i="11" s="1"/>
  <c r="H385" i="11"/>
  <c r="H396" i="11"/>
  <c r="K396" i="11"/>
  <c r="J401" i="11"/>
  <c r="K402" i="11"/>
  <c r="K447" i="11"/>
  <c r="J445" i="11"/>
  <c r="I157" i="11"/>
  <c r="I156" i="11" s="1"/>
  <c r="I155" i="11" s="1"/>
  <c r="K159" i="11"/>
  <c r="F164" i="11"/>
  <c r="H165" i="11"/>
  <c r="H170" i="11"/>
  <c r="G169" i="11"/>
  <c r="N177" i="11"/>
  <c r="P178" i="11"/>
  <c r="F183" i="11"/>
  <c r="F182" i="11" s="1"/>
  <c r="F181" i="11" s="1"/>
  <c r="F180" i="11" s="1"/>
  <c r="M184" i="11"/>
  <c r="L183" i="11"/>
  <c r="H196" i="11"/>
  <c r="G195" i="11"/>
  <c r="M203" i="11"/>
  <c r="M208" i="11"/>
  <c r="L207" i="11"/>
  <c r="J218" i="11"/>
  <c r="P220" i="11"/>
  <c r="O219" i="11"/>
  <c r="I219" i="11"/>
  <c r="I218" i="11" s="1"/>
  <c r="I217" i="11" s="1"/>
  <c r="I210" i="11" s="1"/>
  <c r="M222" i="11"/>
  <c r="G247" i="11"/>
  <c r="K247" i="11" s="1"/>
  <c r="J246" i="11"/>
  <c r="P247" i="11"/>
  <c r="O246" i="11"/>
  <c r="K257" i="11"/>
  <c r="I261" i="11"/>
  <c r="I260" i="11" s="1"/>
  <c r="I253" i="11" s="1"/>
  <c r="I252" i="11" s="1"/>
  <c r="M262" i="11"/>
  <c r="J270" i="11"/>
  <c r="P269" i="11"/>
  <c r="O268" i="11"/>
  <c r="K276" i="11"/>
  <c r="M300" i="11"/>
  <c r="L299" i="11"/>
  <c r="N311" i="11"/>
  <c r="P312" i="11"/>
  <c r="H323" i="11"/>
  <c r="G322" i="11"/>
  <c r="K322" i="11" s="1"/>
  <c r="K323" i="11"/>
  <c r="M325" i="11"/>
  <c r="P337" i="11"/>
  <c r="O336" i="11"/>
  <c r="J336" i="11"/>
  <c r="P346" i="11"/>
  <c r="O345" i="11"/>
  <c r="P345" i="11" s="1"/>
  <c r="H351" i="11"/>
  <c r="F348" i="11"/>
  <c r="F335" i="11" s="1"/>
  <c r="F334" i="11" s="1"/>
  <c r="H362" i="11"/>
  <c r="G361" i="11"/>
  <c r="H361" i="11" s="1"/>
  <c r="G367" i="11"/>
  <c r="O379" i="11"/>
  <c r="P382" i="11"/>
  <c r="J384" i="11"/>
  <c r="O384" i="11"/>
  <c r="P384" i="11" s="1"/>
  <c r="P385" i="11"/>
  <c r="H497" i="11"/>
  <c r="K497" i="11"/>
  <c r="K12" i="11"/>
  <c r="M15" i="11"/>
  <c r="L14" i="11"/>
  <c r="P49" i="11"/>
  <c r="O47" i="11"/>
  <c r="K62" i="11"/>
  <c r="H73" i="11"/>
  <c r="G72" i="11"/>
  <c r="M80" i="11"/>
  <c r="K109" i="11"/>
  <c r="J108" i="11"/>
  <c r="N126" i="11"/>
  <c r="P126" i="11" s="1"/>
  <c r="P127" i="11"/>
  <c r="H141" i="11"/>
  <c r="G140" i="11"/>
  <c r="N146" i="11"/>
  <c r="P147" i="11"/>
  <c r="J8" i="11"/>
  <c r="O11" i="11"/>
  <c r="P14" i="11"/>
  <c r="O13" i="11"/>
  <c r="P13" i="11" s="1"/>
  <c r="J27" i="11"/>
  <c r="O28" i="11"/>
  <c r="H31" i="11"/>
  <c r="P40" i="11"/>
  <c r="H49" i="11"/>
  <c r="G47" i="11"/>
  <c r="J51" i="11"/>
  <c r="O61" i="11"/>
  <c r="P61" i="11" s="1"/>
  <c r="P65" i="11"/>
  <c r="O64" i="11"/>
  <c r="H78" i="11"/>
  <c r="M79" i="11"/>
  <c r="L78" i="11"/>
  <c r="M78" i="11" s="1"/>
  <c r="M87" i="11"/>
  <c r="G90" i="11"/>
  <c r="P98" i="11"/>
  <c r="O97" i="11"/>
  <c r="G120" i="11"/>
  <c r="P136" i="11"/>
  <c r="O135" i="11"/>
  <c r="F138" i="11"/>
  <c r="J146" i="11"/>
  <c r="L166" i="11"/>
  <c r="K178" i="11"/>
  <c r="J177" i="11"/>
  <c r="G212" i="11"/>
  <c r="K212" i="11" s="1"/>
  <c r="H213" i="11"/>
  <c r="M213" i="11"/>
  <c r="L212" i="11"/>
  <c r="G220" i="11"/>
  <c r="K221" i="11"/>
  <c r="M241" i="11"/>
  <c r="L240" i="11"/>
  <c r="L249" i="11"/>
  <c r="M249" i="11" s="1"/>
  <c r="G269" i="11"/>
  <c r="F275" i="11"/>
  <c r="F274" i="11" s="1"/>
  <c r="F273" i="11" s="1"/>
  <c r="H276" i="11"/>
  <c r="L286" i="11"/>
  <c r="M286" i="11" s="1"/>
  <c r="M287" i="11"/>
  <c r="P304" i="11"/>
  <c r="O303" i="11"/>
  <c r="M312" i="11"/>
  <c r="I311" i="11"/>
  <c r="I310" i="11" s="1"/>
  <c r="I309" i="11" s="1"/>
  <c r="I308" i="11" s="1"/>
  <c r="K317" i="11"/>
  <c r="J316" i="11"/>
  <c r="H355" i="11"/>
  <c r="G354" i="11"/>
  <c r="P359" i="11"/>
  <c r="O358" i="11"/>
  <c r="N396" i="11"/>
  <c r="N387" i="11" s="1"/>
  <c r="N378" i="11" s="1"/>
  <c r="P397" i="11"/>
  <c r="N401" i="11"/>
  <c r="N400" i="11" s="1"/>
  <c r="P405" i="11"/>
  <c r="K214" i="11"/>
  <c r="G228" i="11"/>
  <c r="K235" i="11"/>
  <c r="J233" i="11"/>
  <c r="H240" i="11"/>
  <c r="G239" i="11"/>
  <c r="F245" i="11"/>
  <c r="F244" i="11" s="1"/>
  <c r="F243" i="11" s="1"/>
  <c r="F253" i="11"/>
  <c r="F252" i="11" s="1"/>
  <c r="M257" i="11"/>
  <c r="N280" i="11"/>
  <c r="K287" i="11"/>
  <c r="L292" i="11"/>
  <c r="P293" i="11"/>
  <c r="O292" i="11"/>
  <c r="J302" i="11"/>
  <c r="H312" i="11"/>
  <c r="F321" i="11"/>
  <c r="F320" i="11" s="1"/>
  <c r="P323" i="11"/>
  <c r="O322" i="11"/>
  <c r="I336" i="11"/>
  <c r="I335" i="11" s="1"/>
  <c r="I334" i="11" s="1"/>
  <c r="I333" i="11" s="1"/>
  <c r="K347" i="11"/>
  <c r="H349" i="11"/>
  <c r="G348" i="11"/>
  <c r="L354" i="11"/>
  <c r="L358" i="11"/>
  <c r="N373" i="11"/>
  <c r="N372" i="11" s="1"/>
  <c r="F378" i="11"/>
  <c r="L379" i="11"/>
  <c r="M388" i="11"/>
  <c r="P408" i="11"/>
  <c r="O407" i="11"/>
  <c r="P407" i="11" s="1"/>
  <c r="H416" i="11"/>
  <c r="H434" i="11"/>
  <c r="G433" i="11"/>
  <c r="H433" i="11" s="1"/>
  <c r="H442" i="11"/>
  <c r="G441" i="11"/>
  <c r="P447" i="11"/>
  <c r="O445" i="11"/>
  <c r="J465" i="11"/>
  <c r="K466" i="11"/>
  <c r="I489" i="11"/>
  <c r="P551" i="11"/>
  <c r="P555" i="11"/>
  <c r="O554" i="11"/>
  <c r="P554" i="11" s="1"/>
  <c r="N281" i="11"/>
  <c r="H284" i="11"/>
  <c r="P289" i="11"/>
  <c r="O288" i="11"/>
  <c r="P299" i="11"/>
  <c r="H304" i="11"/>
  <c r="G303" i="11"/>
  <c r="H309" i="11"/>
  <c r="L309" i="11"/>
  <c r="K312" i="11"/>
  <c r="J311" i="11"/>
  <c r="M324" i="11"/>
  <c r="M328" i="11"/>
  <c r="L327" i="11"/>
  <c r="P340" i="11"/>
  <c r="G345" i="11"/>
  <c r="H345" i="11" s="1"/>
  <c r="M368" i="11"/>
  <c r="L367" i="11"/>
  <c r="P376" i="11"/>
  <c r="P380" i="11"/>
  <c r="P388" i="11"/>
  <c r="O387" i="11"/>
  <c r="H392" i="11"/>
  <c r="F400" i="11"/>
  <c r="K409" i="11"/>
  <c r="H411" i="11"/>
  <c r="K434" i="11"/>
  <c r="J433" i="11"/>
  <c r="H439" i="11"/>
  <c r="G438" i="11"/>
  <c r="H438" i="11" s="1"/>
  <c r="K439" i="11"/>
  <c r="K460" i="11"/>
  <c r="J459" i="11"/>
  <c r="O469" i="11"/>
  <c r="P469" i="11" s="1"/>
  <c r="P470" i="11"/>
  <c r="H507" i="11"/>
  <c r="K507" i="11"/>
  <c r="J513" i="11"/>
  <c r="K513" i="11" s="1"/>
  <c r="K515" i="11"/>
  <c r="M521" i="11"/>
  <c r="L520" i="11"/>
  <c r="K605" i="11"/>
  <c r="J604" i="11"/>
  <c r="K604" i="11" s="1"/>
  <c r="M221" i="11"/>
  <c r="L220" i="11"/>
  <c r="H251" i="11"/>
  <c r="G250" i="11"/>
  <c r="J255" i="11"/>
  <c r="G260" i="11"/>
  <c r="H260" i="11" s="1"/>
  <c r="M261" i="11"/>
  <c r="M270" i="11"/>
  <c r="L269" i="11"/>
  <c r="J278" i="11"/>
  <c r="K278" i="11" s="1"/>
  <c r="F281" i="11"/>
  <c r="K282" i="11"/>
  <c r="H289" i="11"/>
  <c r="G288" i="11"/>
  <c r="H288" i="11" s="1"/>
  <c r="J321" i="11"/>
  <c r="K339" i="11"/>
  <c r="G340" i="11"/>
  <c r="L348" i="11"/>
  <c r="P349" i="11"/>
  <c r="O348" i="11"/>
  <c r="P348" i="11" s="1"/>
  <c r="O373" i="11"/>
  <c r="M375" i="11"/>
  <c r="H382" i="11"/>
  <c r="K383" i="11"/>
  <c r="G384" i="11"/>
  <c r="M385" i="11"/>
  <c r="L384" i="11"/>
  <c r="M384" i="11" s="1"/>
  <c r="J387" i="11"/>
  <c r="K397" i="11"/>
  <c r="G401" i="11"/>
  <c r="L401" i="11"/>
  <c r="G408" i="11"/>
  <c r="K408" i="11" s="1"/>
  <c r="K442" i="11"/>
  <c r="H447" i="11"/>
  <c r="G445" i="11"/>
  <c r="M449" i="11"/>
  <c r="M450" i="11"/>
  <c r="O465" i="11"/>
  <c r="P466" i="11"/>
  <c r="J469" i="11"/>
  <c r="K469" i="11" s="1"/>
  <c r="K470" i="11"/>
  <c r="K375" i="11"/>
  <c r="J374" i="11"/>
  <c r="H388" i="11"/>
  <c r="G387" i="11"/>
  <c r="H394" i="11"/>
  <c r="M414" i="11"/>
  <c r="L413" i="11"/>
  <c r="M413" i="11" s="1"/>
  <c r="M415" i="11"/>
  <c r="K424" i="11"/>
  <c r="J423" i="11"/>
  <c r="F428" i="11"/>
  <c r="P441" i="11"/>
  <c r="H466" i="11"/>
  <c r="G465" i="11"/>
  <c r="N474" i="11"/>
  <c r="M481" i="11"/>
  <c r="L480" i="11"/>
  <c r="M480" i="11" s="1"/>
  <c r="H487" i="11"/>
  <c r="K487" i="11"/>
  <c r="K582" i="11"/>
  <c r="J581" i="11"/>
  <c r="K581" i="11" s="1"/>
  <c r="K389" i="11"/>
  <c r="M397" i="11"/>
  <c r="L396" i="11"/>
  <c r="K411" i="11"/>
  <c r="J410" i="11"/>
  <c r="P411" i="11"/>
  <c r="J415" i="11"/>
  <c r="P416" i="11"/>
  <c r="H418" i="11"/>
  <c r="H423" i="11"/>
  <c r="G422" i="11"/>
  <c r="H430" i="11"/>
  <c r="G429" i="11"/>
  <c r="P435" i="11"/>
  <c r="H457" i="11"/>
  <c r="I464" i="11"/>
  <c r="I463" i="11" s="1"/>
  <c r="I454" i="11" s="1"/>
  <c r="I453" i="11" s="1"/>
  <c r="M467" i="11"/>
  <c r="M479" i="11"/>
  <c r="L478" i="11"/>
  <c r="K492" i="11"/>
  <c r="J491" i="11"/>
  <c r="M501" i="11"/>
  <c r="H508" i="11"/>
  <c r="H517" i="11"/>
  <c r="G516" i="11"/>
  <c r="P418" i="11"/>
  <c r="P423" i="11"/>
  <c r="O422" i="11"/>
  <c r="P430" i="11"/>
  <c r="O429" i="11"/>
  <c r="H436" i="11"/>
  <c r="G435" i="11"/>
  <c r="M439" i="11"/>
  <c r="L438" i="11"/>
  <c r="M438" i="11" s="1"/>
  <c r="M442" i="11"/>
  <c r="L441" i="11"/>
  <c r="P457" i="11"/>
  <c r="N467" i="11"/>
  <c r="N464" i="11" s="1"/>
  <c r="N463" i="11" s="1"/>
  <c r="P468" i="11"/>
  <c r="M510" i="11"/>
  <c r="L509" i="11"/>
  <c r="M509" i="11" s="1"/>
  <c r="M530" i="11"/>
  <c r="L529" i="11"/>
  <c r="M529" i="11" s="1"/>
  <c r="M545" i="11"/>
  <c r="L544" i="11"/>
  <c r="M544" i="11" s="1"/>
  <c r="G410" i="11"/>
  <c r="H410" i="11" s="1"/>
  <c r="O410" i="11"/>
  <c r="P410" i="11" s="1"/>
  <c r="O415" i="11"/>
  <c r="L422" i="11"/>
  <c r="L429" i="11"/>
  <c r="O432" i="11"/>
  <c r="P432" i="11" s="1"/>
  <c r="L433" i="11"/>
  <c r="M433" i="11" s="1"/>
  <c r="L435" i="11"/>
  <c r="L445" i="11"/>
  <c r="J449" i="11"/>
  <c r="K449" i="11" s="1"/>
  <c r="L456" i="11"/>
  <c r="G459" i="11"/>
  <c r="H459" i="11" s="1"/>
  <c r="O459" i="11"/>
  <c r="P459" i="11" s="1"/>
  <c r="H482" i="11"/>
  <c r="P490" i="11"/>
  <c r="O489" i="11"/>
  <c r="K498" i="11"/>
  <c r="H504" i="11"/>
  <c r="G503" i="11"/>
  <c r="H503" i="11" s="1"/>
  <c r="G511" i="11"/>
  <c r="K511" i="11" s="1"/>
  <c r="H515" i="11"/>
  <c r="F513" i="11"/>
  <c r="F494" i="11" s="1"/>
  <c r="F493" i="11" s="1"/>
  <c r="K523" i="11"/>
  <c r="J522" i="11"/>
  <c r="J524" i="11"/>
  <c r="K524" i="11" s="1"/>
  <c r="P524" i="11"/>
  <c r="J526" i="11"/>
  <c r="G533" i="11"/>
  <c r="K536" i="11"/>
  <c r="F538" i="11"/>
  <c r="F532" i="11" s="1"/>
  <c r="H547" i="11"/>
  <c r="H549" i="11"/>
  <c r="G544" i="11"/>
  <c r="H544" i="11" s="1"/>
  <c r="H571" i="11"/>
  <c r="I593" i="11"/>
  <c r="I587" i="11" s="1"/>
  <c r="I586" i="11" s="1"/>
  <c r="M595" i="11"/>
  <c r="P635" i="11"/>
  <c r="O634" i="11"/>
  <c r="H490" i="11"/>
  <c r="G489" i="11"/>
  <c r="K489" i="11" s="1"/>
  <c r="H500" i="11"/>
  <c r="G499" i="11"/>
  <c r="H499" i="11" s="1"/>
  <c r="K510" i="11"/>
  <c r="J509" i="11"/>
  <c r="K509" i="11" s="1"/>
  <c r="H523" i="11"/>
  <c r="F522" i="11"/>
  <c r="H522" i="11" s="1"/>
  <c r="H527" i="11"/>
  <c r="G526" i="11"/>
  <c r="H526" i="11" s="1"/>
  <c r="L535" i="11"/>
  <c r="M536" i="11"/>
  <c r="M540" i="11"/>
  <c r="L539" i="11"/>
  <c r="G560" i="11"/>
  <c r="H561" i="11"/>
  <c r="H565" i="11"/>
  <c r="G564" i="11"/>
  <c r="K565" i="11"/>
  <c r="H618" i="11"/>
  <c r="K618" i="11"/>
  <c r="G614" i="11"/>
  <c r="M646" i="11"/>
  <c r="L645" i="11"/>
  <c r="L643" i="11"/>
  <c r="M466" i="11"/>
  <c r="L465" i="11"/>
  <c r="K468" i="11"/>
  <c r="J467" i="11"/>
  <c r="K467" i="11" s="1"/>
  <c r="M470" i="11"/>
  <c r="L469" i="11"/>
  <c r="M469" i="11" s="1"/>
  <c r="H477" i="11"/>
  <c r="P478" i="11"/>
  <c r="P480" i="11"/>
  <c r="H485" i="11"/>
  <c r="G484" i="11"/>
  <c r="H484" i="11" s="1"/>
  <c r="H510" i="11"/>
  <c r="P511" i="11"/>
  <c r="M517" i="11"/>
  <c r="L516" i="11"/>
  <c r="M516" i="11" s="1"/>
  <c r="P520" i="11"/>
  <c r="O519" i="11"/>
  <c r="P523" i="11"/>
  <c r="N522" i="11"/>
  <c r="P522" i="11" s="1"/>
  <c r="P527" i="11"/>
  <c r="O526" i="11"/>
  <c r="P526" i="11" s="1"/>
  <c r="J554" i="11"/>
  <c r="K555" i="11"/>
  <c r="N558" i="11"/>
  <c r="N557" i="11" s="1"/>
  <c r="P560" i="11"/>
  <c r="O559" i="11"/>
  <c r="K564" i="11"/>
  <c r="J563" i="11"/>
  <c r="J558" i="11" s="1"/>
  <c r="P571" i="11"/>
  <c r="M561" i="11"/>
  <c r="L560" i="11"/>
  <c r="K575" i="11"/>
  <c r="P579" i="11"/>
  <c r="O578" i="11"/>
  <c r="K603" i="11"/>
  <c r="J602" i="11"/>
  <c r="N607" i="11"/>
  <c r="K615" i="11"/>
  <c r="J614" i="11"/>
  <c r="H617" i="11"/>
  <c r="M620" i="11"/>
  <c r="K629" i="11"/>
  <c r="J628" i="11"/>
  <c r="L672" i="11"/>
  <c r="M673" i="11"/>
  <c r="P695" i="11"/>
  <c r="O694" i="11"/>
  <c r="H555" i="11"/>
  <c r="G554" i="11"/>
  <c r="H554" i="11" s="1"/>
  <c r="P565" i="11"/>
  <c r="O564" i="11"/>
  <c r="F577" i="11"/>
  <c r="F570" i="11" s="1"/>
  <c r="F569" i="11" s="1"/>
  <c r="F568" i="11" s="1"/>
  <c r="K589" i="11"/>
  <c r="J588" i="11"/>
  <c r="P590" i="11"/>
  <c r="H593" i="11"/>
  <c r="P593" i="11"/>
  <c r="O587" i="11"/>
  <c r="M593" i="11"/>
  <c r="L587" i="11"/>
  <c r="H598" i="11"/>
  <c r="M602" i="11"/>
  <c r="L601" i="11"/>
  <c r="M601" i="11" s="1"/>
  <c r="P614" i="11"/>
  <c r="O613" i="11"/>
  <c r="P617" i="11"/>
  <c r="P628" i="11"/>
  <c r="O627" i="11"/>
  <c r="M657" i="11"/>
  <c r="L656" i="11"/>
  <c r="J681" i="11"/>
  <c r="K682" i="11"/>
  <c r="H685" i="11"/>
  <c r="G684" i="11"/>
  <c r="K685" i="11"/>
  <c r="K542" i="11"/>
  <c r="J541" i="11"/>
  <c r="M572" i="11"/>
  <c r="L571" i="11"/>
  <c r="H579" i="11"/>
  <c r="G578" i="11"/>
  <c r="K578" i="11" s="1"/>
  <c r="M608" i="11"/>
  <c r="K621" i="11"/>
  <c r="J620" i="11"/>
  <c r="K620" i="11" s="1"/>
  <c r="I624" i="11"/>
  <c r="H647" i="11"/>
  <c r="G646" i="11"/>
  <c r="M652" i="11"/>
  <c r="L651" i="11"/>
  <c r="J545" i="11"/>
  <c r="J551" i="11"/>
  <c r="L554" i="11"/>
  <c r="M554" i="11" s="1"/>
  <c r="L564" i="11"/>
  <c r="L578" i="11"/>
  <c r="G597" i="11"/>
  <c r="H597" i="11" s="1"/>
  <c r="J608" i="11"/>
  <c r="I614" i="11"/>
  <c r="I613" i="11" s="1"/>
  <c r="I607" i="11" s="1"/>
  <c r="L627" i="11"/>
  <c r="G635" i="11"/>
  <c r="M635" i="11"/>
  <c r="J635" i="11"/>
  <c r="K636" i="11"/>
  <c r="J638" i="11"/>
  <c r="P640" i="11"/>
  <c r="O639" i="11"/>
  <c r="H651" i="11"/>
  <c r="P651" i="11"/>
  <c r="P657" i="11"/>
  <c r="O656" i="11"/>
  <c r="M667" i="11"/>
  <c r="L666" i="11"/>
  <c r="G676" i="11"/>
  <c r="I677" i="11"/>
  <c r="I676" i="11" s="1"/>
  <c r="I675" i="11" s="1"/>
  <c r="I650" i="11" s="1"/>
  <c r="M678" i="11"/>
  <c r="J693" i="11"/>
  <c r="M622" i="11"/>
  <c r="M639" i="11"/>
  <c r="L638" i="11"/>
  <c r="H640" i="11"/>
  <c r="G639" i="11"/>
  <c r="K639" i="11" s="1"/>
  <c r="J643" i="11"/>
  <c r="J645" i="11"/>
  <c r="P647" i="11"/>
  <c r="O646" i="11"/>
  <c r="J651" i="11"/>
  <c r="H656" i="11"/>
  <c r="G655" i="11"/>
  <c r="K657" i="11"/>
  <c r="J656" i="11"/>
  <c r="H671" i="11"/>
  <c r="G670" i="11"/>
  <c r="H670" i="11" s="1"/>
  <c r="M712" i="11"/>
  <c r="L710" i="11"/>
  <c r="H733" i="11"/>
  <c r="M734" i="11"/>
  <c r="L733" i="11"/>
  <c r="M741" i="11"/>
  <c r="L740" i="11"/>
  <c r="H630" i="11"/>
  <c r="M634" i="11"/>
  <c r="L633" i="11"/>
  <c r="F643" i="11"/>
  <c r="F645" i="11"/>
  <c r="F644" i="11" s="1"/>
  <c r="N643" i="11"/>
  <c r="N645" i="11"/>
  <c r="N644" i="11" s="1"/>
  <c r="M647" i="11"/>
  <c r="H652" i="11"/>
  <c r="H657" i="11"/>
  <c r="K679" i="11"/>
  <c r="J678" i="11"/>
  <c r="H695" i="11"/>
  <c r="H706" i="11"/>
  <c r="G705" i="11"/>
  <c r="K705" i="11" s="1"/>
  <c r="K706" i="11"/>
  <c r="P671" i="11"/>
  <c r="O670" i="11"/>
  <c r="P670" i="11" s="1"/>
  <c r="H679" i="11"/>
  <c r="F678" i="11"/>
  <c r="M681" i="11"/>
  <c r="L680" i="11"/>
  <c r="M680" i="11" s="1"/>
  <c r="M685" i="11"/>
  <c r="L684" i="11"/>
  <c r="K696" i="11"/>
  <c r="I695" i="11"/>
  <c r="I694" i="11" s="1"/>
  <c r="I693" i="11" s="1"/>
  <c r="I696" i="11"/>
  <c r="M696" i="11" s="1"/>
  <c r="F709" i="11"/>
  <c r="F708" i="11" s="1"/>
  <c r="F703" i="11" s="1"/>
  <c r="F702" i="11" s="1"/>
  <c r="J710" i="11"/>
  <c r="P715" i="11"/>
  <c r="O713" i="11"/>
  <c r="P725" i="11"/>
  <c r="O724" i="11"/>
  <c r="I731" i="11"/>
  <c r="P684" i="11"/>
  <c r="O683" i="11"/>
  <c r="P683" i="11" s="1"/>
  <c r="K728" i="11"/>
  <c r="J727" i="11"/>
  <c r="K727" i="11" s="1"/>
  <c r="F730" i="11"/>
  <c r="F729" i="11" s="1"/>
  <c r="F731" i="11"/>
  <c r="P679" i="11"/>
  <c r="N678" i="11"/>
  <c r="M695" i="11"/>
  <c r="L694" i="11"/>
  <c r="P710" i="11"/>
  <c r="H715" i="11"/>
  <c r="G713" i="11"/>
  <c r="K713" i="11" s="1"/>
  <c r="H725" i="11"/>
  <c r="G724" i="11"/>
  <c r="J704" i="11"/>
  <c r="K707" i="11"/>
  <c r="M715" i="11"/>
  <c r="I724" i="11"/>
  <c r="I723" i="11" s="1"/>
  <c r="I722" i="11" s="1"/>
  <c r="I721" i="11" s="1"/>
  <c r="M726" i="11"/>
  <c r="L725" i="11"/>
  <c r="H728" i="11"/>
  <c r="F727" i="11"/>
  <c r="F724" i="11" s="1"/>
  <c r="F723" i="11" s="1"/>
  <c r="F722" i="11" s="1"/>
  <c r="F721" i="11" s="1"/>
  <c r="P706" i="11"/>
  <c r="O705" i="11"/>
  <c r="P728" i="11"/>
  <c r="N727" i="11"/>
  <c r="N724" i="11" s="1"/>
  <c r="N723" i="11" s="1"/>
  <c r="N722" i="11" s="1"/>
  <c r="N721" i="11" s="1"/>
  <c r="N730" i="11"/>
  <c r="N729" i="11" s="1"/>
  <c r="N731" i="11"/>
  <c r="P733" i="11"/>
  <c r="O732" i="11"/>
  <c r="G735" i="11"/>
  <c r="H735" i="11" s="1"/>
  <c r="H736" i="11"/>
  <c r="J725" i="11"/>
  <c r="L727" i="11"/>
  <c r="M727" i="11" s="1"/>
  <c r="J733" i="11"/>
  <c r="K736" i="11"/>
  <c r="J740" i="11"/>
  <c r="G741" i="11"/>
  <c r="K741" i="11" s="1"/>
  <c r="O741" i="11"/>
  <c r="H742" i="11"/>
  <c r="O151" i="11" l="1"/>
  <c r="H83" i="11"/>
  <c r="R446" i="12"/>
  <c r="H535" i="12"/>
  <c r="I572" i="12"/>
  <c r="R626" i="12"/>
  <c r="O465" i="12"/>
  <c r="M485" i="12"/>
  <c r="I42" i="12"/>
  <c r="I41" i="12" s="1"/>
  <c r="J41" i="12" s="1"/>
  <c r="J182" i="12"/>
  <c r="R83" i="12"/>
  <c r="K239" i="12"/>
  <c r="K234" i="12" s="1"/>
  <c r="M39" i="12"/>
  <c r="M167" i="12"/>
  <c r="O307" i="12"/>
  <c r="L183" i="12"/>
  <c r="L182" i="12" s="1"/>
  <c r="M626" i="12"/>
  <c r="O82" i="12"/>
  <c r="F99" i="13"/>
  <c r="H152" i="13"/>
  <c r="K152" i="13"/>
  <c r="P810" i="12"/>
  <c r="P809" i="12" s="1"/>
  <c r="P808" i="12" s="1"/>
  <c r="P776" i="12" s="1"/>
  <c r="J744" i="12"/>
  <c r="M653" i="12"/>
  <c r="I427" i="12"/>
  <c r="J427" i="12" s="1"/>
  <c r="J351" i="12"/>
  <c r="J105" i="12"/>
  <c r="J48" i="12"/>
  <c r="K660" i="12"/>
  <c r="K640" i="12"/>
  <c r="K639" i="12" s="1"/>
  <c r="J18" i="12"/>
  <c r="K349" i="12"/>
  <c r="K340" i="12" s="1"/>
  <c r="K339" i="12" s="1"/>
  <c r="K338" i="12" s="1"/>
  <c r="R744" i="12"/>
  <c r="I611" i="12"/>
  <c r="J611" i="12" s="1"/>
  <c r="M428" i="12"/>
  <c r="O120" i="12"/>
  <c r="K810" i="12"/>
  <c r="K809" i="12" s="1"/>
  <c r="K808" i="12" s="1"/>
  <c r="K776" i="12" s="1"/>
  <c r="R82" i="12"/>
  <c r="H810" i="12"/>
  <c r="H809" i="12" s="1"/>
  <c r="H808" i="12" s="1"/>
  <c r="H812" i="12"/>
  <c r="H811" i="12" s="1"/>
  <c r="K113" i="12"/>
  <c r="O565" i="12"/>
  <c r="P254" i="12"/>
  <c r="P253" i="12" s="1"/>
  <c r="P160" i="12"/>
  <c r="P159" i="12" s="1"/>
  <c r="P140" i="12" s="1"/>
  <c r="M572" i="12"/>
  <c r="H239" i="12"/>
  <c r="H234" i="12" s="1"/>
  <c r="M34" i="12"/>
  <c r="P577" i="12"/>
  <c r="Q572" i="12"/>
  <c r="R572" i="12" s="1"/>
  <c r="M204" i="12"/>
  <c r="H15" i="12"/>
  <c r="M627" i="12"/>
  <c r="M573" i="12"/>
  <c r="R75" i="12"/>
  <c r="H385" i="12"/>
  <c r="H384" i="12" s="1"/>
  <c r="O574" i="12"/>
  <c r="J362" i="12"/>
  <c r="P291" i="12"/>
  <c r="P290" i="12" s="1"/>
  <c r="M110" i="12"/>
  <c r="P340" i="12"/>
  <c r="P339" i="12" s="1"/>
  <c r="P338" i="12" s="1"/>
  <c r="J218" i="12"/>
  <c r="P383" i="12"/>
  <c r="J137" i="12"/>
  <c r="H71" i="12"/>
  <c r="H70" i="12" s="1"/>
  <c r="H61" i="12" s="1"/>
  <c r="M48" i="12"/>
  <c r="R43" i="12"/>
  <c r="R54" i="12"/>
  <c r="O204" i="12"/>
  <c r="R129" i="12"/>
  <c r="N470" i="12"/>
  <c r="O470" i="12" s="1"/>
  <c r="M486" i="12"/>
  <c r="J59" i="12"/>
  <c r="J72" i="12"/>
  <c r="O519" i="12"/>
  <c r="H721" i="12"/>
  <c r="H716" i="12" s="1"/>
  <c r="H715" i="12" s="1"/>
  <c r="M342" i="12"/>
  <c r="L483" i="12"/>
  <c r="P475" i="11"/>
  <c r="L318" i="12"/>
  <c r="K160" i="12"/>
  <c r="K159" i="12" s="1"/>
  <c r="K140" i="12" s="1"/>
  <c r="O18" i="12"/>
  <c r="O431" i="13"/>
  <c r="P431" i="13" s="1"/>
  <c r="O388" i="13"/>
  <c r="O384" i="13" s="1"/>
  <c r="H248" i="13"/>
  <c r="P369" i="13"/>
  <c r="G49" i="13"/>
  <c r="M44" i="12"/>
  <c r="K510" i="12"/>
  <c r="K509" i="12" s="1"/>
  <c r="K481" i="12" s="1"/>
  <c r="H262" i="11"/>
  <c r="I427" i="11"/>
  <c r="I426" i="11" s="1"/>
  <c r="I425" i="11" s="1"/>
  <c r="H379" i="11"/>
  <c r="K261" i="11"/>
  <c r="I529" i="12"/>
  <c r="Q374" i="12"/>
  <c r="R374" i="12" s="1"/>
  <c r="P239" i="12"/>
  <c r="P234" i="12" s="1"/>
  <c r="J128" i="12"/>
  <c r="R130" i="12"/>
  <c r="K432" i="13"/>
  <c r="M329" i="13"/>
  <c r="P357" i="13"/>
  <c r="K93" i="13"/>
  <c r="F77" i="13"/>
  <c r="F70" i="13" s="1"/>
  <c r="K264" i="11"/>
  <c r="H278" i="11"/>
  <c r="N181" i="12"/>
  <c r="N180" i="12" s="1"/>
  <c r="Q224" i="12"/>
  <c r="R224" i="12" s="1"/>
  <c r="J129" i="12"/>
  <c r="K294" i="13"/>
  <c r="I203" i="13"/>
  <c r="M86" i="13"/>
  <c r="P195" i="13"/>
  <c r="P492" i="13"/>
  <c r="K255" i="12"/>
  <c r="K254" i="12" s="1"/>
  <c r="K253" i="12" s="1"/>
  <c r="I378" i="11"/>
  <c r="I371" i="11" s="1"/>
  <c r="I370" i="11" s="1"/>
  <c r="K298" i="12"/>
  <c r="K291" i="12" s="1"/>
  <c r="K290" i="12" s="1"/>
  <c r="M130" i="11"/>
  <c r="J342" i="12"/>
  <c r="M512" i="13"/>
  <c r="G183" i="13"/>
  <c r="H183" i="13" s="1"/>
  <c r="K84" i="11"/>
  <c r="O564" i="12"/>
  <c r="F333" i="11"/>
  <c r="G353" i="13"/>
  <c r="K232" i="13"/>
  <c r="K184" i="13"/>
  <c r="K265" i="13"/>
  <c r="M613" i="11"/>
  <c r="H534" i="12"/>
  <c r="F474" i="11"/>
  <c r="M402" i="11"/>
  <c r="L260" i="11"/>
  <c r="M260" i="11" s="1"/>
  <c r="P233" i="11"/>
  <c r="K534" i="12"/>
  <c r="H160" i="12"/>
  <c r="H159" i="12" s="1"/>
  <c r="H140" i="12" s="1"/>
  <c r="H354" i="13"/>
  <c r="P107" i="13"/>
  <c r="H832" i="12"/>
  <c r="H831" i="12" s="1"/>
  <c r="H830" i="12" s="1"/>
  <c r="H383" i="12"/>
  <c r="O25" i="12"/>
  <c r="R144" i="12"/>
  <c r="J280" i="11"/>
  <c r="P661" i="12"/>
  <c r="P660" i="12" s="1"/>
  <c r="P659" i="12" s="1"/>
  <c r="P658" i="12" s="1"/>
  <c r="Q47" i="12"/>
  <c r="R47" i="12" s="1"/>
  <c r="N264" i="13"/>
  <c r="N263" i="13" s="1"/>
  <c r="K158" i="13"/>
  <c r="N99" i="13"/>
  <c r="N70" i="13" s="1"/>
  <c r="K18" i="13"/>
  <c r="P91" i="12"/>
  <c r="P90" i="12" s="1"/>
  <c r="M681" i="12"/>
  <c r="O450" i="13"/>
  <c r="K463" i="13"/>
  <c r="K277" i="12"/>
  <c r="K276" i="12" s="1"/>
  <c r="M38" i="12"/>
  <c r="R839" i="12"/>
  <c r="K401" i="13"/>
  <c r="F498" i="13"/>
  <c r="H368" i="11"/>
  <c r="K292" i="11"/>
  <c r="N217" i="11"/>
  <c r="N210" i="11" s="1"/>
  <c r="N179" i="11" s="1"/>
  <c r="J17" i="12"/>
  <c r="L491" i="13"/>
  <c r="M491" i="13" s="1"/>
  <c r="N523" i="13"/>
  <c r="N516" i="13" s="1"/>
  <c r="H232" i="13"/>
  <c r="K121" i="11"/>
  <c r="G627" i="11"/>
  <c r="K438" i="11"/>
  <c r="M309" i="11"/>
  <c r="O563" i="12"/>
  <c r="K333" i="13"/>
  <c r="J828" i="12"/>
  <c r="J144" i="12"/>
  <c r="M310" i="11"/>
  <c r="H318" i="13"/>
  <c r="K151" i="13"/>
  <c r="M628" i="12"/>
  <c r="N454" i="11"/>
  <c r="N453" i="11" s="1"/>
  <c r="K461" i="11"/>
  <c r="K241" i="11"/>
  <c r="I224" i="12"/>
  <c r="I223" i="12" s="1"/>
  <c r="J223" i="12" s="1"/>
  <c r="L676" i="11"/>
  <c r="M677" i="11"/>
  <c r="H513" i="11"/>
  <c r="N815" i="12"/>
  <c r="J224" i="12"/>
  <c r="G21" i="13"/>
  <c r="H21" i="13" s="1"/>
  <c r="F290" i="11"/>
  <c r="I498" i="13"/>
  <c r="I490" i="13" s="1"/>
  <c r="K262" i="11"/>
  <c r="P640" i="12"/>
  <c r="P639" i="12" s="1"/>
  <c r="R641" i="12"/>
  <c r="F427" i="11"/>
  <c r="F426" i="11" s="1"/>
  <c r="F425" i="11" s="1"/>
  <c r="H387" i="11"/>
  <c r="M348" i="11"/>
  <c r="J291" i="11"/>
  <c r="K433" i="11"/>
  <c r="L407" i="11"/>
  <c r="M407" i="11" s="1"/>
  <c r="H346" i="11"/>
  <c r="K520" i="11"/>
  <c r="I116" i="11"/>
  <c r="I115" i="11" s="1"/>
  <c r="K505" i="11"/>
  <c r="K680" i="12"/>
  <c r="K679" i="12" s="1"/>
  <c r="K659" i="12" s="1"/>
  <c r="K658" i="12" s="1"/>
  <c r="O520" i="12"/>
  <c r="R642" i="12"/>
  <c r="P535" i="12"/>
  <c r="P534" i="12" s="1"/>
  <c r="J517" i="12"/>
  <c r="M96" i="12"/>
  <c r="M43" i="12"/>
  <c r="L37" i="12"/>
  <c r="O75" i="12"/>
  <c r="O79" i="12"/>
  <c r="H492" i="13"/>
  <c r="O209" i="13"/>
  <c r="F127" i="13"/>
  <c r="K64" i="13"/>
  <c r="M22" i="13"/>
  <c r="F9" i="13"/>
  <c r="P71" i="12"/>
  <c r="P70" i="12" s="1"/>
  <c r="O521" i="12"/>
  <c r="K196" i="12"/>
  <c r="K195" i="12" s="1"/>
  <c r="F613" i="11"/>
  <c r="F607" i="11" s="1"/>
  <c r="P516" i="11"/>
  <c r="K41" i="11"/>
  <c r="K84" i="13"/>
  <c r="N297" i="13"/>
  <c r="N296" i="13" s="1"/>
  <c r="P680" i="11"/>
  <c r="K695" i="11"/>
  <c r="G666" i="11"/>
  <c r="K666" i="11" s="1"/>
  <c r="N585" i="11"/>
  <c r="N584" i="11" s="1"/>
  <c r="N583" i="11" s="1"/>
  <c r="P467" i="11"/>
  <c r="O534" i="11"/>
  <c r="G519" i="11"/>
  <c r="M166" i="11"/>
  <c r="H373" i="11"/>
  <c r="M321" i="11"/>
  <c r="H41" i="11"/>
  <c r="I849" i="12"/>
  <c r="J849" i="12" s="1"/>
  <c r="M850" i="12"/>
  <c r="L721" i="12"/>
  <c r="L565" i="12"/>
  <c r="L564" i="12" s="1"/>
  <c r="N341" i="12"/>
  <c r="O341" i="12" s="1"/>
  <c r="L299" i="12"/>
  <c r="L298" i="12" s="1"/>
  <c r="I247" i="12"/>
  <c r="J247" i="12" s="1"/>
  <c r="J242" i="12"/>
  <c r="L91" i="12"/>
  <c r="L90" i="12" s="1"/>
  <c r="J44" i="12"/>
  <c r="I95" i="12"/>
  <c r="J95" i="12" s="1"/>
  <c r="O491" i="13"/>
  <c r="K326" i="13"/>
  <c r="F264" i="13"/>
  <c r="F263" i="13" s="1"/>
  <c r="K272" i="13"/>
  <c r="H218" i="13"/>
  <c r="H106" i="13"/>
  <c r="J157" i="13"/>
  <c r="K134" i="13"/>
  <c r="O522" i="12"/>
  <c r="M130" i="13"/>
  <c r="H602" i="11"/>
  <c r="O274" i="12"/>
  <c r="H153" i="11"/>
  <c r="G152" i="11"/>
  <c r="K152" i="11" s="1"/>
  <c r="M739" i="12"/>
  <c r="L738" i="12"/>
  <c r="M738" i="12" s="1"/>
  <c r="K667" i="11"/>
  <c r="H534" i="11"/>
  <c r="F519" i="11"/>
  <c r="F518" i="11" s="1"/>
  <c r="K416" i="11"/>
  <c r="L280" i="11"/>
  <c r="M280" i="11" s="1"/>
  <c r="K361" i="11"/>
  <c r="F319" i="11"/>
  <c r="H275" i="11"/>
  <c r="H183" i="11"/>
  <c r="K293" i="11"/>
  <c r="P107" i="11"/>
  <c r="M699" i="12"/>
  <c r="O586" i="12"/>
  <c r="M420" i="12"/>
  <c r="J477" i="12"/>
  <c r="M79" i="12"/>
  <c r="O236" i="12"/>
  <c r="O114" i="12"/>
  <c r="I75" i="12"/>
  <c r="J75" i="12" s="1"/>
  <c r="F383" i="13"/>
  <c r="F352" i="13"/>
  <c r="M369" i="13"/>
  <c r="I244" i="13"/>
  <c r="K270" i="13"/>
  <c r="I156" i="13"/>
  <c r="N127" i="13"/>
  <c r="H107" i="13"/>
  <c r="K198" i="13"/>
  <c r="I296" i="13"/>
  <c r="M229" i="12"/>
  <c r="H450" i="12"/>
  <c r="H442" i="12" s="1"/>
  <c r="P494" i="11"/>
  <c r="N427" i="11"/>
  <c r="N426" i="11" s="1"/>
  <c r="N425" i="11" s="1"/>
  <c r="J130" i="12"/>
  <c r="I290" i="11"/>
  <c r="P314" i="11"/>
  <c r="M490" i="12"/>
  <c r="K153" i="11"/>
  <c r="M25" i="12"/>
  <c r="I179" i="11"/>
  <c r="H40" i="11"/>
  <c r="K299" i="11"/>
  <c r="K331" i="11"/>
  <c r="M168" i="11"/>
  <c r="P315" i="11"/>
  <c r="K429" i="11"/>
  <c r="I14" i="13"/>
  <c r="M14" i="13" s="1"/>
  <c r="J190" i="12"/>
  <c r="I189" i="12"/>
  <c r="K534" i="11"/>
  <c r="J533" i="11"/>
  <c r="K533" i="11" s="1"/>
  <c r="K590" i="11"/>
  <c r="O212" i="12"/>
  <c r="N211" i="12"/>
  <c r="M46" i="11"/>
  <c r="L45" i="11"/>
  <c r="O327" i="11"/>
  <c r="P328" i="11"/>
  <c r="N701" i="11"/>
  <c r="J432" i="11"/>
  <c r="J651" i="12"/>
  <c r="P183" i="13"/>
  <c r="O207" i="12"/>
  <c r="N203" i="12"/>
  <c r="O203" i="12" s="1"/>
  <c r="H62" i="13"/>
  <c r="G61" i="13"/>
  <c r="P452" i="12"/>
  <c r="P451" i="12"/>
  <c r="P450" i="12" s="1"/>
  <c r="P442" i="12" s="1"/>
  <c r="O273" i="12"/>
  <c r="I71" i="11"/>
  <c r="M72" i="11"/>
  <c r="G587" i="11"/>
  <c r="O493" i="11"/>
  <c r="P493" i="11" s="1"/>
  <c r="N371" i="11"/>
  <c r="N370" i="11" s="1"/>
  <c r="M167" i="11"/>
  <c r="G20" i="11"/>
  <c r="F490" i="13"/>
  <c r="O231" i="13"/>
  <c r="P231" i="13" s="1"/>
  <c r="K21" i="13"/>
  <c r="K671" i="11"/>
  <c r="J670" i="11"/>
  <c r="K670" i="11" s="1"/>
  <c r="O260" i="11"/>
  <c r="P260" i="11" s="1"/>
  <c r="P261" i="11"/>
  <c r="M302" i="11"/>
  <c r="K171" i="13"/>
  <c r="H171" i="13"/>
  <c r="K104" i="11"/>
  <c r="O387" i="12"/>
  <c r="O386" i="12" s="1"/>
  <c r="G14" i="13"/>
  <c r="H14" i="13" s="1"/>
  <c r="M344" i="13"/>
  <c r="K216" i="12"/>
  <c r="K215" i="12" s="1"/>
  <c r="O199" i="12"/>
  <c r="O368" i="12"/>
  <c r="N367" i="12"/>
  <c r="J429" i="11"/>
  <c r="K430" i="11"/>
  <c r="M169" i="11"/>
  <c r="O379" i="12"/>
  <c r="K378" i="12"/>
  <c r="O100" i="11"/>
  <c r="P100" i="11" s="1"/>
  <c r="H659" i="12"/>
  <c r="H658" i="12" s="1"/>
  <c r="R543" i="12"/>
  <c r="N552" i="12"/>
  <c r="J16" i="12"/>
  <c r="K482" i="13"/>
  <c r="M467" i="13"/>
  <c r="P130" i="13"/>
  <c r="P186" i="13"/>
  <c r="L781" i="12"/>
  <c r="L780" i="12" s="1"/>
  <c r="L779" i="12" s="1"/>
  <c r="P667" i="11"/>
  <c r="O666" i="11"/>
  <c r="F473" i="11"/>
  <c r="F472" i="11" s="1"/>
  <c r="F452" i="11" s="1"/>
  <c r="G475" i="11"/>
  <c r="O543" i="11"/>
  <c r="P543" i="11" s="1"/>
  <c r="R128" i="12"/>
  <c r="M21" i="13"/>
  <c r="M303" i="11"/>
  <c r="R18" i="12"/>
  <c r="Q17" i="12"/>
  <c r="F585" i="11"/>
  <c r="F584" i="11" s="1"/>
  <c r="F583" i="11" s="1"/>
  <c r="M355" i="12"/>
  <c r="M29" i="12"/>
  <c r="R183" i="12"/>
  <c r="L127" i="13"/>
  <c r="M127" i="13" s="1"/>
  <c r="J197" i="13"/>
  <c r="R619" i="12"/>
  <c r="Q618" i="12"/>
  <c r="J388" i="13"/>
  <c r="J384" i="13" s="1"/>
  <c r="R476" i="12"/>
  <c r="Q475" i="12"/>
  <c r="I338" i="13"/>
  <c r="I337" i="13" s="1"/>
  <c r="K387" i="11"/>
  <c r="K459" i="11"/>
  <c r="M336" i="11"/>
  <c r="F113" i="13"/>
  <c r="F112" i="13" s="1"/>
  <c r="N77" i="13"/>
  <c r="P49" i="13"/>
  <c r="P511" i="12"/>
  <c r="P510" i="12"/>
  <c r="P509" i="12" s="1"/>
  <c r="P481" i="12" s="1"/>
  <c r="M83" i="12"/>
  <c r="I82" i="12"/>
  <c r="O190" i="12"/>
  <c r="N189" i="12"/>
  <c r="M705" i="11"/>
  <c r="I704" i="11"/>
  <c r="K65" i="11"/>
  <c r="J64" i="11"/>
  <c r="K64" i="11" s="1"/>
  <c r="P541" i="11"/>
  <c r="O540" i="11"/>
  <c r="G732" i="11"/>
  <c r="K597" i="11"/>
  <c r="P396" i="11"/>
  <c r="G330" i="11"/>
  <c r="H348" i="11"/>
  <c r="J157" i="11"/>
  <c r="H577" i="12"/>
  <c r="K71" i="12"/>
  <c r="K70" i="12" s="1"/>
  <c r="R182" i="12"/>
  <c r="P388" i="13"/>
  <c r="N156" i="13"/>
  <c r="K183" i="13"/>
  <c r="K24" i="12"/>
  <c r="K23" i="12" s="1"/>
  <c r="K22" i="12" s="1"/>
  <c r="K15" i="12" s="1"/>
  <c r="R335" i="12"/>
  <c r="Q334" i="12"/>
  <c r="H337" i="11"/>
  <c r="K337" i="11"/>
  <c r="I434" i="12"/>
  <c r="M435" i="12"/>
  <c r="J379" i="11"/>
  <c r="K379" i="11" s="1"/>
  <c r="P544" i="11"/>
  <c r="M51" i="11"/>
  <c r="L50" i="11"/>
  <c r="M50" i="11" s="1"/>
  <c r="P727" i="11"/>
  <c r="P387" i="11"/>
  <c r="I307" i="11"/>
  <c r="F179" i="11"/>
  <c r="J842" i="12"/>
  <c r="R244" i="12"/>
  <c r="H491" i="13"/>
  <c r="O703" i="12"/>
  <c r="H328" i="11"/>
  <c r="G327" i="11"/>
  <c r="K328" i="11"/>
  <c r="M57" i="11"/>
  <c r="L56" i="11"/>
  <c r="M56" i="11" s="1"/>
  <c r="N113" i="13"/>
  <c r="N112" i="13" s="1"/>
  <c r="M504" i="13"/>
  <c r="L503" i="13"/>
  <c r="H488" i="13"/>
  <c r="K488" i="13"/>
  <c r="J449" i="13"/>
  <c r="F435" i="13"/>
  <c r="F434" i="13" s="1"/>
  <c r="F412" i="13" s="1"/>
  <c r="H439" i="13"/>
  <c r="H534" i="13"/>
  <c r="G533" i="13"/>
  <c r="H533" i="13" s="1"/>
  <c r="J518" i="13"/>
  <c r="K521" i="13"/>
  <c r="K512" i="13"/>
  <c r="J511" i="13"/>
  <c r="J498" i="13" s="1"/>
  <c r="P537" i="13"/>
  <c r="O536" i="13"/>
  <c r="P536" i="13" s="1"/>
  <c r="H528" i="13"/>
  <c r="F527" i="13"/>
  <c r="K530" i="13"/>
  <c r="M475" i="13"/>
  <c r="M476" i="13"/>
  <c r="L431" i="13"/>
  <c r="M431" i="13" s="1"/>
  <c r="M432" i="13"/>
  <c r="L435" i="13"/>
  <c r="M436" i="13"/>
  <c r="P476" i="13"/>
  <c r="O475" i="13"/>
  <c r="L455" i="13"/>
  <c r="I456" i="13"/>
  <c r="I455" i="13" s="1"/>
  <c r="I448" i="13" s="1"/>
  <c r="P435" i="13"/>
  <c r="N413" i="13"/>
  <c r="N412" i="13" s="1"/>
  <c r="O443" i="13"/>
  <c r="P443" i="13" s="1"/>
  <c r="P444" i="13"/>
  <c r="O413" i="13"/>
  <c r="P397" i="13"/>
  <c r="O396" i="13"/>
  <c r="O383" i="13" s="1"/>
  <c r="J404" i="13"/>
  <c r="K405" i="13"/>
  <c r="M391" i="13"/>
  <c r="L388" i="13"/>
  <c r="M388" i="13" s="1"/>
  <c r="L396" i="13"/>
  <c r="M396" i="13" s="1"/>
  <c r="H353" i="13"/>
  <c r="L338" i="13"/>
  <c r="G357" i="13"/>
  <c r="H357" i="13" s="1"/>
  <c r="K369" i="13"/>
  <c r="H369" i="13"/>
  <c r="M248" i="13"/>
  <c r="L245" i="13"/>
  <c r="P354" i="13"/>
  <c r="M298" i="13"/>
  <c r="L297" i="13"/>
  <c r="F297" i="13"/>
  <c r="F296" i="13" s="1"/>
  <c r="P294" i="13"/>
  <c r="O293" i="13"/>
  <c r="P293" i="13" s="1"/>
  <c r="H100" i="13"/>
  <c r="G99" i="13"/>
  <c r="H99" i="13" s="1"/>
  <c r="P272" i="13"/>
  <c r="O264" i="13"/>
  <c r="K274" i="13"/>
  <c r="M204" i="13"/>
  <c r="P157" i="13"/>
  <c r="O156" i="13"/>
  <c r="P338" i="13"/>
  <c r="F203" i="13"/>
  <c r="F155" i="13" s="1"/>
  <c r="I155" i="13"/>
  <c r="P128" i="13"/>
  <c r="O127" i="13"/>
  <c r="I70" i="13"/>
  <c r="P11" i="13"/>
  <c r="K101" i="13"/>
  <c r="J100" i="13"/>
  <c r="P192" i="13"/>
  <c r="J127" i="13"/>
  <c r="J113" i="13" s="1"/>
  <c r="G78" i="13"/>
  <c r="H81" i="13"/>
  <c r="K59" i="13"/>
  <c r="J58" i="13"/>
  <c r="K58" i="13" s="1"/>
  <c r="K50" i="13"/>
  <c r="J49" i="13"/>
  <c r="K43" i="13"/>
  <c r="H43" i="13"/>
  <c r="L231" i="13"/>
  <c r="M231" i="13" s="1"/>
  <c r="P101" i="13"/>
  <c r="J71" i="13"/>
  <c r="O21" i="13"/>
  <c r="P21" i="13" s="1"/>
  <c r="M519" i="13"/>
  <c r="L518" i="13"/>
  <c r="H537" i="13"/>
  <c r="G536" i="13"/>
  <c r="H536" i="13" s="1"/>
  <c r="P525" i="13"/>
  <c r="O524" i="13"/>
  <c r="P512" i="13"/>
  <c r="O511" i="13"/>
  <c r="P511" i="13" s="1"/>
  <c r="P503" i="13"/>
  <c r="K499" i="13"/>
  <c r="K472" i="13"/>
  <c r="J471" i="13"/>
  <c r="J455" i="13"/>
  <c r="M472" i="13"/>
  <c r="L471" i="13"/>
  <c r="M471" i="13" s="1"/>
  <c r="H468" i="13"/>
  <c r="G467" i="13"/>
  <c r="K467" i="13" s="1"/>
  <c r="H461" i="13"/>
  <c r="G456" i="13"/>
  <c r="K456" i="13" s="1"/>
  <c r="G434" i="13"/>
  <c r="H476" i="13"/>
  <c r="G475" i="13"/>
  <c r="M466" i="13"/>
  <c r="K444" i="13"/>
  <c r="J443" i="13"/>
  <c r="G385" i="13"/>
  <c r="H386" i="13"/>
  <c r="P491" i="13"/>
  <c r="P384" i="13"/>
  <c r="H432" i="13"/>
  <c r="G431" i="13"/>
  <c r="H342" i="13"/>
  <c r="G339" i="13"/>
  <c r="K342" i="13"/>
  <c r="G379" i="13"/>
  <c r="H380" i="13"/>
  <c r="J297" i="13"/>
  <c r="P380" i="13"/>
  <c r="O379" i="13"/>
  <c r="P379" i="13" s="1"/>
  <c r="F337" i="13"/>
  <c r="H294" i="13"/>
  <c r="G293" i="13"/>
  <c r="H293" i="13" s="1"/>
  <c r="H272" i="13"/>
  <c r="G264" i="13"/>
  <c r="P298" i="13"/>
  <c r="O297" i="13"/>
  <c r="H224" i="13"/>
  <c r="G223" i="13"/>
  <c r="H223" i="13" s="1"/>
  <c r="K193" i="13"/>
  <c r="J192" i="13"/>
  <c r="K192" i="13" s="1"/>
  <c r="L183" i="13"/>
  <c r="M183" i="13" s="1"/>
  <c r="M186" i="13"/>
  <c r="K114" i="13"/>
  <c r="P344" i="13"/>
  <c r="P252" i="13"/>
  <c r="O245" i="13"/>
  <c r="J264" i="13"/>
  <c r="K107" i="13"/>
  <c r="J106" i="13"/>
  <c r="K106" i="13" s="1"/>
  <c r="M114" i="13"/>
  <c r="L113" i="13"/>
  <c r="G72" i="13"/>
  <c r="K72" i="13" s="1"/>
  <c r="H73" i="13"/>
  <c r="H11" i="13"/>
  <c r="G157" i="13"/>
  <c r="K163" i="13"/>
  <c r="H163" i="13"/>
  <c r="P95" i="13"/>
  <c r="O86" i="13"/>
  <c r="L9" i="13"/>
  <c r="H95" i="13"/>
  <c r="H86" i="13" s="1"/>
  <c r="G86" i="13"/>
  <c r="K79" i="13"/>
  <c r="K73" i="13"/>
  <c r="K11" i="13"/>
  <c r="M531" i="13"/>
  <c r="L530" i="13"/>
  <c r="K525" i="13"/>
  <c r="J524" i="13"/>
  <c r="O518" i="13"/>
  <c r="H525" i="13"/>
  <c r="G524" i="13"/>
  <c r="H512" i="13"/>
  <c r="G511" i="13"/>
  <c r="H511" i="13" s="1"/>
  <c r="P461" i="13"/>
  <c r="O456" i="13"/>
  <c r="H453" i="13"/>
  <c r="G450" i="13"/>
  <c r="L413" i="13"/>
  <c r="M414" i="13"/>
  <c r="J466" i="13"/>
  <c r="L450" i="13"/>
  <c r="H404" i="13"/>
  <c r="M385" i="13"/>
  <c r="I465" i="13"/>
  <c r="H415" i="13"/>
  <c r="G414" i="13"/>
  <c r="K418" i="13"/>
  <c r="J414" i="13"/>
  <c r="H405" i="13"/>
  <c r="K380" i="13"/>
  <c r="L353" i="13"/>
  <c r="M354" i="13"/>
  <c r="J329" i="13"/>
  <c r="K366" i="13"/>
  <c r="K340" i="13"/>
  <c r="J339" i="13"/>
  <c r="M357" i="13"/>
  <c r="H333" i="13"/>
  <c r="G329" i="13"/>
  <c r="H329" i="13" s="1"/>
  <c r="H254" i="13"/>
  <c r="G245" i="13"/>
  <c r="J318" i="13"/>
  <c r="H298" i="13"/>
  <c r="G297" i="13"/>
  <c r="H210" i="13"/>
  <c r="G209" i="13"/>
  <c r="P330" i="13"/>
  <c r="O329" i="13"/>
  <c r="P329" i="13" s="1"/>
  <c r="K261" i="13"/>
  <c r="J256" i="13"/>
  <c r="K218" i="13"/>
  <c r="M157" i="13"/>
  <c r="M101" i="13"/>
  <c r="L100" i="13"/>
  <c r="M256" i="13"/>
  <c r="M210" i="13"/>
  <c r="K313" i="13"/>
  <c r="K224" i="13"/>
  <c r="J223" i="13"/>
  <c r="K223" i="13" s="1"/>
  <c r="J209" i="13"/>
  <c r="G197" i="13"/>
  <c r="H197" i="13" s="1"/>
  <c r="H198" i="13"/>
  <c r="J245" i="13"/>
  <c r="K248" i="13"/>
  <c r="K75" i="13"/>
  <c r="K83" i="13"/>
  <c r="O54" i="13"/>
  <c r="J9" i="13"/>
  <c r="H128" i="13"/>
  <c r="G127" i="13"/>
  <c r="H127" i="13" s="1"/>
  <c r="L58" i="13"/>
  <c r="M59" i="13"/>
  <c r="M50" i="13"/>
  <c r="L49" i="13"/>
  <c r="O14" i="13"/>
  <c r="P14" i="13" s="1"/>
  <c r="K353" i="13"/>
  <c r="J352" i="13"/>
  <c r="O72" i="13"/>
  <c r="P73" i="13"/>
  <c r="M11" i="13"/>
  <c r="K22" i="13"/>
  <c r="K537" i="13"/>
  <c r="J536" i="13"/>
  <c r="H518" i="13"/>
  <c r="G517" i="13"/>
  <c r="H517" i="13" s="1"/>
  <c r="K528" i="13"/>
  <c r="J527" i="13"/>
  <c r="K527" i="13" s="1"/>
  <c r="H509" i="13"/>
  <c r="G503" i="13"/>
  <c r="K492" i="13"/>
  <c r="J491" i="13"/>
  <c r="O466" i="13"/>
  <c r="P467" i="13"/>
  <c r="H401" i="13"/>
  <c r="G396" i="13"/>
  <c r="H396" i="13" s="1"/>
  <c r="N404" i="13"/>
  <c r="P405" i="13"/>
  <c r="M380" i="13"/>
  <c r="L379" i="13"/>
  <c r="M379" i="13" s="1"/>
  <c r="H345" i="13"/>
  <c r="G344" i="13"/>
  <c r="H344" i="13" s="1"/>
  <c r="K345" i="13"/>
  <c r="J344" i="13"/>
  <c r="P353" i="13"/>
  <c r="L264" i="13"/>
  <c r="N352" i="13"/>
  <c r="N337" i="13" s="1"/>
  <c r="O256" i="13"/>
  <c r="P256" i="13" s="1"/>
  <c r="P259" i="13"/>
  <c r="K276" i="13"/>
  <c r="N209" i="13"/>
  <c r="N203" i="13" s="1"/>
  <c r="N155" i="13" s="1"/>
  <c r="M107" i="13"/>
  <c r="L106" i="13"/>
  <c r="M106" i="13" s="1"/>
  <c r="P100" i="13"/>
  <c r="O99" i="13"/>
  <c r="G256" i="13"/>
  <c r="H256" i="13" s="1"/>
  <c r="H259" i="13"/>
  <c r="K231" i="13"/>
  <c r="K210" i="13"/>
  <c r="K117" i="13"/>
  <c r="L77" i="13"/>
  <c r="M78" i="13"/>
  <c r="K254" i="13"/>
  <c r="K204" i="13"/>
  <c r="H101" i="13"/>
  <c r="J78" i="13"/>
  <c r="K81" i="13"/>
  <c r="L71" i="13"/>
  <c r="M71" i="13" s="1"/>
  <c r="M72" i="13"/>
  <c r="H56" i="13"/>
  <c r="G55" i="13"/>
  <c r="K55" i="13" s="1"/>
  <c r="L192" i="13"/>
  <c r="M192" i="13" s="1"/>
  <c r="M193" i="13"/>
  <c r="G48" i="13"/>
  <c r="H49" i="13"/>
  <c r="K130" i="13"/>
  <c r="J86" i="13"/>
  <c r="K86" i="13" s="1"/>
  <c r="R834" i="12"/>
  <c r="Q833" i="12"/>
  <c r="R833" i="12" s="1"/>
  <c r="O800" i="12"/>
  <c r="N799" i="12"/>
  <c r="J753" i="12"/>
  <c r="I752" i="12"/>
  <c r="O722" i="12"/>
  <c r="N721" i="12"/>
  <c r="O721" i="12" s="1"/>
  <c r="M645" i="12"/>
  <c r="L642" i="12"/>
  <c r="K591" i="12"/>
  <c r="K590" i="12" s="1"/>
  <c r="K589" i="12" s="1"/>
  <c r="K577" i="12" s="1"/>
  <c r="J537" i="12"/>
  <c r="J505" i="12"/>
  <c r="I504" i="12"/>
  <c r="M504" i="12" s="1"/>
  <c r="N542" i="12"/>
  <c r="O543" i="12"/>
  <c r="N489" i="12"/>
  <c r="O493" i="12"/>
  <c r="J465" i="12"/>
  <c r="I464" i="12"/>
  <c r="M464" i="12" s="1"/>
  <c r="O464" i="12"/>
  <c r="N463" i="12"/>
  <c r="N625" i="12"/>
  <c r="O626" i="12"/>
  <c r="R559" i="12"/>
  <c r="Q552" i="12"/>
  <c r="M350" i="12"/>
  <c r="L349" i="12"/>
  <c r="I368" i="12"/>
  <c r="M368" i="12" s="1"/>
  <c r="J369" i="12"/>
  <c r="R218" i="12"/>
  <c r="Q217" i="12"/>
  <c r="O144" i="12"/>
  <c r="L143" i="12"/>
  <c r="M144" i="12"/>
  <c r="J13" i="12"/>
  <c r="I12" i="12"/>
  <c r="I216" i="12"/>
  <c r="J217" i="12"/>
  <c r="O72" i="12"/>
  <c r="M842" i="12"/>
  <c r="L841" i="12"/>
  <c r="L833" i="12"/>
  <c r="R816" i="12"/>
  <c r="Q815" i="12"/>
  <c r="Q810" i="12" s="1"/>
  <c r="J826" i="12"/>
  <c r="I825" i="12"/>
  <c r="J825" i="12" s="1"/>
  <c r="Q792" i="12"/>
  <c r="R793" i="12"/>
  <c r="J793" i="12"/>
  <c r="I792" i="12"/>
  <c r="M793" i="12"/>
  <c r="M835" i="12"/>
  <c r="R753" i="12"/>
  <c r="Q752" i="12"/>
  <c r="O792" i="12"/>
  <c r="N791" i="12"/>
  <c r="R723" i="12"/>
  <c r="Q722" i="12"/>
  <c r="I737" i="12"/>
  <c r="J738" i="12"/>
  <c r="J703" i="12"/>
  <c r="I702" i="12"/>
  <c r="M702" i="12" s="1"/>
  <c r="O827" i="12"/>
  <c r="N826" i="12"/>
  <c r="M839" i="12"/>
  <c r="M849" i="12"/>
  <c r="L848" i="12"/>
  <c r="J841" i="12"/>
  <c r="L789" i="12"/>
  <c r="O772" i="12"/>
  <c r="N771" i="12"/>
  <c r="R827" i="12"/>
  <c r="Q826" i="12"/>
  <c r="J819" i="12"/>
  <c r="I804" i="12"/>
  <c r="J805" i="12"/>
  <c r="L753" i="12"/>
  <c r="M799" i="12"/>
  <c r="L798" i="12"/>
  <c r="O754" i="12"/>
  <c r="N753" i="12"/>
  <c r="N717" i="12"/>
  <c r="O718" i="12"/>
  <c r="J685" i="12"/>
  <c r="M685" i="12"/>
  <c r="M713" i="12"/>
  <c r="L712" i="12"/>
  <c r="M712" i="12" s="1"/>
  <c r="Q680" i="12"/>
  <c r="L771" i="12"/>
  <c r="L744" i="12"/>
  <c r="N679" i="12"/>
  <c r="R625" i="12"/>
  <c r="Q624" i="12"/>
  <c r="Q718" i="12"/>
  <c r="R719" i="12"/>
  <c r="H781" i="12"/>
  <c r="H780" i="12" s="1"/>
  <c r="H779" i="12" s="1"/>
  <c r="H778" i="12" s="1"/>
  <c r="H777" i="12" s="1"/>
  <c r="J786" i="12"/>
  <c r="L717" i="12"/>
  <c r="J709" i="12"/>
  <c r="M693" i="12"/>
  <c r="O666" i="12"/>
  <c r="N661" i="12"/>
  <c r="J586" i="12"/>
  <c r="I585" i="12"/>
  <c r="R666" i="12"/>
  <c r="Q661" i="12"/>
  <c r="N642" i="12"/>
  <c r="O645" i="12"/>
  <c r="L482" i="12"/>
  <c r="J687" i="12"/>
  <c r="J593" i="12"/>
  <c r="I592" i="12"/>
  <c r="N484" i="12"/>
  <c r="O484" i="12" s="1"/>
  <c r="O485" i="12"/>
  <c r="O585" i="12"/>
  <c r="N584" i="12"/>
  <c r="N561" i="12"/>
  <c r="O561" i="12" s="1"/>
  <c r="O562" i="12"/>
  <c r="H511" i="12"/>
  <c r="H510" i="12"/>
  <c r="H509" i="12" s="1"/>
  <c r="H481" i="12" s="1"/>
  <c r="Q464" i="12"/>
  <c r="R465" i="12"/>
  <c r="I552" i="12"/>
  <c r="J559" i="12"/>
  <c r="M507" i="12"/>
  <c r="J453" i="12"/>
  <c r="I451" i="12"/>
  <c r="I452" i="12"/>
  <c r="J452" i="12" s="1"/>
  <c r="Q488" i="12"/>
  <c r="R489" i="12"/>
  <c r="M691" i="12"/>
  <c r="J691" i="12"/>
  <c r="L551" i="12"/>
  <c r="O427" i="12"/>
  <c r="N426" i="12"/>
  <c r="I571" i="12"/>
  <c r="M571" i="12" s="1"/>
  <c r="J572" i="12"/>
  <c r="R445" i="12"/>
  <c r="Q444" i="12"/>
  <c r="M408" i="12"/>
  <c r="M402" i="12"/>
  <c r="L401" i="12"/>
  <c r="N276" i="12"/>
  <c r="O276" i="12" s="1"/>
  <c r="O277" i="12"/>
  <c r="J471" i="12"/>
  <c r="I470" i="12"/>
  <c r="J470" i="12" s="1"/>
  <c r="H298" i="12"/>
  <c r="H291" i="12" s="1"/>
  <c r="H290" i="12" s="1"/>
  <c r="L276" i="12"/>
  <c r="I650" i="12"/>
  <c r="N445" i="12"/>
  <c r="O446" i="12"/>
  <c r="I413" i="12"/>
  <c r="J414" i="12"/>
  <c r="N386" i="12"/>
  <c r="J316" i="12"/>
  <c r="J307" i="12" s="1"/>
  <c r="R299" i="12"/>
  <c r="I287" i="12"/>
  <c r="M287" i="12" s="1"/>
  <c r="J288" i="12"/>
  <c r="Q273" i="12"/>
  <c r="R273" i="12" s="1"/>
  <c r="R274" i="12"/>
  <c r="M374" i="12"/>
  <c r="L373" i="12"/>
  <c r="R247" i="12"/>
  <c r="Q246" i="12"/>
  <c r="J199" i="12"/>
  <c r="I198" i="12"/>
  <c r="O156" i="12"/>
  <c r="N155" i="12"/>
  <c r="O155" i="12" s="1"/>
  <c r="J619" i="12"/>
  <c r="L426" i="12"/>
  <c r="M390" i="12"/>
  <c r="M336" i="12"/>
  <c r="I335" i="12"/>
  <c r="J336" i="12"/>
  <c r="J204" i="12"/>
  <c r="I203" i="12"/>
  <c r="J476" i="12"/>
  <c r="I475" i="12"/>
  <c r="M451" i="12"/>
  <c r="J446" i="12"/>
  <c r="I445" i="12"/>
  <c r="M446" i="12"/>
  <c r="O408" i="12"/>
  <c r="M388" i="12"/>
  <c r="J388" i="12"/>
  <c r="R316" i="12"/>
  <c r="R307" i="12"/>
  <c r="L256" i="12"/>
  <c r="L247" i="12"/>
  <c r="M248" i="12"/>
  <c r="R241" i="12"/>
  <c r="Q240" i="12"/>
  <c r="R240" i="12" s="1"/>
  <c r="I235" i="12"/>
  <c r="J235" i="12" s="1"/>
  <c r="J236" i="12"/>
  <c r="N224" i="12"/>
  <c r="N223" i="12" s="1"/>
  <c r="O223" i="12" s="1"/>
  <c r="O229" i="12"/>
  <c r="O224" i="12" s="1"/>
  <c r="L170" i="12"/>
  <c r="J163" i="12"/>
  <c r="I162" i="12"/>
  <c r="R413" i="12"/>
  <c r="Q407" i="12"/>
  <c r="R407" i="12" s="1"/>
  <c r="N171" i="12"/>
  <c r="J125" i="12"/>
  <c r="I124" i="12"/>
  <c r="M125" i="12"/>
  <c r="N42" i="12"/>
  <c r="O43" i="12"/>
  <c r="M242" i="12"/>
  <c r="L241" i="12"/>
  <c r="O433" i="12"/>
  <c r="N432" i="12"/>
  <c r="O432" i="12" s="1"/>
  <c r="L327" i="12"/>
  <c r="M328" i="12"/>
  <c r="Q223" i="12"/>
  <c r="R223" i="12" s="1"/>
  <c r="R181" i="12"/>
  <c r="Q180" i="12"/>
  <c r="J156" i="12"/>
  <c r="I155" i="12"/>
  <c r="M155" i="12" s="1"/>
  <c r="J136" i="12"/>
  <c r="I135" i="12"/>
  <c r="M65" i="12"/>
  <c r="J493" i="12"/>
  <c r="I489" i="12"/>
  <c r="M199" i="12"/>
  <c r="N113" i="12"/>
  <c r="M98" i="12"/>
  <c r="N71" i="12"/>
  <c r="O24" i="12"/>
  <c r="N23" i="12"/>
  <c r="Q70" i="12"/>
  <c r="M136" i="12"/>
  <c r="L135" i="12"/>
  <c r="M62" i="12"/>
  <c r="R136" i="12"/>
  <c r="Q135" i="12"/>
  <c r="O115" i="12"/>
  <c r="H203" i="12"/>
  <c r="H196" i="12" s="1"/>
  <c r="H195" i="12" s="1"/>
  <c r="H179" i="12" s="1"/>
  <c r="M105" i="12"/>
  <c r="O12" i="12"/>
  <c r="N11" i="12"/>
  <c r="R849" i="12"/>
  <c r="Q848" i="12"/>
  <c r="J837" i="12"/>
  <c r="I834" i="12"/>
  <c r="M834" i="12" s="1"/>
  <c r="I780" i="12"/>
  <c r="R773" i="12"/>
  <c r="Q772" i="12"/>
  <c r="L631" i="12"/>
  <c r="Q702" i="12"/>
  <c r="R703" i="12"/>
  <c r="L584" i="12"/>
  <c r="R542" i="12"/>
  <c r="Q541" i="12"/>
  <c r="R604" i="12"/>
  <c r="Q603" i="12"/>
  <c r="R471" i="12"/>
  <c r="Q470" i="12"/>
  <c r="R470" i="12" s="1"/>
  <c r="M465" i="12"/>
  <c r="O375" i="12"/>
  <c r="N374" i="12"/>
  <c r="R278" i="12"/>
  <c r="Q277" i="12"/>
  <c r="M346" i="12"/>
  <c r="L345" i="12"/>
  <c r="L367" i="12"/>
  <c r="J350" i="12"/>
  <c r="I349" i="12"/>
  <c r="J349" i="12" s="1"/>
  <c r="N292" i="12"/>
  <c r="O292" i="12" s="1"/>
  <c r="O293" i="12"/>
  <c r="O242" i="12"/>
  <c r="N241" i="12"/>
  <c r="I212" i="12"/>
  <c r="M212" i="12" s="1"/>
  <c r="J213" i="12"/>
  <c r="Q192" i="12"/>
  <c r="R193" i="12"/>
  <c r="L23" i="12"/>
  <c r="L17" i="12"/>
  <c r="M18" i="12"/>
  <c r="Q24" i="12"/>
  <c r="R25" i="12"/>
  <c r="O130" i="12"/>
  <c r="N129" i="12"/>
  <c r="N848" i="12"/>
  <c r="O849" i="12"/>
  <c r="J816" i="12"/>
  <c r="I815" i="12"/>
  <c r="I810" i="12" s="1"/>
  <c r="O842" i="12"/>
  <c r="N841" i="12"/>
  <c r="O782" i="12"/>
  <c r="N781" i="12"/>
  <c r="M820" i="12"/>
  <c r="L819" i="12"/>
  <c r="Q798" i="12"/>
  <c r="R799" i="12"/>
  <c r="R841" i="12"/>
  <c r="Q832" i="12"/>
  <c r="Q780" i="12"/>
  <c r="R781" i="12"/>
  <c r="N744" i="12"/>
  <c r="O745" i="12"/>
  <c r="I718" i="12"/>
  <c r="M718" i="12" s="1"/>
  <c r="J719" i="12"/>
  <c r="J773" i="12"/>
  <c r="I772" i="12"/>
  <c r="L623" i="12"/>
  <c r="O805" i="12"/>
  <c r="N804" i="12"/>
  <c r="O804" i="12" s="1"/>
  <c r="J689" i="12"/>
  <c r="M689" i="12"/>
  <c r="O612" i="12"/>
  <c r="N611" i="12"/>
  <c r="O603" i="12"/>
  <c r="O592" i="12"/>
  <c r="N649" i="12"/>
  <c r="O649" i="12" s="1"/>
  <c r="O650" i="12"/>
  <c r="O604" i="12"/>
  <c r="R593" i="12"/>
  <c r="Q592" i="12"/>
  <c r="R635" i="12"/>
  <c r="Q634" i="12"/>
  <c r="J604" i="12"/>
  <c r="I603" i="12"/>
  <c r="R672" i="12"/>
  <c r="I634" i="12"/>
  <c r="J635" i="12"/>
  <c r="L618" i="12"/>
  <c r="M619" i="12"/>
  <c r="R565" i="12"/>
  <c r="Q564" i="12"/>
  <c r="R513" i="12"/>
  <c r="Q512" i="12"/>
  <c r="O507" i="12"/>
  <c r="N504" i="12"/>
  <c r="L503" i="12"/>
  <c r="L476" i="12"/>
  <c r="M477" i="12"/>
  <c r="M612" i="12"/>
  <c r="L611" i="12"/>
  <c r="I564" i="12"/>
  <c r="J565" i="12"/>
  <c r="O476" i="12"/>
  <c r="N475" i="12"/>
  <c r="R453" i="12"/>
  <c r="Q452" i="12"/>
  <c r="R452" i="12" s="1"/>
  <c r="Q451" i="12"/>
  <c r="L387" i="12"/>
  <c r="M393" i="12"/>
  <c r="L443" i="12"/>
  <c r="L286" i="12"/>
  <c r="J274" i="12"/>
  <c r="I273" i="12"/>
  <c r="J273" i="12" s="1"/>
  <c r="J543" i="12"/>
  <c r="I542" i="12"/>
  <c r="O414" i="12"/>
  <c r="N413" i="12"/>
  <c r="O413" i="12" s="1"/>
  <c r="J393" i="12"/>
  <c r="I387" i="12"/>
  <c r="I378" i="12"/>
  <c r="J378" i="12" s="1"/>
  <c r="J379" i="12"/>
  <c r="R351" i="12"/>
  <c r="Q350" i="12"/>
  <c r="N319" i="12"/>
  <c r="O320" i="12"/>
  <c r="I299" i="12"/>
  <c r="J300" i="12"/>
  <c r="J296" i="12"/>
  <c r="I293" i="12"/>
  <c r="M269" i="12"/>
  <c r="I268" i="12"/>
  <c r="J269" i="12"/>
  <c r="J361" i="12"/>
  <c r="I360" i="12"/>
  <c r="Q341" i="12"/>
  <c r="R342" i="12"/>
  <c r="J251" i="12"/>
  <c r="I250" i="12"/>
  <c r="J250" i="12" s="1"/>
  <c r="R236" i="12"/>
  <c r="Q235" i="12"/>
  <c r="R235" i="12" s="1"/>
  <c r="L211" i="12"/>
  <c r="M190" i="12"/>
  <c r="L189" i="12"/>
  <c r="R387" i="12"/>
  <c r="Q386" i="12"/>
  <c r="M369" i="12"/>
  <c r="N217" i="12"/>
  <c r="O218" i="12"/>
  <c r="Q198" i="12"/>
  <c r="R199" i="12"/>
  <c r="K450" i="12"/>
  <c r="K442" i="12" s="1"/>
  <c r="M453" i="12"/>
  <c r="L413" i="12"/>
  <c r="M414" i="12"/>
  <c r="K385" i="12"/>
  <c r="K384" i="12" s="1"/>
  <c r="K383" i="12" s="1"/>
  <c r="M274" i="12"/>
  <c r="L273" i="12"/>
  <c r="J241" i="12"/>
  <c r="I240" i="12"/>
  <c r="J240" i="12" s="1"/>
  <c r="M231" i="12"/>
  <c r="L224" i="12"/>
  <c r="L203" i="12"/>
  <c r="R362" i="12"/>
  <c r="Q361" i="12"/>
  <c r="M251" i="12"/>
  <c r="J176" i="12"/>
  <c r="I171" i="12"/>
  <c r="R95" i="12"/>
  <c r="Q91" i="12"/>
  <c r="O65" i="12"/>
  <c r="J320" i="12"/>
  <c r="I319" i="12"/>
  <c r="P179" i="12"/>
  <c r="J58" i="12"/>
  <c r="I57" i="12"/>
  <c r="J57" i="12" s="1"/>
  <c r="M47" i="12"/>
  <c r="J54" i="12"/>
  <c r="I53" i="12"/>
  <c r="J53" i="12" s="1"/>
  <c r="R176" i="12"/>
  <c r="Q171" i="12"/>
  <c r="L130" i="12"/>
  <c r="M131" i="12"/>
  <c r="R121" i="12"/>
  <c r="Q120" i="12"/>
  <c r="N53" i="12"/>
  <c r="O53" i="12" s="1"/>
  <c r="O54" i="12"/>
  <c r="M165" i="12"/>
  <c r="M115" i="12"/>
  <c r="L114" i="12"/>
  <c r="N47" i="12"/>
  <c r="O47" i="12" s="1"/>
  <c r="O48" i="12"/>
  <c r="O17" i="12"/>
  <c r="N16" i="12"/>
  <c r="O131" i="12"/>
  <c r="L75" i="12"/>
  <c r="M58" i="12"/>
  <c r="M13" i="12"/>
  <c r="J799" i="12"/>
  <c r="I798" i="12"/>
  <c r="L826" i="12"/>
  <c r="M827" i="12"/>
  <c r="J820" i="12"/>
  <c r="L764" i="12"/>
  <c r="O765" i="12"/>
  <c r="N764" i="12"/>
  <c r="O705" i="12"/>
  <c r="N702" i="12"/>
  <c r="M687" i="12"/>
  <c r="L680" i="12"/>
  <c r="O635" i="12"/>
  <c r="N634" i="12"/>
  <c r="L570" i="12"/>
  <c r="J522" i="12"/>
  <c r="I521" i="12"/>
  <c r="O618" i="12"/>
  <c r="N617" i="12"/>
  <c r="J529" i="12"/>
  <c r="I528" i="12"/>
  <c r="J626" i="12"/>
  <c r="I625" i="12"/>
  <c r="N510" i="12"/>
  <c r="N511" i="12"/>
  <c r="O511" i="12" s="1"/>
  <c r="O512" i="12"/>
  <c r="L529" i="12"/>
  <c r="M530" i="12"/>
  <c r="R530" i="12"/>
  <c r="Q529" i="12"/>
  <c r="J397" i="12"/>
  <c r="M397" i="12"/>
  <c r="O328" i="12"/>
  <c r="N327" i="12"/>
  <c r="M537" i="12"/>
  <c r="M439" i="12"/>
  <c r="L438" i="12"/>
  <c r="R427" i="12"/>
  <c r="Q426" i="12"/>
  <c r="J345" i="12"/>
  <c r="I341" i="12"/>
  <c r="Q10" i="12"/>
  <c r="R11" i="12"/>
  <c r="O837" i="12"/>
  <c r="N834" i="12"/>
  <c r="R766" i="12"/>
  <c r="Q765" i="12"/>
  <c r="J766" i="12"/>
  <c r="I765" i="12"/>
  <c r="R782" i="12"/>
  <c r="R738" i="12"/>
  <c r="Q737" i="12"/>
  <c r="J723" i="12"/>
  <c r="I722" i="12"/>
  <c r="M703" i="12"/>
  <c r="N672" i="12"/>
  <c r="O672" i="12" s="1"/>
  <c r="O675" i="12"/>
  <c r="L672" i="12"/>
  <c r="M672" i="12" s="1"/>
  <c r="M675" i="12"/>
  <c r="R653" i="12"/>
  <c r="Q650" i="12"/>
  <c r="I641" i="12"/>
  <c r="J642" i="12"/>
  <c r="Q610" i="12"/>
  <c r="R611" i="12"/>
  <c r="M600" i="12"/>
  <c r="L599" i="12"/>
  <c r="R586" i="12"/>
  <c r="Q585" i="12"/>
  <c r="M662" i="12"/>
  <c r="O600" i="12"/>
  <c r="N599" i="12"/>
  <c r="O599" i="12" s="1"/>
  <c r="L540" i="12"/>
  <c r="O530" i="12"/>
  <c r="N529" i="12"/>
  <c r="L511" i="12"/>
  <c r="L510" i="12"/>
  <c r="I680" i="12"/>
  <c r="R537" i="12"/>
  <c r="Q521" i="12"/>
  <c r="R522" i="12"/>
  <c r="Q504" i="12"/>
  <c r="R505" i="12"/>
  <c r="O593" i="12"/>
  <c r="O552" i="12"/>
  <c r="N551" i="12"/>
  <c r="M468" i="12"/>
  <c r="L467" i="12"/>
  <c r="M467" i="12" s="1"/>
  <c r="M565" i="12"/>
  <c r="M505" i="12"/>
  <c r="O453" i="12"/>
  <c r="N452" i="12"/>
  <c r="O452" i="12" s="1"/>
  <c r="N451" i="12"/>
  <c r="I661" i="12"/>
  <c r="M661" i="12" s="1"/>
  <c r="J666" i="12"/>
  <c r="I512" i="12"/>
  <c r="M512" i="12" s="1"/>
  <c r="J513" i="12"/>
  <c r="M695" i="12"/>
  <c r="N572" i="12"/>
  <c r="O573" i="12"/>
  <c r="M522" i="12"/>
  <c r="L521" i="12"/>
  <c r="R379" i="12"/>
  <c r="Q378" i="12"/>
  <c r="R378" i="12" s="1"/>
  <c r="Q368" i="12"/>
  <c r="R369" i="12"/>
  <c r="O362" i="12"/>
  <c r="N361" i="12"/>
  <c r="J374" i="12"/>
  <c r="O334" i="12"/>
  <c r="N333" i="12"/>
  <c r="O333" i="12" s="1"/>
  <c r="R319" i="12"/>
  <c r="Q318" i="12"/>
  <c r="R318" i="12" s="1"/>
  <c r="J485" i="12"/>
  <c r="I484" i="12"/>
  <c r="O438" i="12"/>
  <c r="N437" i="12"/>
  <c r="O437" i="12" s="1"/>
  <c r="J402" i="12"/>
  <c r="I401" i="12"/>
  <c r="J401" i="12" s="1"/>
  <c r="M363" i="12"/>
  <c r="L362" i="12"/>
  <c r="J328" i="12"/>
  <c r="I327" i="12"/>
  <c r="J438" i="12"/>
  <c r="I437" i="12"/>
  <c r="J437" i="12" s="1"/>
  <c r="M213" i="12"/>
  <c r="M163" i="12"/>
  <c r="L162" i="12"/>
  <c r="J618" i="12"/>
  <c r="I617" i="12"/>
  <c r="O351" i="12"/>
  <c r="N350" i="12"/>
  <c r="N298" i="12"/>
  <c r="O299" i="12"/>
  <c r="I277" i="12"/>
  <c r="J278" i="12"/>
  <c r="J257" i="12"/>
  <c r="I256" i="12"/>
  <c r="M183" i="12"/>
  <c r="Q328" i="12"/>
  <c r="R329" i="12"/>
  <c r="J305" i="12"/>
  <c r="I304" i="12"/>
  <c r="M305" i="12"/>
  <c r="M266" i="12"/>
  <c r="I265" i="12"/>
  <c r="J266" i="12"/>
  <c r="Q162" i="12"/>
  <c r="R163" i="12"/>
  <c r="R256" i="12"/>
  <c r="O248" i="12"/>
  <c r="N247" i="12"/>
  <c r="O198" i="12"/>
  <c r="N197" i="12"/>
  <c r="R156" i="12"/>
  <c r="Q155" i="12"/>
  <c r="R38" i="12"/>
  <c r="Q37" i="12"/>
  <c r="R37" i="12" s="1"/>
  <c r="H254" i="12"/>
  <c r="H253" i="12" s="1"/>
  <c r="J181" i="12"/>
  <c r="I180" i="12"/>
  <c r="O137" i="12"/>
  <c r="N136" i="12"/>
  <c r="R42" i="12"/>
  <c r="Q41" i="12"/>
  <c r="R41" i="12" s="1"/>
  <c r="J25" i="12"/>
  <c r="I24" i="12"/>
  <c r="I37" i="12"/>
  <c r="J37" i="12" s="1"/>
  <c r="J38" i="12"/>
  <c r="O256" i="12"/>
  <c r="N255" i="12"/>
  <c r="Q203" i="12"/>
  <c r="R203" i="12" s="1"/>
  <c r="R204" i="12"/>
  <c r="M72" i="12"/>
  <c r="R65" i="12"/>
  <c r="Q57" i="12"/>
  <c r="R57" i="12" s="1"/>
  <c r="R58" i="12"/>
  <c r="L218" i="12"/>
  <c r="M221" i="12"/>
  <c r="L197" i="12"/>
  <c r="M198" i="12"/>
  <c r="O162" i="12"/>
  <c r="N161" i="12"/>
  <c r="N90" i="12"/>
  <c r="I71" i="12"/>
  <c r="L9" i="12"/>
  <c r="K91" i="12"/>
  <c r="K90" i="12" s="1"/>
  <c r="M54" i="12"/>
  <c r="J557" i="11"/>
  <c r="F701" i="11"/>
  <c r="F677" i="11"/>
  <c r="H678" i="11"/>
  <c r="H694" i="11"/>
  <c r="G693" i="11"/>
  <c r="H693" i="11" s="1"/>
  <c r="J644" i="11"/>
  <c r="P656" i="11"/>
  <c r="O655" i="11"/>
  <c r="J637" i="11"/>
  <c r="L563" i="11"/>
  <c r="M563" i="11" s="1"/>
  <c r="M564" i="11"/>
  <c r="K541" i="11"/>
  <c r="J540" i="11"/>
  <c r="J680" i="11"/>
  <c r="K680" i="11" s="1"/>
  <c r="K681" i="11"/>
  <c r="M587" i="11"/>
  <c r="M586" i="11" s="1"/>
  <c r="L586" i="11"/>
  <c r="P741" i="11"/>
  <c r="O740" i="11"/>
  <c r="K733" i="11"/>
  <c r="J732" i="11"/>
  <c r="P705" i="11"/>
  <c r="O704" i="11"/>
  <c r="P704" i="11" s="1"/>
  <c r="H727" i="11"/>
  <c r="H713" i="11"/>
  <c r="G709" i="11"/>
  <c r="L693" i="11"/>
  <c r="M693" i="11" s="1"/>
  <c r="M694" i="11"/>
  <c r="P713" i="11"/>
  <c r="O709" i="11"/>
  <c r="G704" i="11"/>
  <c r="H704" i="11" s="1"/>
  <c r="H705" i="11"/>
  <c r="M710" i="11"/>
  <c r="L709" i="11"/>
  <c r="M638" i="11"/>
  <c r="L637" i="11"/>
  <c r="M637" i="11" s="1"/>
  <c r="K694" i="11"/>
  <c r="H635" i="11"/>
  <c r="G634" i="11"/>
  <c r="K608" i="11"/>
  <c r="G643" i="11"/>
  <c r="H646" i="11"/>
  <c r="G645" i="11"/>
  <c r="H684" i="11"/>
  <c r="G683" i="11"/>
  <c r="G675" i="11" s="1"/>
  <c r="K684" i="11"/>
  <c r="H741" i="11"/>
  <c r="G740" i="11"/>
  <c r="K740" i="11" s="1"/>
  <c r="P732" i="11"/>
  <c r="O731" i="11"/>
  <c r="P731" i="11" s="1"/>
  <c r="O730" i="11"/>
  <c r="M725" i="11"/>
  <c r="L724" i="11"/>
  <c r="K735" i="11"/>
  <c r="M676" i="11"/>
  <c r="K678" i="11"/>
  <c r="J677" i="11"/>
  <c r="O643" i="11"/>
  <c r="P646" i="11"/>
  <c r="O645" i="11"/>
  <c r="L665" i="11"/>
  <c r="M665" i="11" s="1"/>
  <c r="M666" i="11"/>
  <c r="P639" i="11"/>
  <c r="O638" i="11"/>
  <c r="M627" i="11"/>
  <c r="L626" i="11"/>
  <c r="K551" i="11"/>
  <c r="M651" i="11"/>
  <c r="L607" i="11"/>
  <c r="M607" i="11" s="1"/>
  <c r="H578" i="11"/>
  <c r="G577" i="11"/>
  <c r="L543" i="11"/>
  <c r="M543" i="11" s="1"/>
  <c r="P613" i="11"/>
  <c r="O607" i="11"/>
  <c r="P607" i="11" s="1"/>
  <c r="P587" i="11"/>
  <c r="O586" i="11"/>
  <c r="P564" i="11"/>
  <c r="O563" i="11"/>
  <c r="P563" i="11" s="1"/>
  <c r="M672" i="11"/>
  <c r="L671" i="11"/>
  <c r="K602" i="11"/>
  <c r="J601" i="11"/>
  <c r="K601" i="11" s="1"/>
  <c r="P559" i="11"/>
  <c r="K554" i="11"/>
  <c r="H614" i="11"/>
  <c r="G613" i="11"/>
  <c r="H564" i="11"/>
  <c r="G563" i="11"/>
  <c r="H563" i="11" s="1"/>
  <c r="K503" i="11"/>
  <c r="J577" i="11"/>
  <c r="K484" i="11"/>
  <c r="M435" i="11"/>
  <c r="L432" i="11"/>
  <c r="M432" i="11" s="1"/>
  <c r="M422" i="11"/>
  <c r="L421" i="11"/>
  <c r="N519" i="11"/>
  <c r="N518" i="11" s="1"/>
  <c r="N473" i="11" s="1"/>
  <c r="N472" i="11" s="1"/>
  <c r="H435" i="11"/>
  <c r="G432" i="11"/>
  <c r="H432" i="11" s="1"/>
  <c r="P422" i="11"/>
  <c r="O421" i="11"/>
  <c r="M478" i="11"/>
  <c r="L475" i="11"/>
  <c r="G456" i="11"/>
  <c r="K410" i="11"/>
  <c r="J422" i="11"/>
  <c r="K423" i="11"/>
  <c r="J320" i="11"/>
  <c r="J254" i="11"/>
  <c r="K435" i="11"/>
  <c r="P401" i="11"/>
  <c r="G326" i="11"/>
  <c r="H303" i="11"/>
  <c r="G302" i="11"/>
  <c r="K302" i="11" s="1"/>
  <c r="M379" i="11"/>
  <c r="M354" i="11"/>
  <c r="L353" i="11"/>
  <c r="M353" i="11" s="1"/>
  <c r="K345" i="11"/>
  <c r="K303" i="11"/>
  <c r="G353" i="11"/>
  <c r="H354" i="11"/>
  <c r="H269" i="11"/>
  <c r="G268" i="11"/>
  <c r="L239" i="11"/>
  <c r="M240" i="11"/>
  <c r="J145" i="11"/>
  <c r="O96" i="11"/>
  <c r="P97" i="11"/>
  <c r="H47" i="11"/>
  <c r="G46" i="11"/>
  <c r="K46" i="11" s="1"/>
  <c r="O27" i="11"/>
  <c r="P28" i="11"/>
  <c r="J7" i="11"/>
  <c r="N145" i="11"/>
  <c r="P146" i="11"/>
  <c r="P47" i="11"/>
  <c r="O46" i="11"/>
  <c r="M14" i="11"/>
  <c r="L13" i="11"/>
  <c r="M13" i="11" s="1"/>
  <c r="J456" i="11"/>
  <c r="N310" i="11"/>
  <c r="P311" i="11"/>
  <c r="L281" i="11"/>
  <c r="M281" i="11" s="1"/>
  <c r="J245" i="11"/>
  <c r="O218" i="11"/>
  <c r="P219" i="11"/>
  <c r="M207" i="11"/>
  <c r="L206" i="11"/>
  <c r="M206" i="11" s="1"/>
  <c r="K445" i="11"/>
  <c r="J444" i="11"/>
  <c r="K348" i="11"/>
  <c r="K256" i="11"/>
  <c r="H256" i="11"/>
  <c r="G255" i="11"/>
  <c r="K255" i="11" s="1"/>
  <c r="K206" i="11"/>
  <c r="K195" i="11"/>
  <c r="J194" i="11"/>
  <c r="K169" i="11"/>
  <c r="J168" i="11"/>
  <c r="G100" i="11"/>
  <c r="G96" i="11" s="1"/>
  <c r="K96" i="11" s="1"/>
  <c r="P79" i="11"/>
  <c r="O78" i="11"/>
  <c r="P78" i="11" s="1"/>
  <c r="K47" i="11"/>
  <c r="G10" i="11"/>
  <c r="H11" i="11"/>
  <c r="P366" i="11"/>
  <c r="O365" i="11"/>
  <c r="P365" i="11" s="1"/>
  <c r="H316" i="11"/>
  <c r="P278" i="11"/>
  <c r="O275" i="11"/>
  <c r="L254" i="11"/>
  <c r="M255" i="11"/>
  <c r="P140" i="11"/>
  <c r="O139" i="11"/>
  <c r="K90" i="11"/>
  <c r="J199" i="11"/>
  <c r="N95" i="11"/>
  <c r="L27" i="11"/>
  <c r="P108" i="11"/>
  <c r="H14" i="11"/>
  <c r="G13" i="11"/>
  <c r="M90" i="11"/>
  <c r="K725" i="11"/>
  <c r="J724" i="11"/>
  <c r="K704" i="11"/>
  <c r="H724" i="11"/>
  <c r="G723" i="11"/>
  <c r="P724" i="11"/>
  <c r="O723" i="11"/>
  <c r="K710" i="11"/>
  <c r="J709" i="11"/>
  <c r="M740" i="11"/>
  <c r="L739" i="11"/>
  <c r="H732" i="11"/>
  <c r="G731" i="11"/>
  <c r="H731" i="11" s="1"/>
  <c r="G730" i="11"/>
  <c r="J655" i="11"/>
  <c r="H639" i="11"/>
  <c r="G638" i="11"/>
  <c r="J634" i="11"/>
  <c r="K635" i="11"/>
  <c r="M578" i="11"/>
  <c r="L577" i="11"/>
  <c r="M577" i="11" s="1"/>
  <c r="J544" i="11"/>
  <c r="K544" i="11" s="1"/>
  <c r="K545" i="11"/>
  <c r="P627" i="11"/>
  <c r="O626" i="11"/>
  <c r="J587" i="11"/>
  <c r="K588" i="11"/>
  <c r="P694" i="11"/>
  <c r="O693" i="11"/>
  <c r="P693" i="11" s="1"/>
  <c r="K628" i="11"/>
  <c r="J627" i="11"/>
  <c r="M614" i="11"/>
  <c r="M560" i="11"/>
  <c r="L559" i="11"/>
  <c r="G543" i="11"/>
  <c r="M643" i="11"/>
  <c r="M535" i="11"/>
  <c r="L534" i="11"/>
  <c r="H533" i="11"/>
  <c r="L455" i="11"/>
  <c r="M456" i="11"/>
  <c r="P415" i="11"/>
  <c r="O414" i="11"/>
  <c r="J494" i="11"/>
  <c r="O456" i="11"/>
  <c r="H422" i="11"/>
  <c r="G421" i="11"/>
  <c r="K415" i="11"/>
  <c r="J414" i="11"/>
  <c r="G464" i="11"/>
  <c r="H465" i="11"/>
  <c r="H408" i="11"/>
  <c r="G407" i="11"/>
  <c r="G400" i="11" s="1"/>
  <c r="H400" i="11" s="1"/>
  <c r="H401" i="11"/>
  <c r="G280" i="11"/>
  <c r="K280" i="11" s="1"/>
  <c r="H250" i="11"/>
  <c r="G249" i="11"/>
  <c r="H249" i="11" s="1"/>
  <c r="P288" i="11"/>
  <c r="O280" i="11"/>
  <c r="P280" i="11" s="1"/>
  <c r="O281" i="11"/>
  <c r="P281" i="11" s="1"/>
  <c r="I486" i="11"/>
  <c r="M489" i="11"/>
  <c r="H441" i="11"/>
  <c r="K441" i="11"/>
  <c r="F371" i="11"/>
  <c r="F370" i="11" s="1"/>
  <c r="L291" i="11"/>
  <c r="M292" i="11"/>
  <c r="K233" i="11"/>
  <c r="J228" i="11"/>
  <c r="F272" i="11"/>
  <c r="F236" i="11" s="1"/>
  <c r="H220" i="11"/>
  <c r="G219" i="11"/>
  <c r="H212" i="11"/>
  <c r="G211" i="11"/>
  <c r="H120" i="11"/>
  <c r="G116" i="11"/>
  <c r="J26" i="11"/>
  <c r="H140" i="11"/>
  <c r="G139" i="11"/>
  <c r="H72" i="11"/>
  <c r="G71" i="11"/>
  <c r="K71" i="11" s="1"/>
  <c r="K499" i="11"/>
  <c r="H367" i="11"/>
  <c r="G366" i="11"/>
  <c r="M311" i="11"/>
  <c r="J275" i="11"/>
  <c r="J269" i="11"/>
  <c r="K270" i="11"/>
  <c r="P246" i="11"/>
  <c r="H247" i="11"/>
  <c r="G246" i="11"/>
  <c r="K246" i="11" s="1"/>
  <c r="M183" i="11"/>
  <c r="L182" i="11"/>
  <c r="N176" i="11"/>
  <c r="P177" i="11"/>
  <c r="F157" i="11"/>
  <c r="F156" i="11" s="1"/>
  <c r="F155" i="11" s="1"/>
  <c r="H164" i="11"/>
  <c r="J367" i="11"/>
  <c r="K368" i="11"/>
  <c r="K288" i="11"/>
  <c r="M275" i="11"/>
  <c r="O249" i="11"/>
  <c r="P249" i="11" s="1"/>
  <c r="P250" i="11"/>
  <c r="K239" i="11"/>
  <c r="J238" i="11"/>
  <c r="H147" i="11"/>
  <c r="G146" i="11"/>
  <c r="K146" i="11" s="1"/>
  <c r="O71" i="11"/>
  <c r="P72" i="11"/>
  <c r="H52" i="11"/>
  <c r="G51" i="11"/>
  <c r="K51" i="11" s="1"/>
  <c r="H28" i="11"/>
  <c r="G27" i="11"/>
  <c r="H315" i="11"/>
  <c r="J182" i="11"/>
  <c r="K183" i="11"/>
  <c r="N157" i="11"/>
  <c r="P164" i="11"/>
  <c r="H97" i="11"/>
  <c r="J70" i="11"/>
  <c r="P52" i="11"/>
  <c r="O51" i="11"/>
  <c r="M21" i="11"/>
  <c r="L20" i="11"/>
  <c r="M120" i="11"/>
  <c r="L116" i="11"/>
  <c r="K97" i="11"/>
  <c r="K57" i="11"/>
  <c r="J56" i="11"/>
  <c r="K56" i="11" s="1"/>
  <c r="M28" i="11"/>
  <c r="M156" i="11"/>
  <c r="L155" i="11"/>
  <c r="M155" i="11" s="1"/>
  <c r="K123" i="11"/>
  <c r="K260" i="11"/>
  <c r="M175" i="11"/>
  <c r="L174" i="11"/>
  <c r="L95" i="11"/>
  <c r="M95" i="11" s="1"/>
  <c r="M96" i="11"/>
  <c r="K61" i="11"/>
  <c r="M571" i="11"/>
  <c r="L570" i="11"/>
  <c r="H587" i="11"/>
  <c r="H586" i="11" s="1"/>
  <c r="G586" i="11"/>
  <c r="P578" i="11"/>
  <c r="O577" i="11"/>
  <c r="K563" i="11"/>
  <c r="O518" i="11"/>
  <c r="P518" i="11" s="1"/>
  <c r="L464" i="11"/>
  <c r="M465" i="11"/>
  <c r="L644" i="11"/>
  <c r="M644" i="11" s="1"/>
  <c r="M645" i="11"/>
  <c r="M539" i="11"/>
  <c r="O633" i="11"/>
  <c r="P634" i="11"/>
  <c r="I585" i="11"/>
  <c r="I584" i="11" s="1"/>
  <c r="I583" i="11" s="1"/>
  <c r="K522" i="11"/>
  <c r="J519" i="11"/>
  <c r="H511" i="11"/>
  <c r="G494" i="11"/>
  <c r="P489" i="11"/>
  <c r="O486" i="11"/>
  <c r="H475" i="11"/>
  <c r="K475" i="11"/>
  <c r="P429" i="11"/>
  <c r="O428" i="11"/>
  <c r="J486" i="11"/>
  <c r="K491" i="11"/>
  <c r="L387" i="11"/>
  <c r="L378" i="11" s="1"/>
  <c r="M396" i="11"/>
  <c r="J373" i="11"/>
  <c r="K374" i="11"/>
  <c r="H445" i="11"/>
  <c r="G444" i="11"/>
  <c r="H444" i="11" s="1"/>
  <c r="H384" i="11"/>
  <c r="G378" i="11"/>
  <c r="O372" i="11"/>
  <c r="P372" i="11" s="1"/>
  <c r="P373" i="11"/>
  <c r="H340" i="11"/>
  <c r="G336" i="11"/>
  <c r="K336" i="11" s="1"/>
  <c r="P534" i="11"/>
  <c r="O533" i="11"/>
  <c r="M520" i="11"/>
  <c r="L519" i="11"/>
  <c r="L335" i="11"/>
  <c r="M327" i="11"/>
  <c r="L326" i="11"/>
  <c r="J464" i="11"/>
  <c r="K465" i="11"/>
  <c r="P322" i="11"/>
  <c r="O321" i="11"/>
  <c r="P358" i="11"/>
  <c r="O357" i="11"/>
  <c r="K340" i="11"/>
  <c r="K250" i="11"/>
  <c r="M212" i="11"/>
  <c r="L211" i="11"/>
  <c r="M211" i="11" s="1"/>
  <c r="K177" i="11"/>
  <c r="J176" i="11"/>
  <c r="P151" i="11"/>
  <c r="O150" i="11"/>
  <c r="P150" i="11" s="1"/>
  <c r="P64" i="11"/>
  <c r="J50" i="11"/>
  <c r="H20" i="11"/>
  <c r="G19" i="11"/>
  <c r="K108" i="11"/>
  <c r="J107" i="11"/>
  <c r="K107" i="11" s="1"/>
  <c r="J335" i="11"/>
  <c r="L298" i="11"/>
  <c r="M298" i="11" s="1"/>
  <c r="M299" i="11"/>
  <c r="H169" i="11"/>
  <c r="G168" i="11"/>
  <c r="P354" i="11"/>
  <c r="O353" i="11"/>
  <c r="P353" i="11" s="1"/>
  <c r="L273" i="11"/>
  <c r="O255" i="11"/>
  <c r="P256" i="11"/>
  <c r="K220" i="11"/>
  <c r="P83" i="11"/>
  <c r="O82" i="11"/>
  <c r="P82" i="11" s="1"/>
  <c r="H64" i="11"/>
  <c r="J20" i="11"/>
  <c r="K21" i="11"/>
  <c r="K354" i="11"/>
  <c r="L246" i="11"/>
  <c r="M247" i="11"/>
  <c r="M201" i="11"/>
  <c r="L200" i="11"/>
  <c r="P169" i="11"/>
  <c r="O168" i="11"/>
  <c r="G157" i="11"/>
  <c r="K157" i="11" s="1"/>
  <c r="H158" i="11"/>
  <c r="I145" i="11"/>
  <c r="M146" i="11"/>
  <c r="K135" i="11"/>
  <c r="K117" i="11"/>
  <c r="J116" i="11"/>
  <c r="M83" i="11"/>
  <c r="L82" i="11"/>
  <c r="M82" i="11" s="1"/>
  <c r="K72" i="11"/>
  <c r="P200" i="11"/>
  <c r="O199" i="11"/>
  <c r="N116" i="11"/>
  <c r="N115" i="11" s="1"/>
  <c r="P20" i="11"/>
  <c r="O19" i="11"/>
  <c r="H200" i="11"/>
  <c r="G199" i="11"/>
  <c r="M157" i="11"/>
  <c r="K28" i="11"/>
  <c r="M100" i="11"/>
  <c r="K11" i="11"/>
  <c r="J739" i="11"/>
  <c r="N677" i="11"/>
  <c r="P678" i="11"/>
  <c r="M684" i="11"/>
  <c r="L683" i="11"/>
  <c r="M683" i="11" s="1"/>
  <c r="M633" i="11"/>
  <c r="L632" i="11"/>
  <c r="M632" i="11" s="1"/>
  <c r="G665" i="11"/>
  <c r="M733" i="11"/>
  <c r="L732" i="11"/>
  <c r="H655" i="11"/>
  <c r="G654" i="11"/>
  <c r="M656" i="11"/>
  <c r="L655" i="11"/>
  <c r="H627" i="11"/>
  <c r="G626" i="11"/>
  <c r="J613" i="11"/>
  <c r="K614" i="11"/>
  <c r="H560" i="11"/>
  <c r="G559" i="11"/>
  <c r="K560" i="11"/>
  <c r="H489" i="11"/>
  <c r="G486" i="11"/>
  <c r="H486" i="11" s="1"/>
  <c r="K526" i="11"/>
  <c r="M445" i="11"/>
  <c r="L444" i="11"/>
  <c r="M444" i="11" s="1"/>
  <c r="L428" i="11"/>
  <c r="M429" i="11"/>
  <c r="M441" i="11"/>
  <c r="H516" i="11"/>
  <c r="K516" i="11"/>
  <c r="L494" i="11"/>
  <c r="H429" i="11"/>
  <c r="P465" i="11"/>
  <c r="O464" i="11"/>
  <c r="M401" i="11"/>
  <c r="G281" i="11"/>
  <c r="H281" i="11" s="1"/>
  <c r="M269" i="11"/>
  <c r="L268" i="11"/>
  <c r="M220" i="11"/>
  <c r="L219" i="11"/>
  <c r="O675" i="11"/>
  <c r="O400" i="11"/>
  <c r="P400" i="11" s="1"/>
  <c r="L366" i="11"/>
  <c r="M367" i="11"/>
  <c r="J310" i="11"/>
  <c r="K311" i="11"/>
  <c r="H519" i="11"/>
  <c r="G518" i="11"/>
  <c r="H518" i="11" s="1"/>
  <c r="P445" i="11"/>
  <c r="O444" i="11"/>
  <c r="G414" i="11"/>
  <c r="H415" i="11"/>
  <c r="M387" i="11"/>
  <c r="M358" i="11"/>
  <c r="L357" i="11"/>
  <c r="J298" i="11"/>
  <c r="J290" i="11" s="1"/>
  <c r="P292" i="11"/>
  <c r="O291" i="11"/>
  <c r="G238" i="11"/>
  <c r="H239" i="11"/>
  <c r="H228" i="11"/>
  <c r="G227" i="11"/>
  <c r="H227" i="11" s="1"/>
  <c r="J315" i="11"/>
  <c r="K316" i="11"/>
  <c r="O302" i="11"/>
  <c r="P303" i="11"/>
  <c r="O227" i="11"/>
  <c r="P227" i="11" s="1"/>
  <c r="P228" i="11"/>
  <c r="P135" i="11"/>
  <c r="O116" i="11"/>
  <c r="H90" i="11"/>
  <c r="P11" i="11"/>
  <c r="O10" i="11"/>
  <c r="K384" i="11"/>
  <c r="O378" i="11"/>
  <c r="P379" i="11"/>
  <c r="P336" i="11"/>
  <c r="G321" i="11"/>
  <c r="H322" i="11"/>
  <c r="O267" i="11"/>
  <c r="P267" i="11" s="1"/>
  <c r="P268" i="11"/>
  <c r="H195" i="11"/>
  <c r="G194" i="11"/>
  <c r="J400" i="11"/>
  <c r="K401" i="11"/>
  <c r="G357" i="11"/>
  <c r="H358" i="11"/>
  <c r="M314" i="11"/>
  <c r="G291" i="11"/>
  <c r="H292" i="11"/>
  <c r="I272" i="11"/>
  <c r="I236" i="11" s="1"/>
  <c r="M274" i="11"/>
  <c r="P239" i="11"/>
  <c r="O238" i="11"/>
  <c r="J156" i="11"/>
  <c r="K140" i="11"/>
  <c r="J139" i="11"/>
  <c r="K120" i="11"/>
  <c r="J82" i="11"/>
  <c r="K82" i="11" s="1"/>
  <c r="K83" i="11"/>
  <c r="J45" i="11"/>
  <c r="F308" i="11"/>
  <c r="H314" i="11"/>
  <c r="N273" i="11"/>
  <c r="N272" i="11" s="1"/>
  <c r="N236" i="11" s="1"/>
  <c r="P195" i="11"/>
  <c r="O194" i="11"/>
  <c r="F176" i="11"/>
  <c r="H177" i="11"/>
  <c r="P90" i="11"/>
  <c r="M65" i="11"/>
  <c r="L64" i="11"/>
  <c r="M152" i="11"/>
  <c r="L151" i="11"/>
  <c r="O173" i="11"/>
  <c r="F116" i="11"/>
  <c r="F115" i="11" s="1"/>
  <c r="M10" i="11"/>
  <c r="L9" i="11"/>
  <c r="G173" i="11"/>
  <c r="H666" i="11" l="1"/>
  <c r="N452" i="11"/>
  <c r="L538" i="11"/>
  <c r="M538" i="11" s="1"/>
  <c r="I610" i="12"/>
  <c r="K638" i="12"/>
  <c r="K622" i="12" s="1"/>
  <c r="P638" i="12"/>
  <c r="P622" i="12" s="1"/>
  <c r="M75" i="12"/>
  <c r="P233" i="12"/>
  <c r="H8" i="12"/>
  <c r="J42" i="12"/>
  <c r="M42" i="12"/>
  <c r="I426" i="12"/>
  <c r="M426" i="12" s="1"/>
  <c r="M427" i="12"/>
  <c r="P61" i="12"/>
  <c r="P8" i="12" s="1"/>
  <c r="P7" i="12" s="1"/>
  <c r="P852" i="12" s="1"/>
  <c r="P854" i="12" s="1"/>
  <c r="H638" i="12"/>
  <c r="H622" i="12" s="1"/>
  <c r="I243" i="13"/>
  <c r="F243" i="13"/>
  <c r="J54" i="13"/>
  <c r="P99" i="13"/>
  <c r="O113" i="12"/>
  <c r="O679" i="12"/>
  <c r="Q571" i="12"/>
  <c r="Q570" i="12" s="1"/>
  <c r="R570" i="12" s="1"/>
  <c r="O181" i="12"/>
  <c r="O680" i="12"/>
  <c r="K179" i="12"/>
  <c r="O815" i="12"/>
  <c r="O810" i="12" s="1"/>
  <c r="N810" i="12"/>
  <c r="I848" i="12"/>
  <c r="M203" i="12"/>
  <c r="H233" i="12"/>
  <c r="H7" i="12" s="1"/>
  <c r="H852" i="12" s="1"/>
  <c r="H854" i="12" s="1"/>
  <c r="L701" i="12"/>
  <c r="I91" i="12"/>
  <c r="M91" i="12" s="1"/>
  <c r="L71" i="12"/>
  <c r="K61" i="12"/>
  <c r="K8" i="12" s="1"/>
  <c r="Q255" i="12"/>
  <c r="M95" i="12"/>
  <c r="K233" i="12"/>
  <c r="M378" i="12"/>
  <c r="M470" i="12"/>
  <c r="N243" i="13"/>
  <c r="K293" i="13"/>
  <c r="H434" i="13"/>
  <c r="F86" i="11"/>
  <c r="F6" i="11" s="1"/>
  <c r="K249" i="11"/>
  <c r="K197" i="13"/>
  <c r="K432" i="11"/>
  <c r="H776" i="12"/>
  <c r="K388" i="13"/>
  <c r="P450" i="13"/>
  <c r="O449" i="13"/>
  <c r="P449" i="13" s="1"/>
  <c r="R71" i="12"/>
  <c r="R70" i="12"/>
  <c r="K613" i="11"/>
  <c r="I10" i="13"/>
  <c r="L400" i="11"/>
  <c r="M400" i="11" s="1"/>
  <c r="I373" i="12"/>
  <c r="I372" i="12" s="1"/>
  <c r="J372" i="12" s="1"/>
  <c r="G428" i="11"/>
  <c r="F307" i="11"/>
  <c r="K14" i="13"/>
  <c r="L384" i="13"/>
  <c r="O203" i="13"/>
  <c r="O245" i="11"/>
  <c r="M53" i="12"/>
  <c r="M780" i="12"/>
  <c r="N407" i="12"/>
  <c r="O407" i="12" s="1"/>
  <c r="J156" i="13"/>
  <c r="O91" i="12"/>
  <c r="K209" i="13"/>
  <c r="G10" i="13"/>
  <c r="K10" i="13" s="1"/>
  <c r="H152" i="11"/>
  <c r="G151" i="11"/>
  <c r="M781" i="12"/>
  <c r="I246" i="12"/>
  <c r="I239" i="12" s="1"/>
  <c r="M57" i="12"/>
  <c r="M41" i="12"/>
  <c r="R334" i="12"/>
  <c r="Q333" i="12"/>
  <c r="R333" i="12" s="1"/>
  <c r="J189" i="12"/>
  <c r="I188" i="12"/>
  <c r="P540" i="11"/>
  <c r="O539" i="11"/>
  <c r="M273" i="12"/>
  <c r="O367" i="12"/>
  <c r="N366" i="12"/>
  <c r="O366" i="12" s="1"/>
  <c r="J428" i="11"/>
  <c r="K428" i="11" s="1"/>
  <c r="L440" i="11"/>
  <c r="M440" i="11" s="1"/>
  <c r="G440" i="11"/>
  <c r="H440" i="11" s="1"/>
  <c r="R618" i="12"/>
  <c r="Q617" i="12"/>
  <c r="I70" i="11"/>
  <c r="M71" i="11"/>
  <c r="O326" i="11"/>
  <c r="P326" i="11" s="1"/>
  <c r="P327" i="11"/>
  <c r="O335" i="11"/>
  <c r="J781" i="12"/>
  <c r="K536" i="13"/>
  <c r="L465" i="13"/>
  <c r="K327" i="11"/>
  <c r="H327" i="11"/>
  <c r="M45" i="11"/>
  <c r="L44" i="11"/>
  <c r="M44" i="11" s="1"/>
  <c r="M235" i="12"/>
  <c r="O434" i="13"/>
  <c r="P434" i="13" s="1"/>
  <c r="H61" i="13"/>
  <c r="K61" i="13"/>
  <c r="K533" i="13"/>
  <c r="M704" i="11"/>
  <c r="I703" i="11"/>
  <c r="I702" i="11" s="1"/>
  <c r="I701" i="11" s="1"/>
  <c r="O211" i="12"/>
  <c r="N210" i="12"/>
  <c r="O210" i="12" s="1"/>
  <c r="M455" i="13"/>
  <c r="P666" i="11"/>
  <c r="O665" i="11"/>
  <c r="P665" i="11" s="1"/>
  <c r="K373" i="12"/>
  <c r="K372" i="12" s="1"/>
  <c r="K358" i="12" s="1"/>
  <c r="O378" i="12"/>
  <c r="K400" i="11"/>
  <c r="M434" i="12"/>
  <c r="I433" i="12"/>
  <c r="J434" i="12"/>
  <c r="O189" i="12"/>
  <c r="N188" i="12"/>
  <c r="N591" i="12"/>
  <c r="O591" i="12" s="1"/>
  <c r="J203" i="13"/>
  <c r="J378" i="11"/>
  <c r="P519" i="11"/>
  <c r="K693" i="11"/>
  <c r="M250" i="12"/>
  <c r="H330" i="11"/>
  <c r="K330" i="11"/>
  <c r="J82" i="12"/>
  <c r="M82" i="12"/>
  <c r="R475" i="12"/>
  <c r="Q474" i="12"/>
  <c r="R474" i="12" s="1"/>
  <c r="R17" i="12"/>
  <c r="Q16" i="12"/>
  <c r="R16" i="12" s="1"/>
  <c r="M77" i="13"/>
  <c r="O352" i="13"/>
  <c r="P404" i="13"/>
  <c r="N396" i="13"/>
  <c r="N383" i="13" s="1"/>
  <c r="P383" i="13" s="1"/>
  <c r="P466" i="13"/>
  <c r="P54" i="13"/>
  <c r="O47" i="13"/>
  <c r="P47" i="13" s="1"/>
  <c r="K256" i="13"/>
  <c r="H209" i="13"/>
  <c r="G203" i="13"/>
  <c r="H203" i="13" s="1"/>
  <c r="L352" i="13"/>
  <c r="M352" i="13" s="1"/>
  <c r="M353" i="13"/>
  <c r="K414" i="13"/>
  <c r="J413" i="13"/>
  <c r="K524" i="13"/>
  <c r="J523" i="13"/>
  <c r="G9" i="13"/>
  <c r="H9" i="13" s="1"/>
  <c r="M113" i="13"/>
  <c r="L112" i="13"/>
  <c r="M112" i="13" s="1"/>
  <c r="P297" i="13"/>
  <c r="O296" i="13"/>
  <c r="P296" i="13" s="1"/>
  <c r="H431" i="13"/>
  <c r="K431" i="13"/>
  <c r="K443" i="13"/>
  <c r="J434" i="13"/>
  <c r="K434" i="13" s="1"/>
  <c r="H475" i="13"/>
  <c r="G471" i="13"/>
  <c r="H471" i="13" s="1"/>
  <c r="H456" i="13"/>
  <c r="G455" i="13"/>
  <c r="H455" i="13" s="1"/>
  <c r="O498" i="13"/>
  <c r="P524" i="13"/>
  <c r="O523" i="13"/>
  <c r="M518" i="13"/>
  <c r="L517" i="13"/>
  <c r="M517" i="13" s="1"/>
  <c r="H78" i="13"/>
  <c r="G77" i="13"/>
  <c r="P127" i="13"/>
  <c r="O113" i="13"/>
  <c r="L203" i="13"/>
  <c r="M203" i="13" s="1"/>
  <c r="P264" i="13"/>
  <c r="O263" i="13"/>
  <c r="P263" i="13" s="1"/>
  <c r="P203" i="13"/>
  <c r="L296" i="13"/>
  <c r="M296" i="13" s="1"/>
  <c r="M297" i="13"/>
  <c r="L337" i="13"/>
  <c r="M337" i="13" s="1"/>
  <c r="M338" i="13"/>
  <c r="P413" i="13"/>
  <c r="M456" i="13"/>
  <c r="L434" i="13"/>
  <c r="M434" i="13" s="1"/>
  <c r="M435" i="13"/>
  <c r="H527" i="13"/>
  <c r="F523" i="13"/>
  <c r="F516" i="13" s="1"/>
  <c r="F540" i="13" s="1"/>
  <c r="K511" i="13"/>
  <c r="K475" i="13"/>
  <c r="K339" i="13"/>
  <c r="J338" i="13"/>
  <c r="G156" i="13"/>
  <c r="G155" i="13" s="1"/>
  <c r="H155" i="13" s="1"/>
  <c r="H157" i="13"/>
  <c r="H156" i="13" s="1"/>
  <c r="H72" i="13"/>
  <c r="G71" i="13"/>
  <c r="H71" i="13" s="1"/>
  <c r="K518" i="13"/>
  <c r="J517" i="13"/>
  <c r="K517" i="13" s="1"/>
  <c r="G54" i="13"/>
  <c r="H54" i="13" s="1"/>
  <c r="H55" i="13"/>
  <c r="M264" i="13"/>
  <c r="L263" i="13"/>
  <c r="M263" i="13" s="1"/>
  <c r="K344" i="13"/>
  <c r="K491" i="13"/>
  <c r="J490" i="13"/>
  <c r="M58" i="13"/>
  <c r="L54" i="13"/>
  <c r="M54" i="13" s="1"/>
  <c r="G113" i="13"/>
  <c r="K113" i="13" s="1"/>
  <c r="M156" i="13"/>
  <c r="M384" i="13"/>
  <c r="L383" i="13"/>
  <c r="M383" i="13" s="1"/>
  <c r="P456" i="13"/>
  <c r="O455" i="13"/>
  <c r="H524" i="13"/>
  <c r="G523" i="13"/>
  <c r="K264" i="13"/>
  <c r="J263" i="13"/>
  <c r="K157" i="13"/>
  <c r="K297" i="13"/>
  <c r="J296" i="13"/>
  <c r="K127" i="13"/>
  <c r="O10" i="13"/>
  <c r="J396" i="13"/>
  <c r="K404" i="13"/>
  <c r="P475" i="13"/>
  <c r="O471" i="13"/>
  <c r="P471" i="13" s="1"/>
  <c r="J448" i="13"/>
  <c r="M503" i="13"/>
  <c r="L498" i="13"/>
  <c r="H503" i="13"/>
  <c r="G498" i="13"/>
  <c r="K503" i="13"/>
  <c r="M100" i="13"/>
  <c r="L99" i="13"/>
  <c r="M99" i="13" s="1"/>
  <c r="J465" i="13"/>
  <c r="H450" i="13"/>
  <c r="G449" i="13"/>
  <c r="P518" i="13"/>
  <c r="O517" i="13"/>
  <c r="P517" i="13" s="1"/>
  <c r="P86" i="13"/>
  <c r="O77" i="13"/>
  <c r="J112" i="13"/>
  <c r="H379" i="13"/>
  <c r="K379" i="13"/>
  <c r="H385" i="13"/>
  <c r="G384" i="13"/>
  <c r="K385" i="13"/>
  <c r="K49" i="13"/>
  <c r="J48" i="13"/>
  <c r="K100" i="13"/>
  <c r="J99" i="13"/>
  <c r="K99" i="13" s="1"/>
  <c r="M245" i="13"/>
  <c r="L244" i="13"/>
  <c r="H48" i="13"/>
  <c r="G47" i="13"/>
  <c r="H47" i="13" s="1"/>
  <c r="K78" i="13"/>
  <c r="J77" i="13"/>
  <c r="P72" i="13"/>
  <c r="O71" i="13"/>
  <c r="P71" i="13" s="1"/>
  <c r="M49" i="13"/>
  <c r="L48" i="13"/>
  <c r="N540" i="13"/>
  <c r="J244" i="13"/>
  <c r="K245" i="13"/>
  <c r="L156" i="13"/>
  <c r="L155" i="13" s="1"/>
  <c r="M155" i="13" s="1"/>
  <c r="H297" i="13"/>
  <c r="G296" i="13"/>
  <c r="H296" i="13" s="1"/>
  <c r="H245" i="13"/>
  <c r="G244" i="13"/>
  <c r="K329" i="13"/>
  <c r="K357" i="13"/>
  <c r="H414" i="13"/>
  <c r="G413" i="13"/>
  <c r="M450" i="13"/>
  <c r="L449" i="13"/>
  <c r="M413" i="13"/>
  <c r="M530" i="13"/>
  <c r="L523" i="13"/>
  <c r="O244" i="13"/>
  <c r="P245" i="13"/>
  <c r="H264" i="13"/>
  <c r="G263" i="13"/>
  <c r="H263" i="13" s="1"/>
  <c r="H339" i="13"/>
  <c r="G338" i="13"/>
  <c r="M465" i="13"/>
  <c r="H435" i="13"/>
  <c r="H467" i="13"/>
  <c r="G466" i="13"/>
  <c r="K455" i="13"/>
  <c r="K498" i="13"/>
  <c r="P156" i="13"/>
  <c r="O155" i="13"/>
  <c r="P155" i="13" s="1"/>
  <c r="P209" i="13"/>
  <c r="G352" i="13"/>
  <c r="H352" i="13" s="1"/>
  <c r="P396" i="13"/>
  <c r="K450" i="13"/>
  <c r="O197" i="12"/>
  <c r="N196" i="12"/>
  <c r="M182" i="12"/>
  <c r="L181" i="12"/>
  <c r="O298" i="12"/>
  <c r="J617" i="12"/>
  <c r="I616" i="12"/>
  <c r="J484" i="12"/>
  <c r="M484" i="12"/>
  <c r="Q503" i="12"/>
  <c r="R504" i="12"/>
  <c r="R765" i="12"/>
  <c r="Q764" i="12"/>
  <c r="Q425" i="12"/>
  <c r="R426" i="12"/>
  <c r="N509" i="12"/>
  <c r="O509" i="12" s="1"/>
  <c r="O510" i="12"/>
  <c r="L763" i="12"/>
  <c r="M114" i="12"/>
  <c r="L113" i="12"/>
  <c r="L129" i="12"/>
  <c r="M130" i="12"/>
  <c r="I318" i="12"/>
  <c r="J319" i="12"/>
  <c r="M319" i="12"/>
  <c r="N318" i="12"/>
  <c r="O318" i="12" s="1"/>
  <c r="O319" i="12"/>
  <c r="R451" i="12"/>
  <c r="L502" i="12"/>
  <c r="J634" i="12"/>
  <c r="I633" i="12"/>
  <c r="M634" i="12"/>
  <c r="J772" i="12"/>
  <c r="I771" i="12"/>
  <c r="M771" i="12" s="1"/>
  <c r="L778" i="12"/>
  <c r="O841" i="12"/>
  <c r="L16" i="12"/>
  <c r="M17" i="12"/>
  <c r="O374" i="12"/>
  <c r="N373" i="12"/>
  <c r="Q701" i="12"/>
  <c r="R701" i="12" s="1"/>
  <c r="R702" i="12"/>
  <c r="J489" i="12"/>
  <c r="I488" i="12"/>
  <c r="M489" i="12"/>
  <c r="R180" i="12"/>
  <c r="N41" i="12"/>
  <c r="O41" i="12" s="1"/>
  <c r="O42" i="12"/>
  <c r="O180" i="12"/>
  <c r="J198" i="12"/>
  <c r="I197" i="12"/>
  <c r="M197" i="12" s="1"/>
  <c r="L372" i="12"/>
  <c r="J413" i="12"/>
  <c r="I407" i="12"/>
  <c r="J407" i="12" s="1"/>
  <c r="O584" i="12"/>
  <c r="N583" i="12"/>
  <c r="J592" i="12"/>
  <c r="J585" i="12"/>
  <c r="I584" i="12"/>
  <c r="M584" i="12" s="1"/>
  <c r="O661" i="12"/>
  <c r="N660" i="12"/>
  <c r="L752" i="12"/>
  <c r="R826" i="12"/>
  <c r="Q825" i="12"/>
  <c r="R825" i="12" s="1"/>
  <c r="L788" i="12"/>
  <c r="M848" i="12"/>
  <c r="L847" i="12"/>
  <c r="J737" i="12"/>
  <c r="I736" i="12"/>
  <c r="R815" i="12"/>
  <c r="M841" i="12"/>
  <c r="L832" i="12"/>
  <c r="I215" i="12"/>
  <c r="J215" i="12" s="1"/>
  <c r="J216" i="12"/>
  <c r="M349" i="12"/>
  <c r="R552" i="12"/>
  <c r="Q551" i="12"/>
  <c r="O463" i="12"/>
  <c r="N462" i="12"/>
  <c r="O462" i="12" s="1"/>
  <c r="N541" i="12"/>
  <c r="O542" i="12"/>
  <c r="J71" i="12"/>
  <c r="I70" i="12"/>
  <c r="J70" i="12" s="1"/>
  <c r="O161" i="12"/>
  <c r="R155" i="12"/>
  <c r="Q143" i="12"/>
  <c r="O247" i="12"/>
  <c r="N246" i="12"/>
  <c r="I276" i="12"/>
  <c r="J276" i="12" s="1"/>
  <c r="J277" i="12"/>
  <c r="L161" i="12"/>
  <c r="M162" i="12"/>
  <c r="M362" i="12"/>
  <c r="L361" i="12"/>
  <c r="L291" i="12"/>
  <c r="O361" i="12"/>
  <c r="N360" i="12"/>
  <c r="R368" i="12"/>
  <c r="Q367" i="12"/>
  <c r="O451" i="12"/>
  <c r="M564" i="12"/>
  <c r="L563" i="12"/>
  <c r="O551" i="12"/>
  <c r="N550" i="12"/>
  <c r="Q520" i="12"/>
  <c r="R521" i="12"/>
  <c r="L509" i="12"/>
  <c r="R585" i="12"/>
  <c r="Q584" i="12"/>
  <c r="R650" i="12"/>
  <c r="Q649" i="12"/>
  <c r="J765" i="12"/>
  <c r="I764" i="12"/>
  <c r="N833" i="12"/>
  <c r="O833" i="12" s="1"/>
  <c r="O834" i="12"/>
  <c r="J341" i="12"/>
  <c r="I340" i="12"/>
  <c r="Q528" i="12"/>
  <c r="R529" i="12"/>
  <c r="O764" i="12"/>
  <c r="N763" i="12"/>
  <c r="O763" i="12" s="1"/>
  <c r="R361" i="12"/>
  <c r="Q360" i="12"/>
  <c r="M189" i="12"/>
  <c r="L188" i="12"/>
  <c r="I359" i="12"/>
  <c r="J359" i="12" s="1"/>
  <c r="J360" i="12"/>
  <c r="I298" i="12"/>
  <c r="M298" i="12" s="1"/>
  <c r="J299" i="12"/>
  <c r="I563" i="12"/>
  <c r="J564" i="12"/>
  <c r="L475" i="12"/>
  <c r="M476" i="12"/>
  <c r="L463" i="12"/>
  <c r="L617" i="12"/>
  <c r="M618" i="12"/>
  <c r="L217" i="12"/>
  <c r="M218" i="12"/>
  <c r="O136" i="12"/>
  <c r="N135" i="12"/>
  <c r="R162" i="12"/>
  <c r="Q161" i="12"/>
  <c r="R328" i="12"/>
  <c r="Q327" i="12"/>
  <c r="J256" i="12"/>
  <c r="I255" i="12"/>
  <c r="M299" i="12"/>
  <c r="I511" i="12"/>
  <c r="J511" i="12" s="1"/>
  <c r="I510" i="12"/>
  <c r="M510" i="12" s="1"/>
  <c r="J512" i="12"/>
  <c r="L536" i="12"/>
  <c r="R610" i="12"/>
  <c r="Q609" i="12"/>
  <c r="R737" i="12"/>
  <c r="Q736" i="12"/>
  <c r="M438" i="12"/>
  <c r="L437" i="12"/>
  <c r="M437" i="12" s="1"/>
  <c r="O327" i="12"/>
  <c r="N326" i="12"/>
  <c r="O326" i="12" s="1"/>
  <c r="J528" i="12"/>
  <c r="I527" i="12"/>
  <c r="J521" i="12"/>
  <c r="I520" i="12"/>
  <c r="N633" i="12"/>
  <c r="O634" i="12"/>
  <c r="O702" i="12"/>
  <c r="N701" i="12"/>
  <c r="O701" i="12" s="1"/>
  <c r="O16" i="12"/>
  <c r="J171" i="12"/>
  <c r="I170" i="12"/>
  <c r="J170" i="12" s="1"/>
  <c r="N216" i="12"/>
  <c r="O217" i="12"/>
  <c r="J293" i="12"/>
  <c r="I292" i="12"/>
  <c r="M293" i="12"/>
  <c r="L386" i="12"/>
  <c r="M387" i="12"/>
  <c r="N474" i="12"/>
  <c r="O474" i="12" s="1"/>
  <c r="O475" i="12"/>
  <c r="M611" i="12"/>
  <c r="L610" i="12"/>
  <c r="O504" i="12"/>
  <c r="N503" i="12"/>
  <c r="R564" i="12"/>
  <c r="Q563" i="12"/>
  <c r="O744" i="12"/>
  <c r="N737" i="12"/>
  <c r="Q797" i="12"/>
  <c r="R798" i="12"/>
  <c r="I211" i="12"/>
  <c r="M211" i="12" s="1"/>
  <c r="J212" i="12"/>
  <c r="L366" i="12"/>
  <c r="R541" i="12"/>
  <c r="Q540" i="12"/>
  <c r="R772" i="12"/>
  <c r="Q771" i="12"/>
  <c r="Q847" i="12"/>
  <c r="R848" i="12"/>
  <c r="J162" i="12"/>
  <c r="I161" i="12"/>
  <c r="M256" i="12"/>
  <c r="L255" i="12"/>
  <c r="I444" i="12"/>
  <c r="J445" i="12"/>
  <c r="M445" i="12"/>
  <c r="J475" i="12"/>
  <c r="I474" i="12"/>
  <c r="J474" i="12" s="1"/>
  <c r="L425" i="12"/>
  <c r="J650" i="12"/>
  <c r="I649" i="12"/>
  <c r="I640" i="12" s="1"/>
  <c r="M650" i="12"/>
  <c r="M401" i="12"/>
  <c r="R444" i="12"/>
  <c r="Q443" i="12"/>
  <c r="R443" i="12" s="1"/>
  <c r="N425" i="12"/>
  <c r="O426" i="12"/>
  <c r="R488" i="12"/>
  <c r="Q483" i="12"/>
  <c r="R464" i="12"/>
  <c r="Q463" i="12"/>
  <c r="M592" i="12"/>
  <c r="M772" i="12"/>
  <c r="O753" i="12"/>
  <c r="N752" i="12"/>
  <c r="O826" i="12"/>
  <c r="N825" i="12"/>
  <c r="O825" i="12" s="1"/>
  <c r="N143" i="12"/>
  <c r="I367" i="12"/>
  <c r="M367" i="12" s="1"/>
  <c r="J368" i="12"/>
  <c r="Q373" i="12"/>
  <c r="N624" i="12"/>
  <c r="O625" i="12"/>
  <c r="M642" i="12"/>
  <c r="L641" i="12"/>
  <c r="J752" i="12"/>
  <c r="I751" i="12"/>
  <c r="J327" i="12"/>
  <c r="I326" i="12"/>
  <c r="J326" i="12" s="1"/>
  <c r="M37" i="12"/>
  <c r="J335" i="12"/>
  <c r="I334" i="12"/>
  <c r="M335" i="12"/>
  <c r="Q679" i="12"/>
  <c r="R679" i="12" s="1"/>
  <c r="R680" i="12"/>
  <c r="R255" i="12"/>
  <c r="J304" i="12"/>
  <c r="M304" i="12"/>
  <c r="N571" i="12"/>
  <c r="O572" i="12"/>
  <c r="M826" i="12"/>
  <c r="L825" i="12"/>
  <c r="M825" i="12" s="1"/>
  <c r="L210" i="12"/>
  <c r="R634" i="12"/>
  <c r="Q633" i="12"/>
  <c r="M819" i="12"/>
  <c r="L815" i="12"/>
  <c r="O241" i="12"/>
  <c r="N240" i="12"/>
  <c r="O240" i="12" s="1"/>
  <c r="M345" i="12"/>
  <c r="L341" i="12"/>
  <c r="O71" i="12"/>
  <c r="N70" i="12"/>
  <c r="O70" i="12" s="1"/>
  <c r="J135" i="12"/>
  <c r="I134" i="12"/>
  <c r="O171" i="12"/>
  <c r="N170" i="12"/>
  <c r="O170" i="12" s="1"/>
  <c r="O791" i="12"/>
  <c r="N790" i="12"/>
  <c r="O90" i="12"/>
  <c r="L196" i="12"/>
  <c r="L70" i="12"/>
  <c r="M71" i="12"/>
  <c r="O255" i="12"/>
  <c r="N254" i="12"/>
  <c r="J24" i="12"/>
  <c r="I23" i="12"/>
  <c r="M23" i="12" s="1"/>
  <c r="J180" i="12"/>
  <c r="J265" i="12"/>
  <c r="M265" i="12"/>
  <c r="N349" i="12"/>
  <c r="O350" i="12"/>
  <c r="L520" i="12"/>
  <c r="M521" i="12"/>
  <c r="J661" i="12"/>
  <c r="I660" i="12"/>
  <c r="J680" i="12"/>
  <c r="I679" i="12"/>
  <c r="J679" i="12" s="1"/>
  <c r="O529" i="12"/>
  <c r="N528" i="12"/>
  <c r="J641" i="12"/>
  <c r="J722" i="12"/>
  <c r="I721" i="12"/>
  <c r="Q9" i="12"/>
  <c r="R9" i="12" s="1"/>
  <c r="R10" i="12"/>
  <c r="M452" i="12"/>
  <c r="M529" i="12"/>
  <c r="L528" i="12"/>
  <c r="I624" i="12"/>
  <c r="J625" i="12"/>
  <c r="M625" i="12"/>
  <c r="N616" i="12"/>
  <c r="O617" i="12"/>
  <c r="L679" i="12"/>
  <c r="M680" i="12"/>
  <c r="M722" i="12"/>
  <c r="J798" i="12"/>
  <c r="I797" i="12"/>
  <c r="R120" i="12"/>
  <c r="Q113" i="12"/>
  <c r="R113" i="12" s="1"/>
  <c r="R171" i="12"/>
  <c r="Q170" i="12"/>
  <c r="R170" i="12" s="1"/>
  <c r="R91" i="12"/>
  <c r="Q90" i="12"/>
  <c r="M224" i="12"/>
  <c r="L223" i="12"/>
  <c r="M223" i="12" s="1"/>
  <c r="M413" i="12"/>
  <c r="Q197" i="12"/>
  <c r="R198" i="12"/>
  <c r="R386" i="12"/>
  <c r="Q385" i="12"/>
  <c r="R341" i="12"/>
  <c r="J268" i="12"/>
  <c r="M268" i="12"/>
  <c r="R350" i="12"/>
  <c r="Q349" i="12"/>
  <c r="R349" i="12" s="1"/>
  <c r="J387" i="12"/>
  <c r="J386" i="12" s="1"/>
  <c r="I386" i="12"/>
  <c r="I541" i="12"/>
  <c r="J542" i="12"/>
  <c r="M542" i="12"/>
  <c r="L285" i="12"/>
  <c r="R512" i="12"/>
  <c r="Q511" i="12"/>
  <c r="R511" i="12" s="1"/>
  <c r="Q510" i="12"/>
  <c r="L660" i="12"/>
  <c r="J718" i="12"/>
  <c r="I717" i="12"/>
  <c r="Q779" i="12"/>
  <c r="R780" i="12"/>
  <c r="O848" i="12"/>
  <c r="N847" i="12"/>
  <c r="O129" i="12"/>
  <c r="N128" i="12"/>
  <c r="O128" i="12" s="1"/>
  <c r="Q23" i="12"/>
  <c r="R24" i="12"/>
  <c r="M24" i="12"/>
  <c r="R192" i="12"/>
  <c r="Q188" i="12"/>
  <c r="R603" i="12"/>
  <c r="Q599" i="12"/>
  <c r="R599" i="12" s="1"/>
  <c r="L583" i="12"/>
  <c r="J834" i="12"/>
  <c r="I833" i="12"/>
  <c r="M833" i="12" s="1"/>
  <c r="O11" i="12"/>
  <c r="N10" i="12"/>
  <c r="M327" i="12"/>
  <c r="L326" i="12"/>
  <c r="M241" i="12"/>
  <c r="L240" i="12"/>
  <c r="M240" i="12" s="1"/>
  <c r="M171" i="12"/>
  <c r="J203" i="12"/>
  <c r="I286" i="12"/>
  <c r="J287" i="12"/>
  <c r="M277" i="12"/>
  <c r="L407" i="12"/>
  <c r="L550" i="12"/>
  <c r="J451" i="12"/>
  <c r="J552" i="12"/>
  <c r="I551" i="12"/>
  <c r="M551" i="12" s="1"/>
  <c r="N641" i="12"/>
  <c r="O642" i="12"/>
  <c r="M717" i="12"/>
  <c r="L716" i="12"/>
  <c r="R624" i="12"/>
  <c r="Q623" i="12"/>
  <c r="R623" i="12" s="1"/>
  <c r="M744" i="12"/>
  <c r="L737" i="12"/>
  <c r="L797" i="12"/>
  <c r="M798" i="12"/>
  <c r="J702" i="12"/>
  <c r="I701" i="12"/>
  <c r="J701" i="12" s="1"/>
  <c r="R792" i="12"/>
  <c r="Q791" i="12"/>
  <c r="R217" i="12"/>
  <c r="Q216" i="12"/>
  <c r="O799" i="12"/>
  <c r="N798" i="12"/>
  <c r="J603" i="12"/>
  <c r="I599" i="12"/>
  <c r="J599" i="12" s="1"/>
  <c r="R592" i="12"/>
  <c r="O611" i="12"/>
  <c r="N610" i="12"/>
  <c r="R832" i="12"/>
  <c r="Q831" i="12"/>
  <c r="O781" i="12"/>
  <c r="N780" i="12"/>
  <c r="J815" i="12"/>
  <c r="J810" i="12" s="1"/>
  <c r="I847" i="12"/>
  <c r="J848" i="12"/>
  <c r="L22" i="12"/>
  <c r="R277" i="12"/>
  <c r="Q276" i="12"/>
  <c r="R276" i="12" s="1"/>
  <c r="M585" i="12"/>
  <c r="J780" i="12"/>
  <c r="I779" i="12"/>
  <c r="R135" i="12"/>
  <c r="Q134" i="12"/>
  <c r="M135" i="12"/>
  <c r="L134" i="12"/>
  <c r="O23" i="12"/>
  <c r="N22" i="12"/>
  <c r="O22" i="12" s="1"/>
  <c r="J155" i="12"/>
  <c r="I143" i="12"/>
  <c r="M143" i="12" s="1"/>
  <c r="J124" i="12"/>
  <c r="I120" i="12"/>
  <c r="M124" i="12"/>
  <c r="M170" i="12"/>
  <c r="M247" i="12"/>
  <c r="L246" i="12"/>
  <c r="R246" i="12"/>
  <c r="Q239" i="12"/>
  <c r="Q298" i="12"/>
  <c r="N385" i="12"/>
  <c r="O445" i="12"/>
  <c r="N444" i="12"/>
  <c r="I570" i="12"/>
  <c r="J570" i="12" s="1"/>
  <c r="J571" i="12"/>
  <c r="M552" i="12"/>
  <c r="M603" i="12"/>
  <c r="L591" i="12"/>
  <c r="Q660" i="12"/>
  <c r="R661" i="12"/>
  <c r="J610" i="12"/>
  <c r="I609" i="12"/>
  <c r="R718" i="12"/>
  <c r="Q717" i="12"/>
  <c r="L770" i="12"/>
  <c r="O717" i="12"/>
  <c r="N716" i="12"/>
  <c r="J804" i="12"/>
  <c r="M804" i="12"/>
  <c r="O771" i="12"/>
  <c r="N770" i="12"/>
  <c r="R722" i="12"/>
  <c r="Q721" i="12"/>
  <c r="R721" i="12" s="1"/>
  <c r="R752" i="12"/>
  <c r="Q751" i="12"/>
  <c r="J792" i="12"/>
  <c r="I791" i="12"/>
  <c r="M792" i="12"/>
  <c r="J12" i="12"/>
  <c r="I11" i="12"/>
  <c r="M12" i="12"/>
  <c r="L142" i="12"/>
  <c r="J464" i="12"/>
  <c r="I463" i="12"/>
  <c r="O489" i="12"/>
  <c r="N488" i="12"/>
  <c r="J504" i="12"/>
  <c r="I503" i="12"/>
  <c r="M503" i="12" s="1"/>
  <c r="L371" i="11"/>
  <c r="M378" i="11"/>
  <c r="G237" i="11"/>
  <c r="H238" i="11"/>
  <c r="L493" i="11"/>
  <c r="M493" i="11" s="1"/>
  <c r="M494" i="11"/>
  <c r="M9" i="11"/>
  <c r="L8" i="11"/>
  <c r="L60" i="11"/>
  <c r="M64" i="11"/>
  <c r="J155" i="11"/>
  <c r="P335" i="11"/>
  <c r="P291" i="11"/>
  <c r="M655" i="11"/>
  <c r="L654" i="11"/>
  <c r="H199" i="11"/>
  <c r="G198" i="11"/>
  <c r="H198" i="11" s="1"/>
  <c r="P255" i="11"/>
  <c r="O254" i="11"/>
  <c r="J175" i="11"/>
  <c r="K176" i="11"/>
  <c r="K464" i="11"/>
  <c r="J463" i="11"/>
  <c r="M151" i="11"/>
  <c r="L150" i="11"/>
  <c r="M150" i="11" s="1"/>
  <c r="K139" i="11"/>
  <c r="J138" i="11"/>
  <c r="P238" i="11"/>
  <c r="O237" i="11"/>
  <c r="H194" i="11"/>
  <c r="G182" i="11"/>
  <c r="P302" i="11"/>
  <c r="O298" i="11"/>
  <c r="P298" i="11" s="1"/>
  <c r="L267" i="11"/>
  <c r="M267" i="11" s="1"/>
  <c r="M268" i="11"/>
  <c r="N676" i="11"/>
  <c r="P677" i="11"/>
  <c r="P199" i="11"/>
  <c r="O198" i="11"/>
  <c r="P198" i="11" s="1"/>
  <c r="P168" i="11"/>
  <c r="O167" i="11"/>
  <c r="K20" i="11"/>
  <c r="J19" i="11"/>
  <c r="M273" i="11"/>
  <c r="H168" i="11"/>
  <c r="G167" i="11"/>
  <c r="P321" i="11"/>
  <c r="O320" i="11"/>
  <c r="K486" i="11"/>
  <c r="J474" i="11"/>
  <c r="G474" i="11"/>
  <c r="H494" i="11"/>
  <c r="G493" i="11"/>
  <c r="H493" i="11" s="1"/>
  <c r="M464" i="11"/>
  <c r="L463" i="11"/>
  <c r="M463" i="11" s="1"/>
  <c r="G172" i="11"/>
  <c r="P194" i="11"/>
  <c r="O182" i="11"/>
  <c r="H291" i="11"/>
  <c r="H357" i="11"/>
  <c r="G356" i="11"/>
  <c r="K357" i="11"/>
  <c r="G320" i="11"/>
  <c r="H320" i="11" s="1"/>
  <c r="H321" i="11"/>
  <c r="P378" i="11"/>
  <c r="O371" i="11"/>
  <c r="L356" i="11"/>
  <c r="M356" i="11" s="1"/>
  <c r="M357" i="11"/>
  <c r="H414" i="11"/>
  <c r="G413" i="11"/>
  <c r="H413" i="11" s="1"/>
  <c r="L365" i="11"/>
  <c r="M365" i="11" s="1"/>
  <c r="M366" i="11"/>
  <c r="P464" i="11"/>
  <c r="O463" i="11"/>
  <c r="P463" i="11" s="1"/>
  <c r="H559" i="11"/>
  <c r="G558" i="11"/>
  <c r="K559" i="11"/>
  <c r="H626" i="11"/>
  <c r="G625" i="11"/>
  <c r="H654" i="11"/>
  <c r="G650" i="11"/>
  <c r="H665" i="11"/>
  <c r="K665" i="11"/>
  <c r="P19" i="11"/>
  <c r="K116" i="11"/>
  <c r="J115" i="11"/>
  <c r="M145" i="11"/>
  <c r="I138" i="11"/>
  <c r="L245" i="11"/>
  <c r="M246" i="11"/>
  <c r="P357" i="11"/>
  <c r="O356" i="11"/>
  <c r="P356" i="11" s="1"/>
  <c r="P533" i="11"/>
  <c r="P428" i="11"/>
  <c r="M174" i="11"/>
  <c r="L173" i="11"/>
  <c r="M20" i="11"/>
  <c r="L19" i="11"/>
  <c r="J366" i="11"/>
  <c r="K367" i="11"/>
  <c r="N175" i="11"/>
  <c r="P176" i="11"/>
  <c r="J268" i="11"/>
  <c r="K269" i="11"/>
  <c r="H139" i="11"/>
  <c r="H116" i="11"/>
  <c r="G115" i="11"/>
  <c r="H115" i="11" s="1"/>
  <c r="H219" i="11"/>
  <c r="G218" i="11"/>
  <c r="K219" i="11"/>
  <c r="K228" i="11"/>
  <c r="J227" i="11"/>
  <c r="H280" i="11"/>
  <c r="G273" i="11"/>
  <c r="K494" i="11"/>
  <c r="J493" i="11"/>
  <c r="M455" i="11"/>
  <c r="M559" i="11"/>
  <c r="L558" i="11"/>
  <c r="K587" i="11"/>
  <c r="J586" i="11"/>
  <c r="J633" i="11"/>
  <c r="K634" i="11"/>
  <c r="K724" i="11"/>
  <c r="J723" i="11"/>
  <c r="K199" i="11"/>
  <c r="J198" i="11"/>
  <c r="L253" i="11"/>
  <c r="M254" i="11"/>
  <c r="H100" i="11"/>
  <c r="K100" i="11"/>
  <c r="J244" i="11"/>
  <c r="N309" i="11"/>
  <c r="P310" i="11"/>
  <c r="P46" i="11"/>
  <c r="O45" i="11"/>
  <c r="H46" i="11"/>
  <c r="G45" i="11"/>
  <c r="H302" i="11"/>
  <c r="G298" i="11"/>
  <c r="H298" i="11" s="1"/>
  <c r="H456" i="11"/>
  <c r="G455" i="11"/>
  <c r="L420" i="11"/>
  <c r="M420" i="11" s="1"/>
  <c r="M421" i="11"/>
  <c r="O558" i="11"/>
  <c r="M671" i="11"/>
  <c r="L670" i="11"/>
  <c r="M670" i="11" s="1"/>
  <c r="P586" i="11"/>
  <c r="O585" i="11"/>
  <c r="L625" i="11"/>
  <c r="M626" i="11"/>
  <c r="P645" i="11"/>
  <c r="O644" i="11"/>
  <c r="P644" i="11" s="1"/>
  <c r="M724" i="11"/>
  <c r="L723" i="11"/>
  <c r="H683" i="11"/>
  <c r="K683" i="11"/>
  <c r="H643" i="11"/>
  <c r="H709" i="11"/>
  <c r="G708" i="11"/>
  <c r="L427" i="11"/>
  <c r="M428" i="11"/>
  <c r="J738" i="11"/>
  <c r="M200" i="11"/>
  <c r="L199" i="11"/>
  <c r="H19" i="11"/>
  <c r="M335" i="11"/>
  <c r="L334" i="11"/>
  <c r="P486" i="11"/>
  <c r="O474" i="11"/>
  <c r="K519" i="11"/>
  <c r="J518" i="11"/>
  <c r="K518" i="11" s="1"/>
  <c r="P633" i="11"/>
  <c r="O632" i="11"/>
  <c r="P632" i="11" s="1"/>
  <c r="J69" i="11"/>
  <c r="P157" i="11"/>
  <c r="N156" i="11"/>
  <c r="H27" i="11"/>
  <c r="G26" i="11"/>
  <c r="K26" i="11" s="1"/>
  <c r="J237" i="11"/>
  <c r="K238" i="11"/>
  <c r="L181" i="11"/>
  <c r="M182" i="11"/>
  <c r="P245" i="11"/>
  <c r="O244" i="11"/>
  <c r="J274" i="11"/>
  <c r="K275" i="11"/>
  <c r="I474" i="11"/>
  <c r="I473" i="11" s="1"/>
  <c r="I472" i="11" s="1"/>
  <c r="I452" i="11" s="1"/>
  <c r="M486" i="11"/>
  <c r="G420" i="11"/>
  <c r="H420" i="11" s="1"/>
  <c r="H421" i="11"/>
  <c r="P414" i="11"/>
  <c r="O413" i="11"/>
  <c r="P413" i="11" s="1"/>
  <c r="P626" i="11"/>
  <c r="O625" i="11"/>
  <c r="H638" i="11"/>
  <c r="G637" i="11"/>
  <c r="H637" i="11" s="1"/>
  <c r="J654" i="11"/>
  <c r="J708" i="11"/>
  <c r="K709" i="11"/>
  <c r="H723" i="11"/>
  <c r="G722" i="11"/>
  <c r="O138" i="11"/>
  <c r="P139" i="11"/>
  <c r="O274" i="11"/>
  <c r="P275" i="11"/>
  <c r="K168" i="11"/>
  <c r="J167" i="11"/>
  <c r="K456" i="11"/>
  <c r="J455" i="11"/>
  <c r="L238" i="11"/>
  <c r="M239" i="11"/>
  <c r="H353" i="11"/>
  <c r="K353" i="11"/>
  <c r="K291" i="11"/>
  <c r="K422" i="11"/>
  <c r="J421" i="11"/>
  <c r="M475" i="11"/>
  <c r="L474" i="11"/>
  <c r="K577" i="11"/>
  <c r="J570" i="11"/>
  <c r="H613" i="11"/>
  <c r="G607" i="11"/>
  <c r="H607" i="11" s="1"/>
  <c r="H577" i="11"/>
  <c r="G570" i="11"/>
  <c r="L675" i="11"/>
  <c r="M675" i="11" s="1"/>
  <c r="H740" i="11"/>
  <c r="G739" i="11"/>
  <c r="J607" i="11"/>
  <c r="J730" i="11"/>
  <c r="K732" i="11"/>
  <c r="J731" i="11"/>
  <c r="K731" i="11" s="1"/>
  <c r="L585" i="11"/>
  <c r="K540" i="11"/>
  <c r="J539" i="11"/>
  <c r="O172" i="11"/>
  <c r="K45" i="11"/>
  <c r="J44" i="11"/>
  <c r="J314" i="11"/>
  <c r="K315" i="11"/>
  <c r="P444" i="11"/>
  <c r="O440" i="11"/>
  <c r="P440" i="11" s="1"/>
  <c r="M219" i="11"/>
  <c r="L218" i="11"/>
  <c r="P10" i="11"/>
  <c r="O9" i="11"/>
  <c r="J334" i="11"/>
  <c r="M519" i="11"/>
  <c r="L518" i="11"/>
  <c r="M518" i="11" s="1"/>
  <c r="H378" i="11"/>
  <c r="G371" i="11"/>
  <c r="M116" i="11"/>
  <c r="L115" i="11"/>
  <c r="P51" i="11"/>
  <c r="O50" i="11"/>
  <c r="P50" i="11" s="1"/>
  <c r="O70" i="11"/>
  <c r="P71" i="11"/>
  <c r="G70" i="11"/>
  <c r="K70" i="11" s="1"/>
  <c r="H71" i="11"/>
  <c r="K27" i="11"/>
  <c r="H211" i="11"/>
  <c r="K211" i="11"/>
  <c r="H464" i="11"/>
  <c r="G463" i="11"/>
  <c r="H463" i="11" s="1"/>
  <c r="M739" i="11"/>
  <c r="L738" i="11"/>
  <c r="M27" i="11"/>
  <c r="L26" i="11"/>
  <c r="J95" i="11"/>
  <c r="H255" i="11"/>
  <c r="G254" i="11"/>
  <c r="K254" i="11" s="1"/>
  <c r="K444" i="11"/>
  <c r="J440" i="11"/>
  <c r="H268" i="11"/>
  <c r="G267" i="11"/>
  <c r="H267" i="11" s="1"/>
  <c r="H326" i="11"/>
  <c r="K326" i="11"/>
  <c r="J253" i="11"/>
  <c r="J319" i="11"/>
  <c r="J543" i="11"/>
  <c r="K543" i="11" s="1"/>
  <c r="P638" i="11"/>
  <c r="O637" i="11"/>
  <c r="P637" i="11" s="1"/>
  <c r="P643" i="11"/>
  <c r="O729" i="11"/>
  <c r="P729" i="11" s="1"/>
  <c r="P730" i="11"/>
  <c r="H645" i="11"/>
  <c r="G644" i="11"/>
  <c r="H644" i="11" s="1"/>
  <c r="M709" i="11"/>
  <c r="L708" i="11"/>
  <c r="K638" i="11"/>
  <c r="K378" i="11"/>
  <c r="P116" i="11"/>
  <c r="O115" i="11"/>
  <c r="P115" i="11" s="1"/>
  <c r="J309" i="11"/>
  <c r="K309" i="11" s="1"/>
  <c r="K310" i="11"/>
  <c r="M732" i="11"/>
  <c r="L731" i="11"/>
  <c r="M731" i="11" s="1"/>
  <c r="L730" i="11"/>
  <c r="H157" i="11"/>
  <c r="G156" i="11"/>
  <c r="H336" i="11"/>
  <c r="G335" i="11"/>
  <c r="F175" i="11"/>
  <c r="H176" i="11"/>
  <c r="G427" i="11"/>
  <c r="H428" i="11"/>
  <c r="L319" i="11"/>
  <c r="M326" i="11"/>
  <c r="J372" i="11"/>
  <c r="K372" i="11" s="1"/>
  <c r="K373" i="11"/>
  <c r="P577" i="11"/>
  <c r="O570" i="11"/>
  <c r="L569" i="11"/>
  <c r="M570" i="11"/>
  <c r="G95" i="11"/>
  <c r="H95" i="11" s="1"/>
  <c r="H96" i="11"/>
  <c r="K182" i="11"/>
  <c r="J181" i="11"/>
  <c r="H51" i="11"/>
  <c r="G50" i="11"/>
  <c r="H50" i="11" s="1"/>
  <c r="H146" i="11"/>
  <c r="G145" i="11"/>
  <c r="H145" i="11" s="1"/>
  <c r="G245" i="11"/>
  <c r="H246" i="11"/>
  <c r="G365" i="11"/>
  <c r="H365" i="11" s="1"/>
  <c r="H366" i="11"/>
  <c r="J25" i="11"/>
  <c r="L290" i="11"/>
  <c r="M290" i="11" s="1"/>
  <c r="M291" i="11"/>
  <c r="H407" i="11"/>
  <c r="K407" i="11"/>
  <c r="J413" i="11"/>
  <c r="K413" i="11" s="1"/>
  <c r="K414" i="11"/>
  <c r="P456" i="11"/>
  <c r="O455" i="11"/>
  <c r="M534" i="11"/>
  <c r="L533" i="11"/>
  <c r="H543" i="11"/>
  <c r="G538" i="11"/>
  <c r="K627" i="11"/>
  <c r="J626" i="11"/>
  <c r="H730" i="11"/>
  <c r="G729" i="11"/>
  <c r="H729" i="11" s="1"/>
  <c r="P723" i="11"/>
  <c r="O722" i="11"/>
  <c r="H13" i="11"/>
  <c r="K13" i="11"/>
  <c r="H10" i="11"/>
  <c r="G9" i="11"/>
  <c r="K10" i="11"/>
  <c r="K194" i="11"/>
  <c r="O217" i="11"/>
  <c r="P218" i="11"/>
  <c r="P145" i="11"/>
  <c r="N138" i="11"/>
  <c r="P27" i="11"/>
  <c r="O26" i="11"/>
  <c r="P96" i="11"/>
  <c r="O95" i="11"/>
  <c r="P95" i="11" s="1"/>
  <c r="K281" i="11"/>
  <c r="K321" i="11"/>
  <c r="P421" i="11"/>
  <c r="O420" i="11"/>
  <c r="P420" i="11" s="1"/>
  <c r="K677" i="11"/>
  <c r="J676" i="11"/>
  <c r="G633" i="11"/>
  <c r="H634" i="11"/>
  <c r="P709" i="11"/>
  <c r="O708" i="11"/>
  <c r="P740" i="11"/>
  <c r="O739" i="11"/>
  <c r="P655" i="11"/>
  <c r="O654" i="11"/>
  <c r="F676" i="11"/>
  <c r="H677" i="11"/>
  <c r="L454" i="11" l="1"/>
  <c r="R571" i="12"/>
  <c r="J246" i="12"/>
  <c r="J426" i="12"/>
  <c r="I90" i="12"/>
  <c r="M90" i="12" s="1"/>
  <c r="M373" i="12"/>
  <c r="J373" i="12"/>
  <c r="I425" i="12"/>
  <c r="J91" i="12"/>
  <c r="K7" i="12"/>
  <c r="K852" i="12" s="1"/>
  <c r="K854" i="12" s="1"/>
  <c r="K9" i="13"/>
  <c r="H10" i="13"/>
  <c r="M815" i="12"/>
  <c r="L810" i="12"/>
  <c r="M810" i="12" s="1"/>
  <c r="M326" i="12"/>
  <c r="N590" i="12"/>
  <c r="N589" i="12" s="1"/>
  <c r="O589" i="12" s="1"/>
  <c r="I9" i="13"/>
  <c r="M10" i="13"/>
  <c r="M70" i="12"/>
  <c r="N450" i="12"/>
  <c r="O450" i="12" s="1"/>
  <c r="L70" i="13"/>
  <c r="K95" i="11"/>
  <c r="K151" i="11"/>
  <c r="H151" i="11"/>
  <c r="G150" i="11"/>
  <c r="G585" i="11"/>
  <c r="M679" i="12"/>
  <c r="N809" i="12"/>
  <c r="O809" i="12" s="1"/>
  <c r="K203" i="13"/>
  <c r="J155" i="13"/>
  <c r="K155" i="13" s="1"/>
  <c r="O412" i="13"/>
  <c r="P412" i="13" s="1"/>
  <c r="M407" i="12"/>
  <c r="K637" i="11"/>
  <c r="I69" i="11"/>
  <c r="M70" i="11"/>
  <c r="P539" i="11"/>
  <c r="O538" i="11"/>
  <c r="I385" i="12"/>
  <c r="I384" i="12" s="1"/>
  <c r="R617" i="12"/>
  <c r="Q616" i="12"/>
  <c r="J188" i="12"/>
  <c r="I187" i="12"/>
  <c r="K352" i="13"/>
  <c r="M570" i="12"/>
  <c r="M599" i="12"/>
  <c r="O188" i="12"/>
  <c r="N187" i="12"/>
  <c r="K320" i="11"/>
  <c r="K198" i="11"/>
  <c r="K71" i="13"/>
  <c r="M701" i="12"/>
  <c r="M511" i="12"/>
  <c r="J433" i="12"/>
  <c r="I432" i="12"/>
  <c r="M433" i="12"/>
  <c r="G319" i="11"/>
  <c r="K607" i="11"/>
  <c r="Q591" i="12"/>
  <c r="R591" i="12" s="1"/>
  <c r="L412" i="13"/>
  <c r="M412" i="13" s="1"/>
  <c r="H523" i="13"/>
  <c r="G516" i="13"/>
  <c r="H516" i="13" s="1"/>
  <c r="G70" i="13"/>
  <c r="H77" i="13"/>
  <c r="L516" i="13"/>
  <c r="M516" i="13" s="1"/>
  <c r="M523" i="13"/>
  <c r="M449" i="13"/>
  <c r="L448" i="13"/>
  <c r="M448" i="13" s="1"/>
  <c r="J243" i="13"/>
  <c r="K244" i="13"/>
  <c r="O70" i="13"/>
  <c r="P77" i="13"/>
  <c r="H449" i="13"/>
  <c r="G448" i="13"/>
  <c r="H448" i="13" s="1"/>
  <c r="K449" i="13"/>
  <c r="K396" i="13"/>
  <c r="J383" i="13"/>
  <c r="K296" i="13"/>
  <c r="H113" i="13"/>
  <c r="G112" i="13"/>
  <c r="H112" i="13" s="1"/>
  <c r="K54" i="13"/>
  <c r="K471" i="13"/>
  <c r="K156" i="13"/>
  <c r="O465" i="13"/>
  <c r="P465" i="13" s="1"/>
  <c r="P352" i="13"/>
  <c r="O337" i="13"/>
  <c r="P337" i="13" s="1"/>
  <c r="P10" i="13"/>
  <c r="O9" i="13"/>
  <c r="P9" i="13" s="1"/>
  <c r="H466" i="13"/>
  <c r="G465" i="13"/>
  <c r="H465" i="13" s="1"/>
  <c r="H338" i="13"/>
  <c r="G337" i="13"/>
  <c r="H337" i="13" s="1"/>
  <c r="G412" i="13"/>
  <c r="H412" i="13" s="1"/>
  <c r="H413" i="13"/>
  <c r="H244" i="13"/>
  <c r="G243" i="13"/>
  <c r="H243" i="13" s="1"/>
  <c r="H384" i="13"/>
  <c r="G383" i="13"/>
  <c r="H383" i="13" s="1"/>
  <c r="K384" i="13"/>
  <c r="K112" i="13"/>
  <c r="K466" i="13"/>
  <c r="K338" i="13"/>
  <c r="J337" i="13"/>
  <c r="M498" i="13"/>
  <c r="L490" i="13"/>
  <c r="M490" i="13" s="1"/>
  <c r="P523" i="13"/>
  <c r="O516" i="13"/>
  <c r="P516" i="13" s="1"/>
  <c r="K523" i="13"/>
  <c r="J516" i="13"/>
  <c r="M70" i="13"/>
  <c r="P244" i="13"/>
  <c r="O243" i="13"/>
  <c r="P243" i="13" s="1"/>
  <c r="L47" i="13"/>
  <c r="M47" i="13" s="1"/>
  <c r="M48" i="13"/>
  <c r="J70" i="13"/>
  <c r="K77" i="13"/>
  <c r="L243" i="13"/>
  <c r="M243" i="13" s="1"/>
  <c r="M244" i="13"/>
  <c r="K48" i="13"/>
  <c r="J47" i="13"/>
  <c r="K47" i="13" s="1"/>
  <c r="H498" i="13"/>
  <c r="G490" i="13"/>
  <c r="H490" i="13" s="1"/>
  <c r="K263" i="13"/>
  <c r="P455" i="13"/>
  <c r="O448" i="13"/>
  <c r="P448" i="13" s="1"/>
  <c r="P113" i="13"/>
  <c r="O112" i="13"/>
  <c r="P112" i="13" s="1"/>
  <c r="P498" i="13"/>
  <c r="O490" i="13"/>
  <c r="P490" i="13" s="1"/>
  <c r="K413" i="13"/>
  <c r="J412" i="13"/>
  <c r="L141" i="12"/>
  <c r="N443" i="12"/>
  <c r="O443" i="12" s="1"/>
  <c r="O444" i="12"/>
  <c r="R239" i="12"/>
  <c r="Q234" i="12"/>
  <c r="L239" i="12"/>
  <c r="M246" i="12"/>
  <c r="J120" i="12"/>
  <c r="M120" i="12"/>
  <c r="I113" i="12"/>
  <c r="J113" i="12" s="1"/>
  <c r="I809" i="12"/>
  <c r="I285" i="12"/>
  <c r="J285" i="12" s="1"/>
  <c r="J286" i="12"/>
  <c r="L579" i="12"/>
  <c r="R188" i="12"/>
  <c r="Q187" i="12"/>
  <c r="O770" i="12"/>
  <c r="N769" i="12"/>
  <c r="O769" i="12" s="1"/>
  <c r="O716" i="12"/>
  <c r="N715" i="12"/>
  <c r="O715" i="12" s="1"/>
  <c r="Q716" i="12"/>
  <c r="R717" i="12"/>
  <c r="R134" i="12"/>
  <c r="Q133" i="12"/>
  <c r="R133" i="12" s="1"/>
  <c r="O798" i="12"/>
  <c r="N797" i="12"/>
  <c r="J463" i="12"/>
  <c r="I462" i="12"/>
  <c r="Q659" i="12"/>
  <c r="R660" i="12"/>
  <c r="N384" i="12"/>
  <c r="O385" i="12"/>
  <c r="O780" i="12"/>
  <c r="N779" i="12"/>
  <c r="L796" i="12"/>
  <c r="M797" i="12"/>
  <c r="N640" i="12"/>
  <c r="O641" i="12"/>
  <c r="R779" i="12"/>
  <c r="Q778" i="12"/>
  <c r="R510" i="12"/>
  <c r="Q509" i="12"/>
  <c r="R509" i="12" s="1"/>
  <c r="J11" i="12"/>
  <c r="I10" i="12"/>
  <c r="M11" i="12"/>
  <c r="J791" i="12"/>
  <c r="I790" i="12"/>
  <c r="M791" i="12"/>
  <c r="L769" i="12"/>
  <c r="J609" i="12"/>
  <c r="I608" i="12"/>
  <c r="J608" i="12" s="1"/>
  <c r="L590" i="12"/>
  <c r="R298" i="12"/>
  <c r="Q291" i="12"/>
  <c r="M134" i="12"/>
  <c r="L133" i="12"/>
  <c r="J779" i="12"/>
  <c r="I778" i="12"/>
  <c r="J847" i="12"/>
  <c r="I846" i="12"/>
  <c r="O610" i="12"/>
  <c r="N609" i="12"/>
  <c r="R216" i="12"/>
  <c r="Q215" i="12"/>
  <c r="R215" i="12" s="1"/>
  <c r="M737" i="12"/>
  <c r="L736" i="12"/>
  <c r="L715" i="12"/>
  <c r="J551" i="12"/>
  <c r="I550" i="12"/>
  <c r="M550" i="12" s="1"/>
  <c r="L549" i="12"/>
  <c r="L535" i="12" s="1"/>
  <c r="O10" i="12"/>
  <c r="N9" i="12"/>
  <c r="O9" i="12" s="1"/>
  <c r="O847" i="12"/>
  <c r="N846" i="12"/>
  <c r="I716" i="12"/>
  <c r="M716" i="12" s="1"/>
  <c r="J717" i="12"/>
  <c r="J797" i="12"/>
  <c r="I796" i="12"/>
  <c r="N615" i="12"/>
  <c r="O615" i="12" s="1"/>
  <c r="O616" i="12"/>
  <c r="L527" i="12"/>
  <c r="M528" i="12"/>
  <c r="I639" i="12"/>
  <c r="J640" i="12"/>
  <c r="O349" i="12"/>
  <c r="N340" i="12"/>
  <c r="N253" i="12"/>
  <c r="O253" i="12" s="1"/>
  <c r="O254" i="12"/>
  <c r="R633" i="12"/>
  <c r="Q632" i="12"/>
  <c r="Q254" i="12"/>
  <c r="M641" i="12"/>
  <c r="L640" i="12"/>
  <c r="Q372" i="12"/>
  <c r="R372" i="12" s="1"/>
  <c r="R373" i="12"/>
  <c r="R483" i="12"/>
  <c r="Q482" i="12"/>
  <c r="J649" i="12"/>
  <c r="M649" i="12"/>
  <c r="I443" i="12"/>
  <c r="J444" i="12"/>
  <c r="M444" i="12"/>
  <c r="I210" i="12"/>
  <c r="J210" i="12" s="1"/>
  <c r="J211" i="12"/>
  <c r="Q796" i="12"/>
  <c r="R797" i="12"/>
  <c r="R563" i="12"/>
  <c r="Q562" i="12"/>
  <c r="L609" i="12"/>
  <c r="M610" i="12"/>
  <c r="R327" i="12"/>
  <c r="Q326" i="12"/>
  <c r="R326" i="12" s="1"/>
  <c r="O135" i="12"/>
  <c r="N134" i="12"/>
  <c r="L474" i="12"/>
  <c r="M474" i="12" s="1"/>
  <c r="M475" i="12"/>
  <c r="I291" i="12"/>
  <c r="J298" i="12"/>
  <c r="Q519" i="12"/>
  <c r="R519" i="12" s="1"/>
  <c r="R520" i="12"/>
  <c r="M291" i="12"/>
  <c r="L290" i="12"/>
  <c r="M161" i="12"/>
  <c r="L160" i="12"/>
  <c r="N540" i="12"/>
  <c r="O541" i="12"/>
  <c r="L831" i="12"/>
  <c r="I735" i="12"/>
  <c r="J735" i="12" s="1"/>
  <c r="J736" i="12"/>
  <c r="L751" i="12"/>
  <c r="J584" i="12"/>
  <c r="I583" i="12"/>
  <c r="M583" i="12" s="1"/>
  <c r="I591" i="12"/>
  <c r="M591" i="12" s="1"/>
  <c r="M276" i="12"/>
  <c r="M372" i="12"/>
  <c r="M779" i="12"/>
  <c r="O590" i="12"/>
  <c r="R764" i="12"/>
  <c r="Q763" i="12"/>
  <c r="R763" i="12" s="1"/>
  <c r="I615" i="12"/>
  <c r="J615" i="12" s="1"/>
  <c r="J616" i="12"/>
  <c r="M181" i="12"/>
  <c r="L180" i="12"/>
  <c r="N483" i="12"/>
  <c r="O488" i="12"/>
  <c r="R831" i="12"/>
  <c r="Q830" i="12"/>
  <c r="R830" i="12" s="1"/>
  <c r="Q22" i="12"/>
  <c r="R23" i="12"/>
  <c r="Q340" i="12"/>
  <c r="J721" i="12"/>
  <c r="M721" i="12"/>
  <c r="L195" i="12"/>
  <c r="O790" i="12"/>
  <c r="N789" i="12"/>
  <c r="J134" i="12"/>
  <c r="I133" i="12"/>
  <c r="J133" i="12" s="1"/>
  <c r="N570" i="12"/>
  <c r="O570" i="12" s="1"/>
  <c r="O571" i="12"/>
  <c r="M255" i="12"/>
  <c r="L254" i="12"/>
  <c r="Q770" i="12"/>
  <c r="R771" i="12"/>
  <c r="N736" i="12"/>
  <c r="O737" i="12"/>
  <c r="L385" i="12"/>
  <c r="M386" i="12"/>
  <c r="N15" i="12"/>
  <c r="J527" i="12"/>
  <c r="I526" i="12"/>
  <c r="J526" i="12" s="1"/>
  <c r="R609" i="12"/>
  <c r="Q608" i="12"/>
  <c r="R608" i="12" s="1"/>
  <c r="L616" i="12"/>
  <c r="M617" i="12"/>
  <c r="Q359" i="12"/>
  <c r="R359" i="12" s="1"/>
  <c r="R360" i="12"/>
  <c r="R649" i="12"/>
  <c r="Q640" i="12"/>
  <c r="O550" i="12"/>
  <c r="N549" i="12"/>
  <c r="O549" i="12" s="1"/>
  <c r="N359" i="12"/>
  <c r="O359" i="12" s="1"/>
  <c r="O360" i="12"/>
  <c r="M361" i="12"/>
  <c r="L360" i="12"/>
  <c r="R143" i="12"/>
  <c r="Q142" i="12"/>
  <c r="J197" i="12"/>
  <c r="I196" i="12"/>
  <c r="L15" i="12"/>
  <c r="M16" i="12"/>
  <c r="L777" i="12"/>
  <c r="J318" i="12"/>
  <c r="M318" i="12"/>
  <c r="R751" i="12"/>
  <c r="R791" i="12"/>
  <c r="Q790" i="12"/>
  <c r="J833" i="12"/>
  <c r="I832" i="12"/>
  <c r="L659" i="12"/>
  <c r="M660" i="12"/>
  <c r="I540" i="12"/>
  <c r="J541" i="12"/>
  <c r="M541" i="12"/>
  <c r="Q196" i="12"/>
  <c r="R197" i="12"/>
  <c r="R90" i="12"/>
  <c r="Q61" i="12"/>
  <c r="R61" i="12" s="1"/>
  <c r="L519" i="12"/>
  <c r="M520" i="12"/>
  <c r="J23" i="12"/>
  <c r="I22" i="12"/>
  <c r="M22" i="12" s="1"/>
  <c r="L340" i="12"/>
  <c r="M341" i="12"/>
  <c r="J425" i="12"/>
  <c r="I234" i="12"/>
  <c r="J239" i="12"/>
  <c r="J751" i="12"/>
  <c r="I366" i="12"/>
  <c r="M366" i="12" s="1"/>
  <c r="J367" i="12"/>
  <c r="O752" i="12"/>
  <c r="N751" i="12"/>
  <c r="R463" i="12"/>
  <c r="Q462" i="12"/>
  <c r="L424" i="12"/>
  <c r="M425" i="12"/>
  <c r="R847" i="12"/>
  <c r="Q846" i="12"/>
  <c r="O503" i="12"/>
  <c r="N502" i="12"/>
  <c r="N215" i="12"/>
  <c r="O215" i="12" s="1"/>
  <c r="O216" i="12"/>
  <c r="N632" i="12"/>
  <c r="O633" i="12"/>
  <c r="J255" i="12"/>
  <c r="I254" i="12"/>
  <c r="R161" i="12"/>
  <c r="Q160" i="12"/>
  <c r="M463" i="12"/>
  <c r="L462" i="12"/>
  <c r="I562" i="12"/>
  <c r="J563" i="12"/>
  <c r="Q527" i="12"/>
  <c r="R528" i="12"/>
  <c r="R810" i="12"/>
  <c r="Q809" i="12"/>
  <c r="L846" i="12"/>
  <c r="M847" i="12"/>
  <c r="O660" i="12"/>
  <c r="N659" i="12"/>
  <c r="N579" i="12"/>
  <c r="O583" i="12"/>
  <c r="J488" i="12"/>
  <c r="I483" i="12"/>
  <c r="M488" i="12"/>
  <c r="N372" i="12"/>
  <c r="O373" i="12"/>
  <c r="N832" i="12"/>
  <c r="J771" i="12"/>
  <c r="I770" i="12"/>
  <c r="M770" i="12" s="1"/>
  <c r="L501" i="12"/>
  <c r="L481" i="12" s="1"/>
  <c r="N291" i="12"/>
  <c r="O196" i="12"/>
  <c r="N195" i="12"/>
  <c r="O195" i="12" s="1"/>
  <c r="J503" i="12"/>
  <c r="I502" i="12"/>
  <c r="M502" i="12" s="1"/>
  <c r="J143" i="12"/>
  <c r="I142" i="12"/>
  <c r="M286" i="12"/>
  <c r="Q384" i="12"/>
  <c r="R385" i="12"/>
  <c r="I623" i="12"/>
  <c r="J624" i="12"/>
  <c r="M624" i="12"/>
  <c r="O528" i="12"/>
  <c r="N527" i="12"/>
  <c r="J660" i="12"/>
  <c r="I659" i="12"/>
  <c r="N61" i="12"/>
  <c r="O61" i="12" s="1"/>
  <c r="J334" i="12"/>
  <c r="I333" i="12"/>
  <c r="M334" i="12"/>
  <c r="N623" i="12"/>
  <c r="O623" i="12" s="1"/>
  <c r="O624" i="12"/>
  <c r="O143" i="12"/>
  <c r="N142" i="12"/>
  <c r="O425" i="12"/>
  <c r="N424" i="12"/>
  <c r="O424" i="12" s="1"/>
  <c r="J161" i="12"/>
  <c r="I160" i="12"/>
  <c r="R540" i="12"/>
  <c r="Q536" i="12"/>
  <c r="J292" i="12"/>
  <c r="M292" i="12"/>
  <c r="J520" i="12"/>
  <c r="I519" i="12"/>
  <c r="J519" i="12" s="1"/>
  <c r="R736" i="12"/>
  <c r="Q735" i="12"/>
  <c r="R735" i="12" s="1"/>
  <c r="J510" i="12"/>
  <c r="I509" i="12"/>
  <c r="J509" i="12" s="1"/>
  <c r="M217" i="12"/>
  <c r="L216" i="12"/>
  <c r="M188" i="12"/>
  <c r="L187" i="12"/>
  <c r="J340" i="12"/>
  <c r="I339" i="12"/>
  <c r="J764" i="12"/>
  <c r="I763" i="12"/>
  <c r="J763" i="12" s="1"/>
  <c r="R584" i="12"/>
  <c r="Q583" i="12"/>
  <c r="M563" i="12"/>
  <c r="L562" i="12"/>
  <c r="R367" i="12"/>
  <c r="Q366" i="12"/>
  <c r="O246" i="12"/>
  <c r="N239" i="12"/>
  <c r="N160" i="12"/>
  <c r="Q550" i="12"/>
  <c r="R551" i="12"/>
  <c r="I632" i="12"/>
  <c r="J633" i="12"/>
  <c r="M633" i="12"/>
  <c r="L128" i="12"/>
  <c r="M129" i="12"/>
  <c r="Q424" i="12"/>
  <c r="R424" i="12" s="1"/>
  <c r="R425" i="12"/>
  <c r="Q502" i="12"/>
  <c r="R503" i="12"/>
  <c r="F174" i="11"/>
  <c r="H175" i="11"/>
  <c r="F675" i="11"/>
  <c r="H676" i="11"/>
  <c r="P739" i="11"/>
  <c r="O738" i="11"/>
  <c r="H335" i="11"/>
  <c r="G334" i="11"/>
  <c r="M730" i="11"/>
  <c r="L729" i="11"/>
  <c r="M729" i="11" s="1"/>
  <c r="M26" i="11"/>
  <c r="L25" i="11"/>
  <c r="M25" i="11" s="1"/>
  <c r="H633" i="11"/>
  <c r="G632" i="11"/>
  <c r="H632" i="11" s="1"/>
  <c r="M319" i="11"/>
  <c r="L308" i="11"/>
  <c r="G253" i="11"/>
  <c r="K253" i="11" s="1"/>
  <c r="H254" i="11"/>
  <c r="H371" i="11"/>
  <c r="G370" i="11"/>
  <c r="H370" i="11" s="1"/>
  <c r="K335" i="11"/>
  <c r="K539" i="11"/>
  <c r="J538" i="11"/>
  <c r="H739" i="11"/>
  <c r="G738" i="11"/>
  <c r="K738" i="11" s="1"/>
  <c r="K167" i="11"/>
  <c r="J166" i="11"/>
  <c r="J86" i="11" s="1"/>
  <c r="J371" i="11"/>
  <c r="P654" i="11"/>
  <c r="O650" i="11"/>
  <c r="O703" i="11"/>
  <c r="P708" i="11"/>
  <c r="J675" i="11"/>
  <c r="K675" i="11" s="1"/>
  <c r="K676" i="11"/>
  <c r="P26" i="11"/>
  <c r="O25" i="11"/>
  <c r="H9" i="11"/>
  <c r="G8" i="11"/>
  <c r="K9" i="11"/>
  <c r="P722" i="11"/>
  <c r="O721" i="11"/>
  <c r="P721" i="11" s="1"/>
  <c r="K626" i="11"/>
  <c r="J625" i="11"/>
  <c r="M533" i="11"/>
  <c r="L532" i="11"/>
  <c r="M532" i="11" s="1"/>
  <c r="J180" i="11"/>
  <c r="K50" i="11"/>
  <c r="H156" i="11"/>
  <c r="G155" i="11"/>
  <c r="H155" i="11" s="1"/>
  <c r="K319" i="11"/>
  <c r="M738" i="11"/>
  <c r="L737" i="11"/>
  <c r="M737" i="11" s="1"/>
  <c r="G69" i="11"/>
  <c r="K69" i="11" s="1"/>
  <c r="H70" i="11"/>
  <c r="K334" i="11"/>
  <c r="K314" i="11"/>
  <c r="J308" i="11"/>
  <c r="K730" i="11"/>
  <c r="J729" i="11"/>
  <c r="K729" i="11" s="1"/>
  <c r="L473" i="11"/>
  <c r="M474" i="11"/>
  <c r="L237" i="11"/>
  <c r="M238" i="11"/>
  <c r="P138" i="11"/>
  <c r="K708" i="11"/>
  <c r="J703" i="11"/>
  <c r="K237" i="11"/>
  <c r="P474" i="11"/>
  <c r="O473" i="11"/>
  <c r="J737" i="11"/>
  <c r="K298" i="11"/>
  <c r="M625" i="11"/>
  <c r="L624" i="11"/>
  <c r="M624" i="11" s="1"/>
  <c r="G454" i="11"/>
  <c r="H455" i="11"/>
  <c r="K145" i="11"/>
  <c r="M558" i="11"/>
  <c r="L557" i="11"/>
  <c r="M557" i="11" s="1"/>
  <c r="K493" i="11"/>
  <c r="K227" i="11"/>
  <c r="J217" i="11"/>
  <c r="G138" i="11"/>
  <c r="N174" i="11"/>
  <c r="P175" i="11"/>
  <c r="H558" i="11"/>
  <c r="G557" i="11"/>
  <c r="K558" i="11"/>
  <c r="K474" i="11"/>
  <c r="J473" i="11"/>
  <c r="G166" i="11"/>
  <c r="H166" i="11" s="1"/>
  <c r="H167" i="11"/>
  <c r="K19" i="11"/>
  <c r="J18" i="11"/>
  <c r="H182" i="11"/>
  <c r="G181" i="11"/>
  <c r="K181" i="11" s="1"/>
  <c r="K138" i="11"/>
  <c r="K463" i="11"/>
  <c r="P254" i="11"/>
  <c r="O253" i="11"/>
  <c r="M654" i="11"/>
  <c r="L650" i="11"/>
  <c r="O334" i="11"/>
  <c r="L703" i="11"/>
  <c r="M708" i="11"/>
  <c r="H319" i="11"/>
  <c r="G308" i="11"/>
  <c r="K440" i="11"/>
  <c r="J427" i="11"/>
  <c r="M115" i="11"/>
  <c r="L86" i="11"/>
  <c r="P9" i="11"/>
  <c r="O8" i="11"/>
  <c r="M585" i="11"/>
  <c r="L584" i="11"/>
  <c r="K455" i="11"/>
  <c r="J454" i="11"/>
  <c r="G721" i="11"/>
  <c r="H721" i="11" s="1"/>
  <c r="H722" i="11"/>
  <c r="O624" i="11"/>
  <c r="P624" i="11" s="1"/>
  <c r="P625" i="11"/>
  <c r="H26" i="11"/>
  <c r="G25" i="11"/>
  <c r="K739" i="11"/>
  <c r="G703" i="11"/>
  <c r="H708" i="11"/>
  <c r="P585" i="11"/>
  <c r="O584" i="11"/>
  <c r="P558" i="11"/>
  <c r="O557" i="11"/>
  <c r="P557" i="11" s="1"/>
  <c r="H45" i="11"/>
  <c r="G44" i="11"/>
  <c r="H44" i="11" s="1"/>
  <c r="N308" i="11"/>
  <c r="N307" i="11" s="1"/>
  <c r="P309" i="11"/>
  <c r="J632" i="11"/>
  <c r="K633" i="11"/>
  <c r="M173" i="11"/>
  <c r="L172" i="11"/>
  <c r="M172" i="11" s="1"/>
  <c r="K115" i="11"/>
  <c r="H625" i="11"/>
  <c r="L370" i="11"/>
  <c r="M370" i="11" s="1"/>
  <c r="M371" i="11"/>
  <c r="O454" i="11"/>
  <c r="P455" i="11"/>
  <c r="P570" i="11"/>
  <c r="O569" i="11"/>
  <c r="O69" i="11"/>
  <c r="P70" i="11"/>
  <c r="H570" i="11"/>
  <c r="G569" i="11"/>
  <c r="K570" i="11"/>
  <c r="J569" i="11"/>
  <c r="K421" i="11"/>
  <c r="J420" i="11"/>
  <c r="K420" i="11" s="1"/>
  <c r="O273" i="11"/>
  <c r="P274" i="11"/>
  <c r="J273" i="11"/>
  <c r="K274" i="11"/>
  <c r="M181" i="11"/>
  <c r="L180" i="11"/>
  <c r="J60" i="11"/>
  <c r="M334" i="11"/>
  <c r="L333" i="11"/>
  <c r="M333" i="11" s="1"/>
  <c r="M199" i="11"/>
  <c r="L198" i="11"/>
  <c r="M198" i="11" s="1"/>
  <c r="P45" i="11"/>
  <c r="O44" i="11"/>
  <c r="P44" i="11" s="1"/>
  <c r="J243" i="11"/>
  <c r="K723" i="11"/>
  <c r="J722" i="11"/>
  <c r="K586" i="11"/>
  <c r="J585" i="11"/>
  <c r="H273" i="11"/>
  <c r="K268" i="11"/>
  <c r="J267" i="11"/>
  <c r="K267" i="11" s="1"/>
  <c r="K366" i="11"/>
  <c r="J365" i="11"/>
  <c r="K365" i="11" s="1"/>
  <c r="L244" i="11"/>
  <c r="M245" i="11"/>
  <c r="P371" i="11"/>
  <c r="O370" i="11"/>
  <c r="P370" i="11" s="1"/>
  <c r="G290" i="11"/>
  <c r="G272" i="11" s="1"/>
  <c r="H272" i="11" s="1"/>
  <c r="P320" i="11"/>
  <c r="O319" i="11"/>
  <c r="L272" i="11"/>
  <c r="M272" i="11" s="1"/>
  <c r="O166" i="11"/>
  <c r="P166" i="11" s="1"/>
  <c r="P167" i="11"/>
  <c r="P237" i="11"/>
  <c r="O290" i="11"/>
  <c r="P290" i="11" s="1"/>
  <c r="K155" i="11"/>
  <c r="M8" i="11"/>
  <c r="L7" i="11"/>
  <c r="P217" i="11"/>
  <c r="O210" i="11"/>
  <c r="P210" i="11" s="1"/>
  <c r="L568" i="11"/>
  <c r="M568" i="11" s="1"/>
  <c r="M569" i="11"/>
  <c r="H538" i="11"/>
  <c r="G532" i="11"/>
  <c r="H532" i="11" s="1"/>
  <c r="G426" i="11"/>
  <c r="H427" i="11"/>
  <c r="G244" i="11"/>
  <c r="H245" i="11"/>
  <c r="M218" i="11"/>
  <c r="L217" i="11"/>
  <c r="P244" i="11"/>
  <c r="O243" i="11"/>
  <c r="P243" i="11" s="1"/>
  <c r="N155" i="11"/>
  <c r="P155" i="11" s="1"/>
  <c r="P156" i="11"/>
  <c r="G584" i="11"/>
  <c r="H585" i="11"/>
  <c r="M427" i="11"/>
  <c r="L426" i="11"/>
  <c r="L722" i="11"/>
  <c r="M723" i="11"/>
  <c r="K245" i="11"/>
  <c r="L252" i="11"/>
  <c r="M252" i="11" s="1"/>
  <c r="M253" i="11"/>
  <c r="M454" i="11"/>
  <c r="L453" i="11"/>
  <c r="H218" i="11"/>
  <c r="G217" i="11"/>
  <c r="K218" i="11"/>
  <c r="M19" i="11"/>
  <c r="O427" i="11"/>
  <c r="M138" i="11"/>
  <c r="I86" i="11"/>
  <c r="H356" i="11"/>
  <c r="K356" i="11"/>
  <c r="P182" i="11"/>
  <c r="O181" i="11"/>
  <c r="H474" i="11"/>
  <c r="G473" i="11"/>
  <c r="N675" i="11"/>
  <c r="P676" i="11"/>
  <c r="J174" i="11"/>
  <c r="K175" i="11"/>
  <c r="K156" i="11"/>
  <c r="H237" i="11"/>
  <c r="K632" i="11" l="1"/>
  <c r="J650" i="11"/>
  <c r="I424" i="12"/>
  <c r="J424" i="12" s="1"/>
  <c r="J90" i="12"/>
  <c r="Q590" i="12"/>
  <c r="R590" i="12" s="1"/>
  <c r="M285" i="12"/>
  <c r="M210" i="12"/>
  <c r="N808" i="12"/>
  <c r="O808" i="12" s="1"/>
  <c r="I61" i="12"/>
  <c r="J61" i="12" s="1"/>
  <c r="M113" i="12"/>
  <c r="L18" i="11"/>
  <c r="M18" i="11" s="1"/>
  <c r="K412" i="13"/>
  <c r="N442" i="12"/>
  <c r="O442" i="12" s="1"/>
  <c r="M424" i="12"/>
  <c r="R750" i="12"/>
  <c r="M9" i="13"/>
  <c r="I540" i="13"/>
  <c r="H150" i="11"/>
  <c r="K150" i="11"/>
  <c r="J187" i="12"/>
  <c r="I186" i="12"/>
  <c r="J186" i="12" s="1"/>
  <c r="M133" i="12"/>
  <c r="K448" i="13"/>
  <c r="R616" i="12"/>
  <c r="Q615" i="12"/>
  <c r="R615" i="12" s="1"/>
  <c r="J385" i="12"/>
  <c r="K465" i="13"/>
  <c r="K516" i="13"/>
  <c r="P538" i="11"/>
  <c r="O532" i="11"/>
  <c r="P532" i="11" s="1"/>
  <c r="N186" i="12"/>
  <c r="O186" i="12" s="1"/>
  <c r="O187" i="12"/>
  <c r="I60" i="11"/>
  <c r="M60" i="11" s="1"/>
  <c r="M69" i="11"/>
  <c r="G624" i="11"/>
  <c r="H624" i="11" s="1"/>
  <c r="K490" i="13"/>
  <c r="K337" i="13"/>
  <c r="J432" i="12"/>
  <c r="M432" i="12"/>
  <c r="J540" i="13"/>
  <c r="K70" i="13"/>
  <c r="O540" i="13"/>
  <c r="P540" i="13" s="1"/>
  <c r="P70" i="13"/>
  <c r="G540" i="13"/>
  <c r="H540" i="13" s="1"/>
  <c r="H70" i="13"/>
  <c r="L540" i="13"/>
  <c r="M540" i="13" s="1"/>
  <c r="K383" i="13"/>
  <c r="K243" i="13"/>
  <c r="I631" i="12"/>
  <c r="J632" i="12"/>
  <c r="M632" i="12"/>
  <c r="M562" i="12"/>
  <c r="L561" i="12"/>
  <c r="J540" i="12"/>
  <c r="I536" i="12"/>
  <c r="M540" i="12"/>
  <c r="J832" i="12"/>
  <c r="I831" i="12"/>
  <c r="M831" i="12" s="1"/>
  <c r="Q589" i="12"/>
  <c r="R589" i="12" s="1"/>
  <c r="R142" i="12"/>
  <c r="Q141" i="12"/>
  <c r="M616" i="12"/>
  <c r="L615" i="12"/>
  <c r="M615" i="12" s="1"/>
  <c r="O789" i="12"/>
  <c r="N788" i="12"/>
  <c r="O788" i="12" s="1"/>
  <c r="O134" i="12"/>
  <c r="N133" i="12"/>
  <c r="O133" i="12" s="1"/>
  <c r="R632" i="12"/>
  <c r="Q631" i="12"/>
  <c r="R631" i="12" s="1"/>
  <c r="O340" i="12"/>
  <c r="N339" i="12"/>
  <c r="J796" i="12"/>
  <c r="I795" i="12"/>
  <c r="J795" i="12" s="1"/>
  <c r="J846" i="12"/>
  <c r="I845" i="12"/>
  <c r="J845" i="12" s="1"/>
  <c r="L589" i="12"/>
  <c r="R778" i="12"/>
  <c r="Q777" i="12"/>
  <c r="J462" i="12"/>
  <c r="I450" i="12"/>
  <c r="R716" i="12"/>
  <c r="Q715" i="12"/>
  <c r="R715" i="12" s="1"/>
  <c r="R22" i="12"/>
  <c r="Q15" i="12"/>
  <c r="N482" i="12"/>
  <c r="O483" i="12"/>
  <c r="O846" i="12"/>
  <c r="N845" i="12"/>
  <c r="O845" i="12" s="1"/>
  <c r="M128" i="12"/>
  <c r="L61" i="12"/>
  <c r="O527" i="12"/>
  <c r="N526" i="12"/>
  <c r="O526" i="12" s="1"/>
  <c r="J623" i="12"/>
  <c r="M623" i="12"/>
  <c r="J142" i="12"/>
  <c r="I141" i="12"/>
  <c r="M141" i="12" s="1"/>
  <c r="O832" i="12"/>
  <c r="N831" i="12"/>
  <c r="I482" i="12"/>
  <c r="J483" i="12"/>
  <c r="M483" i="12"/>
  <c r="M846" i="12"/>
  <c r="L845" i="12"/>
  <c r="Q526" i="12"/>
  <c r="R526" i="12" s="1"/>
  <c r="R527" i="12"/>
  <c r="M340" i="12"/>
  <c r="L339" i="12"/>
  <c r="M519" i="12"/>
  <c r="R196" i="12"/>
  <c r="Q195" i="12"/>
  <c r="R195" i="12" s="1"/>
  <c r="N8" i="12"/>
  <c r="O15" i="12"/>
  <c r="N735" i="12"/>
  <c r="O735" i="12" s="1"/>
  <c r="O736" i="12"/>
  <c r="R770" i="12"/>
  <c r="Q769" i="12"/>
  <c r="R769" i="12" s="1"/>
  <c r="M180" i="12"/>
  <c r="O540" i="12"/>
  <c r="N536" i="12"/>
  <c r="I290" i="12"/>
  <c r="J290" i="12" s="1"/>
  <c r="J291" i="12"/>
  <c r="M609" i="12"/>
  <c r="L608" i="12"/>
  <c r="M608" i="12" s="1"/>
  <c r="R796" i="12"/>
  <c r="Q795" i="12"/>
  <c r="R795" i="12" s="1"/>
  <c r="R482" i="12"/>
  <c r="M640" i="12"/>
  <c r="L639" i="12"/>
  <c r="L526" i="12"/>
  <c r="M526" i="12" s="1"/>
  <c r="M527" i="12"/>
  <c r="I383" i="12"/>
  <c r="J383" i="12" s="1"/>
  <c r="J384" i="12"/>
  <c r="L795" i="12"/>
  <c r="M795" i="12" s="1"/>
  <c r="M796" i="12"/>
  <c r="O384" i="12"/>
  <c r="N383" i="12"/>
  <c r="O383" i="12" s="1"/>
  <c r="Q186" i="12"/>
  <c r="R187" i="12"/>
  <c r="M239" i="12"/>
  <c r="L234" i="12"/>
  <c r="Q579" i="12"/>
  <c r="R583" i="12"/>
  <c r="J160" i="12"/>
  <c r="I159" i="12"/>
  <c r="J159" i="12" s="1"/>
  <c r="R809" i="12"/>
  <c r="Q808" i="12"/>
  <c r="R808" i="12" s="1"/>
  <c r="O502" i="12"/>
  <c r="N501" i="12"/>
  <c r="O501" i="12" s="1"/>
  <c r="R846" i="12"/>
  <c r="Q845" i="12"/>
  <c r="R845" i="12" s="1"/>
  <c r="L809" i="12"/>
  <c r="M809" i="12" s="1"/>
  <c r="J22" i="12"/>
  <c r="I15" i="12"/>
  <c r="M15" i="12" s="1"/>
  <c r="R790" i="12"/>
  <c r="Q789" i="12"/>
  <c r="J196" i="12"/>
  <c r="I195" i="12"/>
  <c r="M195" i="12" s="1"/>
  <c r="M360" i="12"/>
  <c r="L359" i="12"/>
  <c r="M509" i="12"/>
  <c r="M254" i="12"/>
  <c r="L253" i="12"/>
  <c r="M196" i="12"/>
  <c r="Q339" i="12"/>
  <c r="R340" i="12"/>
  <c r="I590" i="12"/>
  <c r="M590" i="12" s="1"/>
  <c r="J591" i="12"/>
  <c r="L830" i="12"/>
  <c r="M160" i="12"/>
  <c r="L159" i="12"/>
  <c r="L140" i="12" s="1"/>
  <c r="R562" i="12"/>
  <c r="Q561" i="12"/>
  <c r="R561" i="12" s="1"/>
  <c r="J443" i="12"/>
  <c r="M443" i="12"/>
  <c r="J550" i="12"/>
  <c r="I549" i="12"/>
  <c r="J549" i="12" s="1"/>
  <c r="M736" i="12"/>
  <c r="L735" i="12"/>
  <c r="M735" i="12" s="1"/>
  <c r="O609" i="12"/>
  <c r="N608" i="12"/>
  <c r="O608" i="12" s="1"/>
  <c r="J778" i="12"/>
  <c r="I777" i="12"/>
  <c r="M777" i="12" s="1"/>
  <c r="R291" i="12"/>
  <c r="Q290" i="12"/>
  <c r="R290" i="12" s="1"/>
  <c r="J10" i="12"/>
  <c r="I9" i="12"/>
  <c r="M10" i="12"/>
  <c r="O779" i="12"/>
  <c r="N778" i="12"/>
  <c r="O797" i="12"/>
  <c r="N796" i="12"/>
  <c r="R234" i="12"/>
  <c r="R502" i="12"/>
  <c r="Q501" i="12"/>
  <c r="R501" i="12" s="1"/>
  <c r="O239" i="12"/>
  <c r="N234" i="12"/>
  <c r="M187" i="12"/>
  <c r="L186" i="12"/>
  <c r="O579" i="12"/>
  <c r="N578" i="12"/>
  <c r="M462" i="12"/>
  <c r="L450" i="12"/>
  <c r="J254" i="12"/>
  <c r="I253" i="12"/>
  <c r="J253" i="12" s="1"/>
  <c r="O751" i="12"/>
  <c r="Q549" i="12"/>
  <c r="R549" i="12" s="1"/>
  <c r="R550" i="12"/>
  <c r="R366" i="12"/>
  <c r="Q358" i="12"/>
  <c r="R358" i="12" s="1"/>
  <c r="J339" i="12"/>
  <c r="I338" i="12"/>
  <c r="J338" i="12" s="1"/>
  <c r="M216" i="12"/>
  <c r="L215" i="12"/>
  <c r="M215" i="12" s="1"/>
  <c r="R536" i="12"/>
  <c r="O142" i="12"/>
  <c r="N141" i="12"/>
  <c r="O659" i="12"/>
  <c r="N658" i="12"/>
  <c r="O658" i="12" s="1"/>
  <c r="R160" i="12"/>
  <c r="Q159" i="12"/>
  <c r="R159" i="12" s="1"/>
  <c r="R462" i="12"/>
  <c r="Q450" i="12"/>
  <c r="N159" i="12"/>
  <c r="O159" i="12" s="1"/>
  <c r="O160" i="12"/>
  <c r="L534" i="12"/>
  <c r="J333" i="12"/>
  <c r="M333" i="12"/>
  <c r="J659" i="12"/>
  <c r="I658" i="12"/>
  <c r="J658" i="12" s="1"/>
  <c r="Q383" i="12"/>
  <c r="R383" i="12" s="1"/>
  <c r="R384" i="12"/>
  <c r="J502" i="12"/>
  <c r="I501" i="12"/>
  <c r="J501" i="12" s="1"/>
  <c r="N290" i="12"/>
  <c r="O290" i="12" s="1"/>
  <c r="O291" i="12"/>
  <c r="J770" i="12"/>
  <c r="I769" i="12"/>
  <c r="J769" i="12" s="1"/>
  <c r="O372" i="12"/>
  <c r="N358" i="12"/>
  <c r="O358" i="12" s="1"/>
  <c r="J562" i="12"/>
  <c r="I561" i="12"/>
  <c r="J561" i="12" s="1"/>
  <c r="N631" i="12"/>
  <c r="O631" i="12" s="1"/>
  <c r="O632" i="12"/>
  <c r="J366" i="12"/>
  <c r="I358" i="12"/>
  <c r="J358" i="12" s="1"/>
  <c r="J234" i="12"/>
  <c r="L658" i="12"/>
  <c r="M659" i="12"/>
  <c r="M778" i="12"/>
  <c r="R640" i="12"/>
  <c r="Q639" i="12"/>
  <c r="M385" i="12"/>
  <c r="L384" i="12"/>
  <c r="I579" i="12"/>
  <c r="M579" i="12" s="1"/>
  <c r="J583" i="12"/>
  <c r="M832" i="12"/>
  <c r="R254" i="12"/>
  <c r="Q253" i="12"/>
  <c r="R253" i="12" s="1"/>
  <c r="J639" i="12"/>
  <c r="J716" i="12"/>
  <c r="I715" i="12"/>
  <c r="J715" i="12" s="1"/>
  <c r="J790" i="12"/>
  <c r="I789" i="12"/>
  <c r="M790" i="12"/>
  <c r="O640" i="12"/>
  <c r="N639" i="12"/>
  <c r="R659" i="12"/>
  <c r="Q658" i="12"/>
  <c r="R658" i="12" s="1"/>
  <c r="L578" i="12"/>
  <c r="J809" i="12"/>
  <c r="I808" i="12"/>
  <c r="J808" i="12" s="1"/>
  <c r="M142" i="12"/>
  <c r="O426" i="11"/>
  <c r="P427" i="11"/>
  <c r="P319" i="11"/>
  <c r="O308" i="11"/>
  <c r="O180" i="11"/>
  <c r="P181" i="11"/>
  <c r="H584" i="11"/>
  <c r="G243" i="11"/>
  <c r="H244" i="11"/>
  <c r="K585" i="11"/>
  <c r="J584" i="11"/>
  <c r="G568" i="11"/>
  <c r="H568" i="11" s="1"/>
  <c r="H569" i="11"/>
  <c r="N650" i="11"/>
  <c r="P675" i="11"/>
  <c r="I6" i="11"/>
  <c r="I746" i="11" s="1"/>
  <c r="I744" i="11"/>
  <c r="M453" i="11"/>
  <c r="M426" i="11"/>
  <c r="L425" i="11"/>
  <c r="M425" i="11" s="1"/>
  <c r="M217" i="11"/>
  <c r="L210" i="11"/>
  <c r="M210" i="11" s="1"/>
  <c r="N86" i="11"/>
  <c r="H290" i="11"/>
  <c r="K290" i="11"/>
  <c r="M244" i="11"/>
  <c r="L243" i="11"/>
  <c r="M243" i="11" s="1"/>
  <c r="K244" i="11"/>
  <c r="J272" i="11"/>
  <c r="K272" i="11" s="1"/>
  <c r="K273" i="11"/>
  <c r="H25" i="11"/>
  <c r="G18" i="11"/>
  <c r="H18" i="11" s="1"/>
  <c r="J453" i="11"/>
  <c r="K454" i="11"/>
  <c r="K44" i="11"/>
  <c r="M650" i="11"/>
  <c r="H557" i="11"/>
  <c r="K557" i="11"/>
  <c r="H138" i="11"/>
  <c r="G86" i="11"/>
  <c r="H86" i="11" s="1"/>
  <c r="G453" i="11"/>
  <c r="H454" i="11"/>
  <c r="O86" i="11"/>
  <c r="K308" i="11"/>
  <c r="K625" i="11"/>
  <c r="J624" i="11"/>
  <c r="P703" i="11"/>
  <c r="O702" i="11"/>
  <c r="K166" i="11"/>
  <c r="K538" i="11"/>
  <c r="J532" i="11"/>
  <c r="K532" i="11" s="1"/>
  <c r="H426" i="11"/>
  <c r="G425" i="11"/>
  <c r="H425" i="11" s="1"/>
  <c r="M7" i="11"/>
  <c r="K722" i="11"/>
  <c r="J721" i="11"/>
  <c r="K721" i="11" s="1"/>
  <c r="M180" i="11"/>
  <c r="K569" i="11"/>
  <c r="J568" i="11"/>
  <c r="O7" i="11"/>
  <c r="P8" i="11"/>
  <c r="J426" i="11"/>
  <c r="K427" i="11"/>
  <c r="J6" i="11"/>
  <c r="K473" i="11"/>
  <c r="J472" i="11"/>
  <c r="J210" i="11"/>
  <c r="J179" i="11" s="1"/>
  <c r="K217" i="11"/>
  <c r="L472" i="11"/>
  <c r="M472" i="11" s="1"/>
  <c r="M473" i="11"/>
  <c r="H69" i="11"/>
  <c r="G60" i="11"/>
  <c r="H60" i="11" s="1"/>
  <c r="H8" i="11"/>
  <c r="G7" i="11"/>
  <c r="K8" i="11"/>
  <c r="M308" i="11"/>
  <c r="L307" i="11"/>
  <c r="M307" i="11" s="1"/>
  <c r="K25" i="11"/>
  <c r="F650" i="11"/>
  <c r="H675" i="11"/>
  <c r="G472" i="11"/>
  <c r="H472" i="11" s="1"/>
  <c r="H473" i="11"/>
  <c r="K174" i="11"/>
  <c r="J173" i="11"/>
  <c r="M722" i="11"/>
  <c r="L721" i="11"/>
  <c r="M721" i="11" s="1"/>
  <c r="P273" i="11"/>
  <c r="O272" i="11"/>
  <c r="P272" i="11" s="1"/>
  <c r="P69" i="11"/>
  <c r="O60" i="11"/>
  <c r="P60" i="11" s="1"/>
  <c r="O453" i="11"/>
  <c r="P454" i="11"/>
  <c r="H703" i="11"/>
  <c r="G702" i="11"/>
  <c r="M584" i="11"/>
  <c r="L583" i="11"/>
  <c r="M583" i="11" s="1"/>
  <c r="M703" i="11"/>
  <c r="L702" i="11"/>
  <c r="P253" i="11"/>
  <c r="O252" i="11"/>
  <c r="P473" i="11"/>
  <c r="O472" i="11"/>
  <c r="P472" i="11" s="1"/>
  <c r="K703" i="11"/>
  <c r="J702" i="11"/>
  <c r="J333" i="11"/>
  <c r="H738" i="11"/>
  <c r="G737" i="11"/>
  <c r="H737" i="11" s="1"/>
  <c r="P738" i="11"/>
  <c r="O737" i="11"/>
  <c r="P737" i="11" s="1"/>
  <c r="H217" i="11"/>
  <c r="G210" i="11"/>
  <c r="H210" i="11" s="1"/>
  <c r="K243" i="11"/>
  <c r="O568" i="11"/>
  <c r="P568" i="11" s="1"/>
  <c r="P569" i="11"/>
  <c r="P584" i="11"/>
  <c r="O583" i="11"/>
  <c r="P583" i="11" s="1"/>
  <c r="M86" i="11"/>
  <c r="H308" i="11"/>
  <c r="O333" i="11"/>
  <c r="P333" i="11" s="1"/>
  <c r="P334" i="11"/>
  <c r="G180" i="11"/>
  <c r="H181" i="11"/>
  <c r="N173" i="11"/>
  <c r="P174" i="11"/>
  <c r="M237" i="11"/>
  <c r="P25" i="11"/>
  <c r="O18" i="11"/>
  <c r="P18" i="11" s="1"/>
  <c r="J370" i="11"/>
  <c r="K370" i="11" s="1"/>
  <c r="K371" i="11"/>
  <c r="G252" i="11"/>
  <c r="H252" i="11" s="1"/>
  <c r="H253" i="11"/>
  <c r="J252" i="11"/>
  <c r="H334" i="11"/>
  <c r="G333" i="11"/>
  <c r="H333" i="11" s="1"/>
  <c r="F173" i="11"/>
  <c r="H174" i="11"/>
  <c r="L179" i="11" l="1"/>
  <c r="M179" i="11" s="1"/>
  <c r="L6" i="11"/>
  <c r="G583" i="11"/>
  <c r="H583" i="11" s="1"/>
  <c r="K624" i="11"/>
  <c r="M186" i="12"/>
  <c r="M61" i="12"/>
  <c r="N179" i="12"/>
  <c r="O179" i="12" s="1"/>
  <c r="L8" i="12"/>
  <c r="K568" i="11"/>
  <c r="K18" i="11"/>
  <c r="K472" i="11"/>
  <c r="K86" i="11"/>
  <c r="L236" i="11"/>
  <c r="M236" i="11" s="1"/>
  <c r="P642" i="11"/>
  <c r="P86" i="11"/>
  <c r="Q535" i="12"/>
  <c r="Q534" i="12" s="1"/>
  <c r="R534" i="12" s="1"/>
  <c r="M159" i="12"/>
  <c r="P650" i="11"/>
  <c r="J744" i="11"/>
  <c r="K540" i="13"/>
  <c r="J579" i="12"/>
  <c r="I578" i="12"/>
  <c r="M578" i="12" s="1"/>
  <c r="R450" i="12"/>
  <c r="Q442" i="12"/>
  <c r="R442" i="12" s="1"/>
  <c r="M658" i="12"/>
  <c r="J789" i="12"/>
  <c r="I788" i="12"/>
  <c r="M789" i="12"/>
  <c r="M501" i="12"/>
  <c r="L577" i="12"/>
  <c r="N638" i="12"/>
  <c r="O639" i="12"/>
  <c r="L383" i="12"/>
  <c r="M383" i="12" s="1"/>
  <c r="M384" i="12"/>
  <c r="I233" i="12"/>
  <c r="J233" i="12" s="1"/>
  <c r="O141" i="12"/>
  <c r="N140" i="12"/>
  <c r="O140" i="12" s="1"/>
  <c r="M450" i="12"/>
  <c r="L442" i="12"/>
  <c r="J9" i="12"/>
  <c r="M9" i="12"/>
  <c r="J777" i="12"/>
  <c r="J195" i="12"/>
  <c r="I179" i="12"/>
  <c r="J179" i="12" s="1"/>
  <c r="R789" i="12"/>
  <c r="Q788" i="12"/>
  <c r="R788" i="12" s="1"/>
  <c r="L808" i="12"/>
  <c r="M234" i="12"/>
  <c r="L233" i="12"/>
  <c r="M549" i="12"/>
  <c r="L338" i="12"/>
  <c r="M338" i="12" s="1"/>
  <c r="M339" i="12"/>
  <c r="M845" i="12"/>
  <c r="I481" i="12"/>
  <c r="J482" i="12"/>
  <c r="M482" i="12"/>
  <c r="R141" i="12"/>
  <c r="Q140" i="12"/>
  <c r="R140" i="12" s="1"/>
  <c r="J831" i="12"/>
  <c r="I830" i="12"/>
  <c r="J830" i="12" s="1"/>
  <c r="Q233" i="12"/>
  <c r="R233" i="12" s="1"/>
  <c r="O778" i="12"/>
  <c r="N777" i="12"/>
  <c r="R339" i="12"/>
  <c r="Q338" i="12"/>
  <c r="R338" i="12" s="1"/>
  <c r="Q481" i="12"/>
  <c r="R481" i="12" s="1"/>
  <c r="O536" i="12"/>
  <c r="N535" i="12"/>
  <c r="O831" i="12"/>
  <c r="N830" i="12"/>
  <c r="O830" i="12" s="1"/>
  <c r="R777" i="12"/>
  <c r="O339" i="12"/>
  <c r="N338" i="12"/>
  <c r="O338" i="12" s="1"/>
  <c r="R639" i="12"/>
  <c r="Q638" i="12"/>
  <c r="O578" i="12"/>
  <c r="N577" i="12"/>
  <c r="O577" i="12" s="1"/>
  <c r="M830" i="12"/>
  <c r="M359" i="12"/>
  <c r="L358" i="12"/>
  <c r="M358" i="12" s="1"/>
  <c r="J15" i="12"/>
  <c r="I8" i="12"/>
  <c r="M769" i="12"/>
  <c r="O8" i="12"/>
  <c r="O482" i="12"/>
  <c r="N481" i="12"/>
  <c r="O481" i="12" s="1"/>
  <c r="M561" i="12"/>
  <c r="J631" i="12"/>
  <c r="M631" i="12"/>
  <c r="I638" i="12"/>
  <c r="O234" i="12"/>
  <c r="N233" i="12"/>
  <c r="O233" i="12" s="1"/>
  <c r="O796" i="12"/>
  <c r="N795" i="12"/>
  <c r="O795" i="12" s="1"/>
  <c r="J590" i="12"/>
  <c r="I589" i="12"/>
  <c r="J589" i="12" s="1"/>
  <c r="M253" i="12"/>
  <c r="R579" i="12"/>
  <c r="Q578" i="12"/>
  <c r="R186" i="12"/>
  <c r="Q179" i="12"/>
  <c r="R179" i="12" s="1"/>
  <c r="M715" i="12"/>
  <c r="M639" i="12"/>
  <c r="L638" i="12"/>
  <c r="L179" i="12"/>
  <c r="J141" i="12"/>
  <c r="I140" i="12"/>
  <c r="J140" i="12" s="1"/>
  <c r="Q8" i="12"/>
  <c r="R15" i="12"/>
  <c r="J450" i="12"/>
  <c r="I442" i="12"/>
  <c r="J442" i="12" s="1"/>
  <c r="M290" i="12"/>
  <c r="J536" i="12"/>
  <c r="I535" i="12"/>
  <c r="M536" i="12"/>
  <c r="N172" i="11"/>
  <c r="P172" i="11" s="1"/>
  <c r="P173" i="11"/>
  <c r="P252" i="11"/>
  <c r="O236" i="11"/>
  <c r="P236" i="11" s="1"/>
  <c r="K252" i="11"/>
  <c r="H180" i="11"/>
  <c r="G179" i="11"/>
  <c r="H179" i="11" s="1"/>
  <c r="H702" i="11"/>
  <c r="G701" i="11"/>
  <c r="H701" i="11" s="1"/>
  <c r="F172" i="11"/>
  <c r="H173" i="11"/>
  <c r="F744" i="11"/>
  <c r="K333" i="11"/>
  <c r="K210" i="11"/>
  <c r="J425" i="11"/>
  <c r="K425" i="11" s="1"/>
  <c r="K426" i="11"/>
  <c r="H453" i="11"/>
  <c r="G452" i="11"/>
  <c r="H452" i="11" s="1"/>
  <c r="K60" i="11"/>
  <c r="K173" i="11"/>
  <c r="J172" i="11"/>
  <c r="K172" i="11" s="1"/>
  <c r="G744" i="11"/>
  <c r="H7" i="11"/>
  <c r="G6" i="11"/>
  <c r="K6" i="11" s="1"/>
  <c r="K7" i="11"/>
  <c r="M6" i="11"/>
  <c r="P702" i="11"/>
  <c r="O701" i="11"/>
  <c r="P701" i="11" s="1"/>
  <c r="K180" i="11"/>
  <c r="J452" i="11"/>
  <c r="K452" i="11" s="1"/>
  <c r="K453" i="11"/>
  <c r="P453" i="11"/>
  <c r="O452" i="11"/>
  <c r="P452" i="11" s="1"/>
  <c r="F642" i="11"/>
  <c r="H650" i="11"/>
  <c r="O744" i="11"/>
  <c r="O6" i="11"/>
  <c r="P7" i="11"/>
  <c r="K737" i="11"/>
  <c r="N744" i="11"/>
  <c r="N6" i="11"/>
  <c r="N746" i="11" s="1"/>
  <c r="H243" i="11"/>
  <c r="G236" i="11"/>
  <c r="H236" i="11" s="1"/>
  <c r="P180" i="11"/>
  <c r="O179" i="11"/>
  <c r="P179" i="11" s="1"/>
  <c r="P426" i="11"/>
  <c r="O425" i="11"/>
  <c r="P425" i="11" s="1"/>
  <c r="J701" i="11"/>
  <c r="K702" i="11"/>
  <c r="G307" i="11"/>
  <c r="H307" i="11" s="1"/>
  <c r="M702" i="11"/>
  <c r="L701" i="11"/>
  <c r="M701" i="11" s="1"/>
  <c r="L744" i="11"/>
  <c r="M744" i="11" s="1"/>
  <c r="J307" i="11"/>
  <c r="L452" i="11"/>
  <c r="M452" i="11" s="1"/>
  <c r="K584" i="11"/>
  <c r="J583" i="11"/>
  <c r="K583" i="11" s="1"/>
  <c r="O307" i="11"/>
  <c r="P307" i="11" s="1"/>
  <c r="P308" i="11"/>
  <c r="J236" i="11"/>
  <c r="M8" i="12" l="1"/>
  <c r="K307" i="11"/>
  <c r="R535" i="12"/>
  <c r="M589" i="12"/>
  <c r="H744" i="11"/>
  <c r="K179" i="11"/>
  <c r="J746" i="11"/>
  <c r="K701" i="11"/>
  <c r="M233" i="12"/>
  <c r="M179" i="12"/>
  <c r="Q776" i="12"/>
  <c r="R776" i="12" s="1"/>
  <c r="R578" i="12"/>
  <c r="Q577" i="12"/>
  <c r="R577" i="12" s="1"/>
  <c r="J638" i="12"/>
  <c r="I622" i="12"/>
  <c r="J622" i="12" s="1"/>
  <c r="I776" i="12"/>
  <c r="J776" i="12" s="1"/>
  <c r="M442" i="12"/>
  <c r="N622" i="12"/>
  <c r="O622" i="12" s="1"/>
  <c r="O638" i="12"/>
  <c r="R8" i="12"/>
  <c r="Q7" i="12"/>
  <c r="L7" i="12"/>
  <c r="J8" i="12"/>
  <c r="I7" i="12"/>
  <c r="R638" i="12"/>
  <c r="Q622" i="12"/>
  <c r="R622" i="12" s="1"/>
  <c r="O535" i="12"/>
  <c r="N534" i="12"/>
  <c r="O534" i="12" s="1"/>
  <c r="J788" i="12"/>
  <c r="M788" i="12"/>
  <c r="J535" i="12"/>
  <c r="I534" i="12"/>
  <c r="M535" i="12"/>
  <c r="O777" i="12"/>
  <c r="N776" i="12"/>
  <c r="O776" i="12" s="1"/>
  <c r="M808" i="12"/>
  <c r="L776" i="12"/>
  <c r="J578" i="12"/>
  <c r="I577" i="12"/>
  <c r="J577" i="12" s="1"/>
  <c r="M638" i="12"/>
  <c r="L622" i="12"/>
  <c r="M140" i="12"/>
  <c r="N7" i="12"/>
  <c r="J481" i="12"/>
  <c r="M481" i="12"/>
  <c r="O746" i="11"/>
  <c r="P746" i="11" s="1"/>
  <c r="P6" i="11"/>
  <c r="L746" i="11"/>
  <c r="M746" i="11" s="1"/>
  <c r="F746" i="11"/>
  <c r="H172" i="11"/>
  <c r="P744" i="11"/>
  <c r="K236" i="11"/>
  <c r="G746" i="11"/>
  <c r="H6" i="11"/>
  <c r="K744" i="11"/>
  <c r="M577" i="12" l="1"/>
  <c r="M776" i="12"/>
  <c r="H746" i="11"/>
  <c r="M622" i="12"/>
  <c r="L852" i="12"/>
  <c r="M7" i="12"/>
  <c r="Q852" i="12"/>
  <c r="R7" i="12"/>
  <c r="N852" i="12"/>
  <c r="O7" i="12"/>
  <c r="J534" i="12"/>
  <c r="M534" i="12"/>
  <c r="I852" i="12"/>
  <c r="J7" i="12"/>
  <c r="K746" i="11"/>
  <c r="Q854" i="12" l="1"/>
  <c r="R854" i="12" s="1"/>
  <c r="R852" i="12"/>
  <c r="I854" i="12"/>
  <c r="J854" i="12" s="1"/>
  <c r="J852" i="12"/>
  <c r="N854" i="12"/>
  <c r="O854" i="12" s="1"/>
  <c r="O852" i="12"/>
  <c r="M852" i="12"/>
  <c r="L854" i="12"/>
  <c r="M854" i="12" l="1"/>
  <c r="K205" i="10"/>
  <c r="H205" i="10"/>
  <c r="D205" i="10"/>
  <c r="C205" i="10"/>
  <c r="C204" i="10" s="1"/>
  <c r="C203" i="10" s="1"/>
  <c r="J204" i="10"/>
  <c r="I204" i="10"/>
  <c r="G204" i="10"/>
  <c r="G203" i="10" s="1"/>
  <c r="F204" i="10"/>
  <c r="F203" i="10" s="1"/>
  <c r="J203" i="10"/>
  <c r="K202" i="10"/>
  <c r="H202" i="10"/>
  <c r="E202" i="10"/>
  <c r="J201" i="10"/>
  <c r="I201" i="10"/>
  <c r="I200" i="10" s="1"/>
  <c r="G201" i="10"/>
  <c r="G200" i="10" s="1"/>
  <c r="F201" i="10"/>
  <c r="D201" i="10"/>
  <c r="D200" i="10" s="1"/>
  <c r="C201" i="10"/>
  <c r="C200" i="10" s="1"/>
  <c r="K199" i="10"/>
  <c r="H199" i="10"/>
  <c r="D199" i="10"/>
  <c r="C199" i="10"/>
  <c r="C198" i="10" s="1"/>
  <c r="J198" i="10"/>
  <c r="I198" i="10"/>
  <c r="G198" i="10"/>
  <c r="F198" i="10"/>
  <c r="K197" i="10"/>
  <c r="H197" i="10"/>
  <c r="E197" i="10"/>
  <c r="J196" i="10"/>
  <c r="I196" i="10"/>
  <c r="G196" i="10"/>
  <c r="F196" i="10"/>
  <c r="D196" i="10"/>
  <c r="C196" i="10"/>
  <c r="K195" i="10"/>
  <c r="H195" i="10"/>
  <c r="E195" i="10"/>
  <c r="J194" i="10"/>
  <c r="I194" i="10"/>
  <c r="G194" i="10"/>
  <c r="F194" i="10"/>
  <c r="D194" i="10"/>
  <c r="C194" i="10"/>
  <c r="K192" i="10"/>
  <c r="H192" i="10"/>
  <c r="E192" i="10"/>
  <c r="J191" i="10"/>
  <c r="I191" i="10"/>
  <c r="G191" i="10"/>
  <c r="F191" i="10"/>
  <c r="D191" i="10"/>
  <c r="E191" i="10" s="1"/>
  <c r="C191" i="10"/>
  <c r="K190" i="10"/>
  <c r="H190" i="10"/>
  <c r="E190" i="10"/>
  <c r="J189" i="10"/>
  <c r="I189" i="10"/>
  <c r="G189" i="10"/>
  <c r="F189" i="10"/>
  <c r="D189" i="10"/>
  <c r="C189" i="10"/>
  <c r="K188" i="10"/>
  <c r="H188" i="10"/>
  <c r="E188" i="10"/>
  <c r="J187" i="10"/>
  <c r="I187" i="10"/>
  <c r="G187" i="10"/>
  <c r="F187" i="10"/>
  <c r="D187" i="10"/>
  <c r="C187" i="10"/>
  <c r="K186" i="10"/>
  <c r="H186" i="10"/>
  <c r="E186" i="10"/>
  <c r="J185" i="10"/>
  <c r="I185" i="10"/>
  <c r="G185" i="10"/>
  <c r="F185" i="10"/>
  <c r="D185" i="10"/>
  <c r="C185" i="10"/>
  <c r="K184" i="10"/>
  <c r="H184" i="10"/>
  <c r="E184" i="10"/>
  <c r="J183" i="10"/>
  <c r="I183" i="10"/>
  <c r="G183" i="10"/>
  <c r="F183" i="10"/>
  <c r="D183" i="10"/>
  <c r="E183" i="10" s="1"/>
  <c r="C183" i="10"/>
  <c r="J182" i="10"/>
  <c r="J181" i="10" s="1"/>
  <c r="I182" i="10"/>
  <c r="I181" i="10" s="1"/>
  <c r="G182" i="10"/>
  <c r="F182" i="10"/>
  <c r="F181" i="10" s="1"/>
  <c r="D182" i="10"/>
  <c r="D181" i="10" s="1"/>
  <c r="C182" i="10"/>
  <c r="K180" i="10"/>
  <c r="H180" i="10"/>
  <c r="E180" i="10"/>
  <c r="K179" i="10"/>
  <c r="H179" i="10"/>
  <c r="E179" i="10"/>
  <c r="K178" i="10"/>
  <c r="H178" i="10"/>
  <c r="E178" i="10"/>
  <c r="K177" i="10"/>
  <c r="H177" i="10"/>
  <c r="E177" i="10"/>
  <c r="K176" i="10"/>
  <c r="H176" i="10"/>
  <c r="E176" i="10"/>
  <c r="K175" i="10"/>
  <c r="H175" i="10"/>
  <c r="E175" i="10"/>
  <c r="K173" i="10"/>
  <c r="H173" i="10"/>
  <c r="E173" i="10"/>
  <c r="K170" i="10"/>
  <c r="H170" i="10"/>
  <c r="E170" i="10"/>
  <c r="J169" i="10"/>
  <c r="K169" i="10" s="1"/>
  <c r="I169" i="10"/>
  <c r="G169" i="10"/>
  <c r="F169" i="10"/>
  <c r="D169" i="10"/>
  <c r="C169" i="10"/>
  <c r="K167" i="10"/>
  <c r="H167" i="10"/>
  <c r="E167" i="10"/>
  <c r="K166" i="10"/>
  <c r="H166" i="10"/>
  <c r="E166" i="10"/>
  <c r="K165" i="10"/>
  <c r="H165" i="10"/>
  <c r="E165" i="10"/>
  <c r="K164" i="10"/>
  <c r="H164" i="10"/>
  <c r="E164" i="10"/>
  <c r="K163" i="10"/>
  <c r="H163" i="10"/>
  <c r="E163" i="10"/>
  <c r="K162" i="10"/>
  <c r="H162" i="10"/>
  <c r="E162" i="10"/>
  <c r="K161" i="10"/>
  <c r="H161" i="10"/>
  <c r="E161" i="10"/>
  <c r="K160" i="10"/>
  <c r="H160" i="10"/>
  <c r="E160" i="10"/>
  <c r="K159" i="10"/>
  <c r="H159" i="10"/>
  <c r="E159" i="10"/>
  <c r="K158" i="10"/>
  <c r="H158" i="10"/>
  <c r="E158" i="10"/>
  <c r="K157" i="10"/>
  <c r="H157" i="10"/>
  <c r="E157" i="10"/>
  <c r="K156" i="10"/>
  <c r="H156" i="10"/>
  <c r="D156" i="10"/>
  <c r="C156" i="10"/>
  <c r="K155" i="10"/>
  <c r="H155" i="10"/>
  <c r="E155" i="10"/>
  <c r="K154" i="10"/>
  <c r="H154" i="10"/>
  <c r="D154" i="10"/>
  <c r="C154" i="10"/>
  <c r="K153" i="10"/>
  <c r="H153" i="10"/>
  <c r="E153" i="10"/>
  <c r="K152" i="10"/>
  <c r="H152" i="10"/>
  <c r="E152" i="10"/>
  <c r="K151" i="10"/>
  <c r="H151" i="10"/>
  <c r="E151" i="10"/>
  <c r="K150" i="10"/>
  <c r="H150" i="10"/>
  <c r="E150" i="10"/>
  <c r="K149" i="10"/>
  <c r="H149" i="10"/>
  <c r="E149" i="10"/>
  <c r="K148" i="10"/>
  <c r="H148" i="10"/>
  <c r="E148" i="10"/>
  <c r="K147" i="10"/>
  <c r="H147" i="10"/>
  <c r="E147" i="10"/>
  <c r="K146" i="10"/>
  <c r="H146" i="10"/>
  <c r="E146" i="10"/>
  <c r="K145" i="10"/>
  <c r="H145" i="10"/>
  <c r="E145" i="10"/>
  <c r="K144" i="10"/>
  <c r="H144" i="10"/>
  <c r="E144" i="10"/>
  <c r="K143" i="10"/>
  <c r="H143" i="10"/>
  <c r="E143" i="10"/>
  <c r="K142" i="10"/>
  <c r="H142" i="10"/>
  <c r="E142" i="10"/>
  <c r="K141" i="10"/>
  <c r="H141" i="10"/>
  <c r="E141" i="10"/>
  <c r="K140" i="10"/>
  <c r="H140" i="10"/>
  <c r="E140" i="10"/>
  <c r="K139" i="10"/>
  <c r="H139" i="10"/>
  <c r="E139" i="10"/>
  <c r="K138" i="10"/>
  <c r="H138" i="10"/>
  <c r="E138" i="10"/>
  <c r="K137" i="10"/>
  <c r="H137" i="10"/>
  <c r="E137" i="10"/>
  <c r="J136" i="10"/>
  <c r="I136" i="10"/>
  <c r="I115" i="10" s="1"/>
  <c r="G136" i="10"/>
  <c r="F136" i="10"/>
  <c r="E136" i="10"/>
  <c r="K135" i="10"/>
  <c r="H135" i="10"/>
  <c r="E135" i="10"/>
  <c r="K134" i="10"/>
  <c r="H134" i="10"/>
  <c r="E134" i="10"/>
  <c r="K133" i="10"/>
  <c r="H133" i="10"/>
  <c r="E133" i="10"/>
  <c r="K132" i="10"/>
  <c r="H132" i="10"/>
  <c r="E132" i="10"/>
  <c r="K131" i="10"/>
  <c r="H131" i="10"/>
  <c r="E131" i="10"/>
  <c r="K130" i="10"/>
  <c r="H130" i="10"/>
  <c r="E130" i="10"/>
  <c r="K129" i="10"/>
  <c r="H129" i="10"/>
  <c r="E129" i="10"/>
  <c r="K128" i="10"/>
  <c r="H128" i="10"/>
  <c r="E128" i="10"/>
  <c r="K127" i="10"/>
  <c r="H127" i="10"/>
  <c r="E127" i="10"/>
  <c r="K126" i="10"/>
  <c r="H126" i="10"/>
  <c r="E126" i="10"/>
  <c r="K125" i="10"/>
  <c r="H125" i="10"/>
  <c r="E125" i="10"/>
  <c r="K124" i="10"/>
  <c r="H124" i="10"/>
  <c r="E124" i="10"/>
  <c r="K123" i="10"/>
  <c r="H123" i="10"/>
  <c r="E123" i="10"/>
  <c r="K122" i="10"/>
  <c r="H122" i="10"/>
  <c r="E122" i="10"/>
  <c r="K121" i="10"/>
  <c r="H121" i="10"/>
  <c r="E121" i="10"/>
  <c r="K120" i="10"/>
  <c r="H120" i="10"/>
  <c r="E120" i="10"/>
  <c r="K119" i="10"/>
  <c r="H119" i="10"/>
  <c r="E119" i="10"/>
  <c r="K118" i="10"/>
  <c r="H118" i="10"/>
  <c r="D118" i="10"/>
  <c r="C118" i="10"/>
  <c r="K117" i="10"/>
  <c r="H117" i="10"/>
  <c r="E117" i="10"/>
  <c r="K116" i="10"/>
  <c r="H116" i="10"/>
  <c r="E116" i="10"/>
  <c r="J115" i="10"/>
  <c r="J114" i="10" s="1"/>
  <c r="F115" i="10"/>
  <c r="F114" i="10" s="1"/>
  <c r="J113" i="10"/>
  <c r="J112" i="10" s="1"/>
  <c r="I113" i="10"/>
  <c r="I112" i="10" s="1"/>
  <c r="G113" i="10"/>
  <c r="G112" i="10" s="1"/>
  <c r="F113" i="10"/>
  <c r="F112" i="10" s="1"/>
  <c r="D113" i="10"/>
  <c r="D112" i="10" s="1"/>
  <c r="C113" i="10"/>
  <c r="C112" i="10" s="1"/>
  <c r="K111" i="10"/>
  <c r="H111" i="10"/>
  <c r="E111" i="10"/>
  <c r="J110" i="10"/>
  <c r="I110" i="10"/>
  <c r="G110" i="10"/>
  <c r="F110" i="10"/>
  <c r="D110" i="10"/>
  <c r="C110" i="10"/>
  <c r="K109" i="10"/>
  <c r="H109" i="10"/>
  <c r="E109" i="10"/>
  <c r="J108" i="10"/>
  <c r="I108" i="10"/>
  <c r="G108" i="10"/>
  <c r="F108" i="10"/>
  <c r="D108" i="10"/>
  <c r="C108" i="10"/>
  <c r="K107" i="10"/>
  <c r="H107" i="10"/>
  <c r="E107" i="10"/>
  <c r="J106" i="10"/>
  <c r="I106" i="10"/>
  <c r="G106" i="10"/>
  <c r="F106" i="10"/>
  <c r="D106" i="10"/>
  <c r="C106" i="10"/>
  <c r="K105" i="10"/>
  <c r="H105" i="10"/>
  <c r="E105" i="10"/>
  <c r="J104" i="10"/>
  <c r="I104" i="10"/>
  <c r="G104" i="10"/>
  <c r="F104" i="10"/>
  <c r="D104" i="10"/>
  <c r="C104" i="10"/>
  <c r="K103" i="10"/>
  <c r="H103" i="10"/>
  <c r="D103" i="10"/>
  <c r="C103" i="10"/>
  <c r="C102" i="10" s="1"/>
  <c r="J102" i="10"/>
  <c r="I102" i="10"/>
  <c r="G102" i="10"/>
  <c r="F102" i="10"/>
  <c r="K101" i="10"/>
  <c r="H101" i="10"/>
  <c r="E101" i="10"/>
  <c r="J100" i="10"/>
  <c r="I100" i="10"/>
  <c r="G100" i="10"/>
  <c r="F100" i="10"/>
  <c r="D100" i="10"/>
  <c r="C100" i="10"/>
  <c r="K99" i="10"/>
  <c r="H99" i="10"/>
  <c r="E99" i="10"/>
  <c r="J98" i="10"/>
  <c r="I98" i="10"/>
  <c r="G98" i="10"/>
  <c r="F98" i="10"/>
  <c r="D98" i="10"/>
  <c r="C98" i="10"/>
  <c r="J97" i="10"/>
  <c r="J96" i="10" s="1"/>
  <c r="I97" i="10"/>
  <c r="I96" i="10" s="1"/>
  <c r="G97" i="10"/>
  <c r="G96" i="10" s="1"/>
  <c r="F97" i="10"/>
  <c r="F96" i="10" s="1"/>
  <c r="D97" i="10"/>
  <c r="D96" i="10" s="1"/>
  <c r="C97" i="10"/>
  <c r="C96" i="10" s="1"/>
  <c r="J95" i="10"/>
  <c r="J94" i="10" s="1"/>
  <c r="I95" i="10"/>
  <c r="I94" i="10" s="1"/>
  <c r="G95" i="10"/>
  <c r="G94" i="10" s="1"/>
  <c r="F95" i="10"/>
  <c r="F94" i="10" s="1"/>
  <c r="D95" i="10"/>
  <c r="C95" i="10"/>
  <c r="C94" i="10" s="1"/>
  <c r="K93" i="10"/>
  <c r="H93" i="10"/>
  <c r="E93" i="10"/>
  <c r="J92" i="10"/>
  <c r="I92" i="10"/>
  <c r="G92" i="10"/>
  <c r="F92" i="10"/>
  <c r="D92" i="10"/>
  <c r="C92" i="10"/>
  <c r="K91" i="10"/>
  <c r="H91" i="10"/>
  <c r="E91" i="10"/>
  <c r="J90" i="10"/>
  <c r="I90" i="10"/>
  <c r="G90" i="10"/>
  <c r="F90" i="10"/>
  <c r="D90" i="10"/>
  <c r="C90" i="10"/>
  <c r="K89" i="10"/>
  <c r="H89" i="10"/>
  <c r="E89" i="10"/>
  <c r="J88" i="10"/>
  <c r="I88" i="10"/>
  <c r="G88" i="10"/>
  <c r="F88" i="10"/>
  <c r="D88" i="10"/>
  <c r="C88" i="10"/>
  <c r="K87" i="10"/>
  <c r="H87" i="10"/>
  <c r="E87" i="10"/>
  <c r="K86" i="10"/>
  <c r="G86" i="10"/>
  <c r="F86" i="10"/>
  <c r="D86" i="10"/>
  <c r="C86" i="10"/>
  <c r="K85" i="10"/>
  <c r="H85" i="10"/>
  <c r="E85" i="10"/>
  <c r="J84" i="10"/>
  <c r="I84" i="10"/>
  <c r="G84" i="10"/>
  <c r="F84" i="10"/>
  <c r="D84" i="10"/>
  <c r="C84" i="10"/>
  <c r="K83" i="10"/>
  <c r="H83" i="10"/>
  <c r="E83" i="10"/>
  <c r="J82" i="10"/>
  <c r="I82" i="10"/>
  <c r="G82" i="10"/>
  <c r="F82" i="10"/>
  <c r="D82" i="10"/>
  <c r="C82" i="10"/>
  <c r="K81" i="10"/>
  <c r="H81" i="10"/>
  <c r="E81" i="10"/>
  <c r="J80" i="10"/>
  <c r="I80" i="10"/>
  <c r="G80" i="10"/>
  <c r="F80" i="10"/>
  <c r="D80" i="10"/>
  <c r="C80" i="10"/>
  <c r="K79" i="10"/>
  <c r="H79" i="10"/>
  <c r="D79" i="10"/>
  <c r="C79" i="10"/>
  <c r="C78" i="10" s="1"/>
  <c r="J78" i="10"/>
  <c r="I78" i="10"/>
  <c r="G78" i="10"/>
  <c r="F78" i="10"/>
  <c r="K76" i="10"/>
  <c r="H76" i="10"/>
  <c r="E76" i="10"/>
  <c r="J75" i="10"/>
  <c r="I75" i="10"/>
  <c r="G75" i="10"/>
  <c r="F75" i="10"/>
  <c r="D75" i="10"/>
  <c r="C75" i="10"/>
  <c r="K74" i="10"/>
  <c r="H74" i="10"/>
  <c r="E74" i="10"/>
  <c r="J73" i="10"/>
  <c r="I73" i="10"/>
  <c r="G73" i="10"/>
  <c r="F73" i="10"/>
  <c r="D73" i="10"/>
  <c r="C73" i="10"/>
  <c r="K72" i="10"/>
  <c r="H72" i="10"/>
  <c r="E72" i="10"/>
  <c r="J71" i="10"/>
  <c r="J70" i="10" s="1"/>
  <c r="I71" i="10"/>
  <c r="G71" i="10"/>
  <c r="F71" i="10"/>
  <c r="D71" i="10"/>
  <c r="C71" i="10"/>
  <c r="K67" i="10"/>
  <c r="H67" i="10"/>
  <c r="E67" i="10"/>
  <c r="J66" i="10"/>
  <c r="I66" i="10"/>
  <c r="G66" i="10"/>
  <c r="F66" i="10"/>
  <c r="D66" i="10"/>
  <c r="C66" i="10"/>
  <c r="K65" i="10"/>
  <c r="H65" i="10"/>
  <c r="E65" i="10"/>
  <c r="J64" i="10"/>
  <c r="I64" i="10"/>
  <c r="G64" i="10"/>
  <c r="F64" i="10"/>
  <c r="D64" i="10"/>
  <c r="C64" i="10"/>
  <c r="K62" i="10"/>
  <c r="H62" i="10"/>
  <c r="E62" i="10"/>
  <c r="K61" i="10"/>
  <c r="G61" i="10"/>
  <c r="G60" i="10" s="1"/>
  <c r="G59" i="10" s="1"/>
  <c r="F61" i="10"/>
  <c r="D61" i="10"/>
  <c r="C61" i="10"/>
  <c r="C60" i="10" s="1"/>
  <c r="C59" i="10" s="1"/>
  <c r="J60" i="10"/>
  <c r="J59" i="10" s="1"/>
  <c r="I60" i="10"/>
  <c r="K58" i="10"/>
  <c r="H58" i="10"/>
  <c r="E58" i="10"/>
  <c r="J57" i="10"/>
  <c r="I57" i="10"/>
  <c r="I56" i="10" s="1"/>
  <c r="G57" i="10"/>
  <c r="F57" i="10"/>
  <c r="D57" i="10"/>
  <c r="D56" i="10" s="1"/>
  <c r="C57" i="10"/>
  <c r="C56" i="10" s="1"/>
  <c r="G56" i="10"/>
  <c r="J54" i="10"/>
  <c r="I54" i="10"/>
  <c r="I53" i="10" s="1"/>
  <c r="I52" i="10" s="1"/>
  <c r="G54" i="10"/>
  <c r="G53" i="10" s="1"/>
  <c r="F54" i="10"/>
  <c r="F53" i="10" s="1"/>
  <c r="F52" i="10" s="1"/>
  <c r="D54" i="10"/>
  <c r="C54" i="10"/>
  <c r="C53" i="10" s="1"/>
  <c r="C52" i="10" s="1"/>
  <c r="K51" i="10"/>
  <c r="H51" i="10"/>
  <c r="E51" i="10"/>
  <c r="J50" i="10"/>
  <c r="I50" i="10"/>
  <c r="G50" i="10"/>
  <c r="F50" i="10"/>
  <c r="D50" i="10"/>
  <c r="C50" i="10"/>
  <c r="J49" i="10"/>
  <c r="I49" i="10"/>
  <c r="G49" i="10"/>
  <c r="F49" i="10"/>
  <c r="D49" i="10"/>
  <c r="C49" i="10"/>
  <c r="K47" i="10"/>
  <c r="H47" i="10"/>
  <c r="E47" i="10"/>
  <c r="J46" i="10"/>
  <c r="I46" i="10"/>
  <c r="G46" i="10"/>
  <c r="F46" i="10"/>
  <c r="D46" i="10"/>
  <c r="C46" i="10"/>
  <c r="K45" i="10"/>
  <c r="H45" i="10"/>
  <c r="E45" i="10"/>
  <c r="J44" i="10"/>
  <c r="J43" i="10" s="1"/>
  <c r="I44" i="10"/>
  <c r="I43" i="10" s="1"/>
  <c r="G44" i="10"/>
  <c r="F44" i="10"/>
  <c r="F43" i="10" s="1"/>
  <c r="D44" i="10"/>
  <c r="C44" i="10"/>
  <c r="C43" i="10" s="1"/>
  <c r="K42" i="10"/>
  <c r="H42" i="10"/>
  <c r="E42" i="10"/>
  <c r="J41" i="10"/>
  <c r="I41" i="10"/>
  <c r="G41" i="10"/>
  <c r="F41" i="10"/>
  <c r="D41" i="10"/>
  <c r="C41" i="10"/>
  <c r="K40" i="10"/>
  <c r="G40" i="10"/>
  <c r="G39" i="10" s="1"/>
  <c r="F40" i="10"/>
  <c r="F39" i="10" s="1"/>
  <c r="D40" i="10"/>
  <c r="D39" i="10" s="1"/>
  <c r="C40" i="10"/>
  <c r="C39" i="10" s="1"/>
  <c r="J39" i="10"/>
  <c r="I39" i="10"/>
  <c r="K37" i="10"/>
  <c r="H37" i="10"/>
  <c r="E37" i="10"/>
  <c r="J36" i="10"/>
  <c r="I36" i="10"/>
  <c r="G36" i="10"/>
  <c r="F36" i="10"/>
  <c r="D36" i="10"/>
  <c r="C36" i="10"/>
  <c r="K32" i="10"/>
  <c r="H32" i="10"/>
  <c r="E32" i="10"/>
  <c r="E30" i="10" s="1"/>
  <c r="J31" i="10"/>
  <c r="I31" i="10"/>
  <c r="G31" i="10"/>
  <c r="F31" i="10"/>
  <c r="C31" i="10"/>
  <c r="J30" i="10"/>
  <c r="I30" i="10"/>
  <c r="G30" i="10"/>
  <c r="F30" i="10"/>
  <c r="K29" i="10"/>
  <c r="H29" i="10"/>
  <c r="E29" i="10"/>
  <c r="K28" i="10"/>
  <c r="H28" i="10"/>
  <c r="E28" i="10"/>
  <c r="J27" i="10"/>
  <c r="I27" i="10"/>
  <c r="G27" i="10"/>
  <c r="F27" i="10"/>
  <c r="D27" i="10"/>
  <c r="C27" i="10"/>
  <c r="K26" i="10"/>
  <c r="H26" i="10"/>
  <c r="E26" i="10"/>
  <c r="J25" i="10"/>
  <c r="I25" i="10"/>
  <c r="G25" i="10"/>
  <c r="F25" i="10"/>
  <c r="D25" i="10"/>
  <c r="C25" i="10"/>
  <c r="K23" i="10"/>
  <c r="H23" i="10"/>
  <c r="E23" i="10"/>
  <c r="J22" i="10"/>
  <c r="I22" i="10"/>
  <c r="G22" i="10"/>
  <c r="F22" i="10"/>
  <c r="D22" i="10"/>
  <c r="C22" i="10"/>
  <c r="K21" i="10"/>
  <c r="H21" i="10"/>
  <c r="E21" i="10"/>
  <c r="J20" i="10"/>
  <c r="I20" i="10"/>
  <c r="G20" i="10"/>
  <c r="F20" i="10"/>
  <c r="D20" i="10"/>
  <c r="C20" i="10"/>
  <c r="K19" i="10"/>
  <c r="H19" i="10"/>
  <c r="E19" i="10"/>
  <c r="J18" i="10"/>
  <c r="I18" i="10"/>
  <c r="G18" i="10"/>
  <c r="F18" i="10"/>
  <c r="D18" i="10"/>
  <c r="C18" i="10"/>
  <c r="K17" i="10"/>
  <c r="H17" i="10"/>
  <c r="E17" i="10"/>
  <c r="J16" i="10"/>
  <c r="I16" i="10"/>
  <c r="G16" i="10"/>
  <c r="F16" i="10"/>
  <c r="D16" i="10"/>
  <c r="C16" i="10"/>
  <c r="K15" i="10"/>
  <c r="H15" i="10"/>
  <c r="E15" i="10"/>
  <c r="J14" i="10"/>
  <c r="I14" i="10"/>
  <c r="G14" i="10"/>
  <c r="F14" i="10"/>
  <c r="D14" i="10"/>
  <c r="C14" i="10"/>
  <c r="C13" i="10" s="1"/>
  <c r="K11" i="10"/>
  <c r="H11" i="10"/>
  <c r="E11" i="10"/>
  <c r="K10" i="10"/>
  <c r="H10" i="10"/>
  <c r="E10" i="10"/>
  <c r="J9" i="10"/>
  <c r="I9" i="10"/>
  <c r="G9" i="10"/>
  <c r="F9" i="10"/>
  <c r="D9" i="10"/>
  <c r="C9" i="10"/>
  <c r="K8" i="10"/>
  <c r="H8" i="10"/>
  <c r="D8" i="10"/>
  <c r="C8" i="10"/>
  <c r="J7" i="10"/>
  <c r="J6" i="10" s="1"/>
  <c r="I7" i="10"/>
  <c r="I6" i="10" s="1"/>
  <c r="G7" i="10"/>
  <c r="F7" i="10"/>
  <c r="F6" i="10" s="1"/>
  <c r="D7" i="10"/>
  <c r="D6" i="10" s="1"/>
  <c r="C7" i="10"/>
  <c r="C6" i="10" s="1"/>
  <c r="H90" i="10" l="1"/>
  <c r="E61" i="10"/>
  <c r="E64" i="10"/>
  <c r="E73" i="10"/>
  <c r="E16" i="10"/>
  <c r="K18" i="10"/>
  <c r="G63" i="10"/>
  <c r="H78" i="10"/>
  <c r="E82" i="10"/>
  <c r="H94" i="10"/>
  <c r="H100" i="10"/>
  <c r="H9" i="10"/>
  <c r="E187" i="10"/>
  <c r="I13" i="10"/>
  <c r="E20" i="10"/>
  <c r="E75" i="10"/>
  <c r="D115" i="10"/>
  <c r="D114" i="10" s="1"/>
  <c r="G174" i="10"/>
  <c r="G172" i="10" s="1"/>
  <c r="E8" i="10"/>
  <c r="H27" i="10"/>
  <c r="I38" i="10"/>
  <c r="I35" i="10" s="1"/>
  <c r="E41" i="10"/>
  <c r="K41" i="10"/>
  <c r="H44" i="10"/>
  <c r="H50" i="10"/>
  <c r="K54" i="10"/>
  <c r="H57" i="10"/>
  <c r="H102" i="10"/>
  <c r="K20" i="10"/>
  <c r="E44" i="10"/>
  <c r="H49" i="10"/>
  <c r="H53" i="10"/>
  <c r="K98" i="10"/>
  <c r="E39" i="10"/>
  <c r="D38" i="10"/>
  <c r="F13" i="10"/>
  <c r="F12" i="10" s="1"/>
  <c r="C63" i="10"/>
  <c r="K66" i="10"/>
  <c r="J13" i="10"/>
  <c r="J12" i="10" s="1"/>
  <c r="K12" i="10" s="1"/>
  <c r="H41" i="10"/>
  <c r="E18" i="10"/>
  <c r="H104" i="10"/>
  <c r="E194" i="10"/>
  <c r="F193" i="10"/>
  <c r="H30" i="10"/>
  <c r="F48" i="10"/>
  <c r="E80" i="10"/>
  <c r="J53" i="10"/>
  <c r="J52" i="10" s="1"/>
  <c r="K52" i="10" s="1"/>
  <c r="D70" i="10"/>
  <c r="K27" i="10"/>
  <c r="F38" i="10"/>
  <c r="F35" i="10" s="1"/>
  <c r="K90" i="10"/>
  <c r="E100" i="10"/>
  <c r="K36" i="10"/>
  <c r="E54" i="10"/>
  <c r="E66" i="10"/>
  <c r="G70" i="10"/>
  <c r="I24" i="10"/>
  <c r="E50" i="10"/>
  <c r="H189" i="10"/>
  <c r="E110" i="10"/>
  <c r="E201" i="10"/>
  <c r="H198" i="10"/>
  <c r="J193" i="10"/>
  <c r="E9" i="10"/>
  <c r="G13" i="10"/>
  <c r="H20" i="10"/>
  <c r="K25" i="10"/>
  <c r="K30" i="10"/>
  <c r="J38" i="10"/>
  <c r="H40" i="10"/>
  <c r="K60" i="10"/>
  <c r="F63" i="10"/>
  <c r="H63" i="10" s="1"/>
  <c r="J63" i="10"/>
  <c r="H66" i="10"/>
  <c r="I70" i="10"/>
  <c r="K70" i="10" s="1"/>
  <c r="K75" i="10"/>
  <c r="K82" i="10"/>
  <c r="K84" i="10"/>
  <c r="H86" i="10"/>
  <c r="H88" i="10"/>
  <c r="K92" i="10"/>
  <c r="E98" i="10"/>
  <c r="E104" i="10"/>
  <c r="K110" i="10"/>
  <c r="E113" i="10"/>
  <c r="H169" i="10"/>
  <c r="D174" i="10"/>
  <c r="H191" i="10"/>
  <c r="H196" i="10"/>
  <c r="C12" i="10"/>
  <c r="C55" i="10"/>
  <c r="K136" i="10"/>
  <c r="K182" i="10"/>
  <c r="H7" i="10"/>
  <c r="E6" i="10"/>
  <c r="D13" i="10"/>
  <c r="D12" i="10" s="1"/>
  <c r="K16" i="10"/>
  <c r="E22" i="10"/>
  <c r="H25" i="10"/>
  <c r="K57" i="10"/>
  <c r="H64" i="10"/>
  <c r="C70" i="10"/>
  <c r="E86" i="10"/>
  <c r="K88" i="10"/>
  <c r="E96" i="10"/>
  <c r="H98" i="10"/>
  <c r="K102" i="10"/>
  <c r="E106" i="10"/>
  <c r="K106" i="10"/>
  <c r="K108" i="10"/>
  <c r="H110" i="10"/>
  <c r="H112" i="10"/>
  <c r="H187" i="10"/>
  <c r="E189" i="10"/>
  <c r="C174" i="10"/>
  <c r="C172" i="10" s="1"/>
  <c r="C171" i="10" s="1"/>
  <c r="H194" i="10"/>
  <c r="E196" i="10"/>
  <c r="G55" i="10"/>
  <c r="E56" i="10"/>
  <c r="I12" i="10"/>
  <c r="D31" i="10"/>
  <c r="E31" i="10" s="1"/>
  <c r="E108" i="10"/>
  <c r="E112" i="10"/>
  <c r="K191" i="10"/>
  <c r="K194" i="10"/>
  <c r="H18" i="10"/>
  <c r="H31" i="10"/>
  <c r="K39" i="10"/>
  <c r="E49" i="10"/>
  <c r="J56" i="10"/>
  <c r="J55" i="10" s="1"/>
  <c r="K64" i="10"/>
  <c r="H71" i="10"/>
  <c r="K73" i="10"/>
  <c r="H84" i="10"/>
  <c r="K100" i="10"/>
  <c r="H113" i="10"/>
  <c r="E185" i="10"/>
  <c r="K189" i="10"/>
  <c r="E14" i="10"/>
  <c r="H16" i="10"/>
  <c r="K31" i="10"/>
  <c r="D60" i="10"/>
  <c r="D63" i="10"/>
  <c r="H92" i="10"/>
  <c r="E97" i="10"/>
  <c r="K115" i="10"/>
  <c r="K187" i="10"/>
  <c r="E200" i="10"/>
  <c r="C24" i="10"/>
  <c r="E57" i="10"/>
  <c r="H80" i="10"/>
  <c r="H97" i="10"/>
  <c r="E156" i="10"/>
  <c r="H183" i="10"/>
  <c r="I174" i="10"/>
  <c r="I172" i="10" s="1"/>
  <c r="I171" i="10" s="1"/>
  <c r="I168" i="10" s="1"/>
  <c r="G193" i="10"/>
  <c r="H204" i="10"/>
  <c r="K43" i="10"/>
  <c r="H13" i="10"/>
  <c r="I48" i="10"/>
  <c r="K14" i="10"/>
  <c r="K49" i="10"/>
  <c r="K78" i="10"/>
  <c r="K80" i="10"/>
  <c r="I114" i="10"/>
  <c r="I77" i="10" s="1"/>
  <c r="E118" i="10"/>
  <c r="E169" i="10"/>
  <c r="H46" i="10"/>
  <c r="D53" i="10"/>
  <c r="D52" i="10" s="1"/>
  <c r="K94" i="10"/>
  <c r="K183" i="10"/>
  <c r="G12" i="10"/>
  <c r="H12" i="10" s="1"/>
  <c r="C193" i="10"/>
  <c r="H22" i="10"/>
  <c r="H36" i="10"/>
  <c r="K46" i="10"/>
  <c r="K104" i="10"/>
  <c r="K22" i="10"/>
  <c r="F56" i="10"/>
  <c r="H56" i="10" s="1"/>
  <c r="H73" i="10"/>
  <c r="E84" i="10"/>
  <c r="K196" i="10"/>
  <c r="F60" i="10"/>
  <c r="H61" i="10"/>
  <c r="E13" i="10"/>
  <c r="G24" i="10"/>
  <c r="C48" i="10"/>
  <c r="H75" i="10"/>
  <c r="F70" i="10"/>
  <c r="E79" i="10"/>
  <c r="D78" i="10"/>
  <c r="E78" i="10" s="1"/>
  <c r="E88" i="10"/>
  <c r="E92" i="10"/>
  <c r="E103" i="10"/>
  <c r="D102" i="10"/>
  <c r="K96" i="10"/>
  <c r="J77" i="10"/>
  <c r="K6" i="10"/>
  <c r="K7" i="10"/>
  <c r="E27" i="10"/>
  <c r="G38" i="10"/>
  <c r="D43" i="10"/>
  <c r="E43" i="10" s="1"/>
  <c r="G52" i="10"/>
  <c r="G6" i="10"/>
  <c r="K9" i="10"/>
  <c r="H54" i="10"/>
  <c r="I59" i="10"/>
  <c r="I55" i="10" s="1"/>
  <c r="K112" i="10"/>
  <c r="F77" i="10"/>
  <c r="G181" i="10"/>
  <c r="H181" i="10" s="1"/>
  <c r="H182" i="10"/>
  <c r="J174" i="10"/>
  <c r="K185" i="10"/>
  <c r="E25" i="10"/>
  <c r="C38" i="10"/>
  <c r="C35" i="10" s="1"/>
  <c r="H39" i="10"/>
  <c r="K44" i="10"/>
  <c r="J48" i="10"/>
  <c r="I63" i="10"/>
  <c r="E7" i="10"/>
  <c r="H14" i="10"/>
  <c r="D24" i="10"/>
  <c r="F24" i="10"/>
  <c r="J24" i="10"/>
  <c r="K24" i="10" s="1"/>
  <c r="J35" i="10"/>
  <c r="E36" i="10"/>
  <c r="E40" i="10"/>
  <c r="G43" i="10"/>
  <c r="H43" i="10" s="1"/>
  <c r="E46" i="10"/>
  <c r="K50" i="10"/>
  <c r="E71" i="10"/>
  <c r="E90" i="10"/>
  <c r="E95" i="10"/>
  <c r="D94" i="10"/>
  <c r="E94" i="10" s="1"/>
  <c r="H82" i="10"/>
  <c r="K97" i="10"/>
  <c r="H108" i="10"/>
  <c r="K113" i="10"/>
  <c r="C115" i="10"/>
  <c r="C114" i="10" s="1"/>
  <c r="E154" i="10"/>
  <c r="G171" i="10"/>
  <c r="C181" i="10"/>
  <c r="E181" i="10" s="1"/>
  <c r="E182" i="10"/>
  <c r="F174" i="10"/>
  <c r="F172" i="10" s="1"/>
  <c r="F171" i="10" s="1"/>
  <c r="F168" i="10" s="1"/>
  <c r="H185" i="10"/>
  <c r="D198" i="10"/>
  <c r="E199" i="10"/>
  <c r="J200" i="10"/>
  <c r="K200" i="10" s="1"/>
  <c r="K201" i="10"/>
  <c r="H203" i="10"/>
  <c r="K53" i="10"/>
  <c r="K71" i="10"/>
  <c r="K95" i="10"/>
  <c r="H96" i="10"/>
  <c r="H106" i="10"/>
  <c r="G115" i="10"/>
  <c r="H136" i="10"/>
  <c r="K181" i="10"/>
  <c r="I193" i="10"/>
  <c r="K193" i="10" s="1"/>
  <c r="K198" i="10"/>
  <c r="F200" i="10"/>
  <c r="H200" i="10" s="1"/>
  <c r="H201" i="10"/>
  <c r="D204" i="10"/>
  <c r="E205" i="10"/>
  <c r="H95" i="10"/>
  <c r="I203" i="10"/>
  <c r="K203" i="10" s="1"/>
  <c r="K204" i="10"/>
  <c r="K13" i="10" l="1"/>
  <c r="H70" i="10"/>
  <c r="K114" i="10"/>
  <c r="E70" i="10"/>
  <c r="K56" i="10"/>
  <c r="K38" i="10"/>
  <c r="K35" i="10"/>
  <c r="E63" i="10"/>
  <c r="E24" i="10"/>
  <c r="H193" i="10"/>
  <c r="E12" i="10"/>
  <c r="K48" i="10"/>
  <c r="E53" i="10"/>
  <c r="C168" i="10"/>
  <c r="E174" i="10"/>
  <c r="D172" i="10"/>
  <c r="D171" i="10" s="1"/>
  <c r="K63" i="10"/>
  <c r="C5" i="10"/>
  <c r="I69" i="10"/>
  <c r="I68" i="10" s="1"/>
  <c r="H174" i="10"/>
  <c r="E115" i="10"/>
  <c r="H24" i="10"/>
  <c r="E60" i="10"/>
  <c r="D59" i="10"/>
  <c r="I5" i="10"/>
  <c r="K55" i="10"/>
  <c r="H6" i="10"/>
  <c r="K77" i="10"/>
  <c r="E38" i="10"/>
  <c r="G114" i="10"/>
  <c r="H115" i="10"/>
  <c r="G168" i="10"/>
  <c r="H168" i="10" s="1"/>
  <c r="H171" i="10"/>
  <c r="K59" i="10"/>
  <c r="C77" i="10"/>
  <c r="E114" i="10"/>
  <c r="F69" i="10"/>
  <c r="F68" i="10" s="1"/>
  <c r="D35" i="10"/>
  <c r="H38" i="10"/>
  <c r="G35" i="10"/>
  <c r="H35" i="10" s="1"/>
  <c r="E102" i="10"/>
  <c r="D77" i="10"/>
  <c r="J5" i="10"/>
  <c r="D203" i="10"/>
  <c r="E203" i="10" s="1"/>
  <c r="E204" i="10"/>
  <c r="H52" i="10"/>
  <c r="G48" i="10"/>
  <c r="H48" i="10" s="1"/>
  <c r="E52" i="10"/>
  <c r="D48" i="10"/>
  <c r="E48" i="10" s="1"/>
  <c r="D193" i="10"/>
  <c r="E193" i="10" s="1"/>
  <c r="E198" i="10"/>
  <c r="H172" i="10"/>
  <c r="J172" i="10"/>
  <c r="K174" i="10"/>
  <c r="H60" i="10"/>
  <c r="F59" i="10"/>
  <c r="E172" i="10" l="1"/>
  <c r="C69" i="10"/>
  <c r="C68" i="10" s="1"/>
  <c r="C206" i="10" s="1"/>
  <c r="I206" i="10"/>
  <c r="E59" i="10"/>
  <c r="D55" i="10"/>
  <c r="E55" i="10" s="1"/>
  <c r="J171" i="10"/>
  <c r="K172" i="10"/>
  <c r="D168" i="10"/>
  <c r="E168" i="10" s="1"/>
  <c r="E171" i="10"/>
  <c r="K5" i="10"/>
  <c r="G5" i="10"/>
  <c r="H59" i="10"/>
  <c r="F55" i="10"/>
  <c r="E77" i="10"/>
  <c r="E35" i="10"/>
  <c r="D5" i="10"/>
  <c r="G77" i="10"/>
  <c r="H114" i="10"/>
  <c r="D69" i="10" l="1"/>
  <c r="H77" i="10"/>
  <c r="G69" i="10"/>
  <c r="E69" i="10"/>
  <c r="D68" i="10"/>
  <c r="E5" i="10"/>
  <c r="H55" i="10"/>
  <c r="F5" i="10"/>
  <c r="F206" i="10" s="1"/>
  <c r="K171" i="10"/>
  <c r="J168" i="10"/>
  <c r="E68" i="10" l="1"/>
  <c r="K168" i="10"/>
  <c r="J69" i="10"/>
  <c r="H69" i="10"/>
  <c r="G68" i="10"/>
  <c r="D206" i="10"/>
  <c r="E206" i="10" s="1"/>
  <c r="H5" i="10"/>
  <c r="H68" i="10" l="1"/>
  <c r="G206" i="10"/>
  <c r="H206" i="10" s="1"/>
  <c r="J68" i="10"/>
  <c r="K69" i="10"/>
  <c r="K68" i="10" l="1"/>
  <c r="J206" i="10"/>
  <c r="K206" i="10" s="1"/>
  <c r="E11" i="1" l="1"/>
  <c r="E21" i="1" s="1"/>
  <c r="D11" i="1"/>
  <c r="D21" i="1" s="1"/>
  <c r="C11" i="1"/>
  <c r="C21" i="1" s="1"/>
  <c r="E9" i="1"/>
  <c r="E17" i="1" s="1"/>
  <c r="D9" i="1"/>
  <c r="D17" i="1" s="1"/>
  <c r="C9" i="1"/>
  <c r="C17" i="1" s="1"/>
  <c r="E8" i="1"/>
  <c r="D8" i="1"/>
  <c r="C8" i="1"/>
  <c r="C16" i="1" l="1"/>
  <c r="C15" i="1" s="1"/>
  <c r="C14" i="1" s="1"/>
  <c r="C20" i="1"/>
  <c r="C19" i="1" s="1"/>
  <c r="C18" i="1" s="1"/>
  <c r="E16" i="1"/>
  <c r="E15" i="1" s="1"/>
  <c r="E14" i="1" s="1"/>
  <c r="D16" i="1"/>
  <c r="D15" i="1" s="1"/>
  <c r="D14" i="1" s="1"/>
  <c r="D20" i="1"/>
  <c r="D19" i="1" s="1"/>
  <c r="D18" i="1" s="1"/>
  <c r="E20" i="1"/>
  <c r="E19" i="1" s="1"/>
  <c r="E18" i="1" s="1"/>
  <c r="E13" i="1" l="1"/>
  <c r="E23" i="1" s="1"/>
  <c r="D13" i="1"/>
  <c r="D23" i="1" s="1"/>
  <c r="C13" i="1"/>
  <c r="C23" i="1" s="1"/>
</calcChain>
</file>

<file path=xl/sharedStrings.xml><?xml version="1.0" encoding="utf-8"?>
<sst xmlns="http://schemas.openxmlformats.org/spreadsheetml/2006/main" count="10147" uniqueCount="1131">
  <si>
    <t>ИСТОЧНИКИ</t>
  </si>
  <si>
    <t>(тыс.рублей)</t>
  </si>
  <si>
    <t xml:space="preserve">Код 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</si>
  <si>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сектора  управления, относящихся к источникам финансирования дефицитов бюджетов муниципального округа</t>
  </si>
  <si>
    <t>Сумма</t>
  </si>
  <si>
    <t>2025 год</t>
  </si>
  <si>
    <t>2026 год</t>
  </si>
  <si>
    <t>2027 год</t>
  </si>
  <si>
    <t>000 01 03 00 00 00 0000 000</t>
  </si>
  <si>
    <t>Бюджетные кредиты от других бюджетов бюджетной системы Российской Федерации</t>
  </si>
  <si>
    <t>151 01 03 01 00 00 0000 700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</si>
  <si>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</si>
  <si>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151 01 03 01 00 14 0000 710
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</si>
  <si>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</si>
  <si>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151 01 03 01 00 00 0000 800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</si>
  <si>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</si>
  <si>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151 01 03 01 00 14 0000 810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</si>
  <si>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</si>
  <si>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</si>
  <si>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</si>
  <si>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151 01 05 00 00 00 0000 500</t>
  </si>
  <si>
    <t>Увеличение остатков средств бюджетов</t>
  </si>
  <si>
    <t>151 01 05 02 00 00 0000 500</t>
  </si>
  <si>
    <t>Увеличение прочих остатков средств бюджета</t>
  </si>
  <si>
    <t>151 01 05 02 01 00 0000 510</t>
  </si>
  <si>
    <t>Увеличение прочих остатков денежных средств бюджетов</t>
  </si>
  <si>
    <t>151 01 05 02 01 14 0000 510</t>
  </si>
  <si>
    <t>Увеличение прочих остатков денежных средств бюджетов субъектов муниципальных округов</t>
  </si>
  <si>
    <t>151 01 05 00 00 00 0000 600</t>
  </si>
  <si>
    <t>Уменьшение остатков средств бюджетов</t>
  </si>
  <si>
    <t>151 01 05 02 00 00 0000 600</t>
  </si>
  <si>
    <t>Уменьшение прочих  остатков средств бюджетов</t>
  </si>
  <si>
    <t>151 01 05 02 01 00 0000 610</t>
  </si>
  <si>
    <t>Уменьшение прочих остатков денежных средств бюджетов</t>
  </si>
  <si>
    <t>151 01 05 02 01 14 0000 610</t>
  </si>
  <si>
    <t>Уменьшение прочих остатков денежных средств бюджетов муниципальных округов</t>
  </si>
  <si>
    <t>000 01 06 00 00 00 0000 000</t>
  </si>
  <si>
    <t>Иные источники внутреннего финансирования дефицитов бюджетов</t>
  </si>
  <si>
    <t>ИТОГО</t>
  </si>
  <si>
    <t>* В соответствии с приказом Министерства финансов Российской Федерации от 24 августа 2007 года № 74н "Об утверждении Указаний о порядке применения бюджетной классификации Российской Федерации"</t>
  </si>
  <si>
    <t>Всего расходов</t>
  </si>
  <si>
    <t>Условно утверждаемые расходы</t>
  </si>
  <si>
    <t>Итого расходов</t>
  </si>
  <si>
    <t>730</t>
  </si>
  <si>
    <t>11 4 01 20900</t>
  </si>
  <si>
    <t>01</t>
  </si>
  <si>
    <t>13</t>
  </si>
  <si>
    <t>Обслуживание муниципального долга</t>
  </si>
  <si>
    <t>Процентные платежи по долговым обязательствам муниципального округа</t>
  </si>
  <si>
    <t>11 4 01 00000</t>
  </si>
  <si>
    <t>Комплекс процессных мероприятий  "Управление муниципальным долгом и муниципальными финансовыми активами Нюксенского муниципального округа"</t>
  </si>
  <si>
    <t>11 4 00 00000</t>
  </si>
  <si>
    <t>Комплекс процессных мероприятий</t>
  </si>
  <si>
    <t>11 0 00 00000</t>
  </si>
  <si>
    <t>Муниципальная программа "Управление муниципальными финансами Нюксенского муниципального округа 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</si>
  <si>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</si>
  <si>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</si>
  <si>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620</t>
  </si>
  <si>
    <t>05 2 04 S1040</t>
  </si>
  <si>
    <t>05</t>
  </si>
  <si>
    <t>11</t>
  </si>
  <si>
    <t xml:space="preserve">Субсидии автономным учреждениям
</t>
  </si>
  <si>
    <t>Мероприятия, направленные на укрепление материально-технической базы муниципальных физкультурно-спортивных организаций</t>
  </si>
  <si>
    <t>05 2 04 00000</t>
  </si>
  <si>
    <t>Муниципальный проект "Инвестиции в инфраструктуру физической культуры и спорта"</t>
  </si>
  <si>
    <t>05 2 00 00000</t>
  </si>
  <si>
    <t>Муниципальный проект, не связанный с национальным проектом</t>
  </si>
  <si>
    <t>05 0 00 00000</t>
  </si>
  <si>
    <t>Муниципальная программа "Развитие культуры, туризма, молодежной политики, физической культуры и спорта  Нюксенского муниципального округа"</t>
  </si>
  <si>
    <t>Другие вопросы в области физической культуры и спорта</t>
  </si>
  <si>
    <t>240</t>
  </si>
  <si>
    <t>05 2 05 S1760</t>
  </si>
  <si>
    <t>02</t>
  </si>
  <si>
    <t>Иные закупки товаров, работ и услуг для обеспечения государственных (муниципальных) нужд</t>
  </si>
  <si>
    <t>Мероприятия, направленные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</si>
  <si>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05 2 05 S1610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</si>
  <si>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</si>
  <si>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05 2 05 00000</t>
  </si>
  <si>
    <t>Муниципальный проект "Развитие спорта на территории Нюксенского муниципального округа"</t>
  </si>
  <si>
    <t>Массовый спорт</t>
  </si>
  <si>
    <t>05 4 05 20600</t>
  </si>
  <si>
    <t>610</t>
  </si>
  <si>
    <t>Субсидии бюджетным учреждениям</t>
  </si>
  <si>
    <t>120</t>
  </si>
  <si>
    <t>Расходы на выплаты персоналу государственных (муниципальных) органов</t>
  </si>
  <si>
    <t>Мероприятия в области физической культуры и спорта</t>
  </si>
  <si>
    <t>05 4 05 70030</t>
  </si>
  <si>
    <t>Субсидии автономным учреждениям</t>
  </si>
  <si>
    <t>Реализация расходных обязательств в части обеспечения выплаты заработной платы работникам муниципальных учреждений</t>
  </si>
  <si>
    <t>05 4 05 01590</t>
  </si>
  <si>
    <t>05 4 05 00000</t>
  </si>
  <si>
    <t>Комплекс процессных мероприятий " Обеспечение деятельности в сфере физической культуры и спорта"</t>
  </si>
  <si>
    <t>05 4 00 00000</t>
  </si>
  <si>
    <t xml:space="preserve">Физическая культура </t>
  </si>
  <si>
    <t>ФИЗИЧЕСКАЯ КУЛЬТУРА И СПОРТ</t>
  </si>
  <si>
    <t>01 4 01 25160</t>
  </si>
  <si>
    <t>06</t>
  </si>
  <si>
    <t>10</t>
  </si>
  <si>
    <t xml:space="preserve">Субсидии бюджетным учреждениям </t>
  </si>
  <si>
    <t>320</t>
  </si>
  <si>
    <t>Социальные выплаты гражданам, кроме публичных нормативных социальных выплат</t>
  </si>
  <si>
    <t>Реализация мер социальной поддержки граждан, призванных на военную службу по мобилизации, по контракту и членов их семей</t>
  </si>
  <si>
    <t>01 4 01 00000</t>
  </si>
  <si>
    <t>Комплекс процессных мероприятий "Предоставление мер социальной поддержки отдельным категориям граждан и иных социальных выплат"</t>
  </si>
  <si>
    <t>01 4 00 00000</t>
  </si>
  <si>
    <t>01 0 00 00000</t>
  </si>
  <si>
    <t>Муниципальная программа "Социальная поддержка населения  Нюксенского муниципального округа"</t>
  </si>
  <si>
    <t>Другие вопросы в области социальной политики</t>
  </si>
  <si>
    <t>04</t>
  </si>
  <si>
    <t>08 0 00 00000</t>
  </si>
  <si>
    <t>13 4 01 51760</t>
  </si>
  <si>
    <t>03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</si>
  <si>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</si>
  <si>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13 4 01 00000</t>
  </si>
  <si>
    <t>Комплекс процессных мероприятий "Обеспечение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Федерации""</t>
  </si>
  <si>
    <t>13 4 00 00000</t>
  </si>
  <si>
    <t>13 2 04 L5764</t>
  </si>
  <si>
    <t>Улучшение жилищных условий граждан, проживающих на сельских территориях</t>
  </si>
  <si>
    <t>13 2 04 00000</t>
  </si>
  <si>
    <t>Муниципальный проект "Оказание содействия в обеспечении сельского населения доступным и комфортным жильем"</t>
  </si>
  <si>
    <t>13 2 03 L4970</t>
  </si>
  <si>
    <t>Мероприятия, направленные на обеспечение жильем молодых семей</t>
  </si>
  <si>
    <t>13 2 03 00000</t>
  </si>
  <si>
    <t>Муниципальный проект, связанный с реализацией регионального проекта "Оказание поддержки отдельным категориям граждан в приобретении жилья"</t>
  </si>
  <si>
    <t>13 2 00 00000</t>
  </si>
  <si>
    <t>13 0 00 00000</t>
  </si>
  <si>
    <t>Муниципальная программа "Обеспечение населения Нюксенского муниципального округа доступным жильем и создание благоприятных условий проживания"</t>
  </si>
  <si>
    <t>310</t>
  </si>
  <si>
    <t>12 4 01 72300</t>
  </si>
  <si>
    <t>Публичные нормативные социальные выплаты гражданам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</si>
  <si>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</si>
  <si>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12 4 01 00000</t>
  </si>
  <si>
    <t>Комплекс процессных мероприятий "Финансовая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гражданам, имеющим трех и более детей"</t>
  </si>
  <si>
    <t>12 4 00 00000</t>
  </si>
  <si>
    <t>12 0 00 00000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</si>
  <si>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округа"</t>
  </si>
  <si>
    <t>06 4 02 72020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</si>
  <si>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</si>
  <si>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06 4 02 00000</t>
  </si>
  <si>
    <t>Комплекс процессных мероприятий "Обеспечение предоставления мер социальной поддержки"</t>
  </si>
  <si>
    <t>06 4 00 00000</t>
  </si>
  <si>
    <t>06 0 00 00000</t>
  </si>
  <si>
    <t>Муниципальная программа "Развитие образования Нюксенского муниципального округа"</t>
  </si>
  <si>
    <t>01 4 01 25140</t>
  </si>
  <si>
    <t>110</t>
  </si>
  <si>
    <t>Расходы на выплаты персоналу казенных учреждений</t>
  </si>
  <si>
    <t>Мероприятия в области социальной политики</t>
  </si>
  <si>
    <t>Муниципальная программа "Социальная поддержка населения Нюксенского муниципального округа"</t>
  </si>
  <si>
    <t>78 0 00 51350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</si>
  <si>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</si>
  <si>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78 0 00 00000</t>
  </si>
  <si>
    <t>Осуществление отдельных государственных полномочий</t>
  </si>
  <si>
    <t>Социальное обеспечение населения</t>
  </si>
  <si>
    <t>01 4 01 80010</t>
  </si>
  <si>
    <t xml:space="preserve">Публичные нормативные социальные выплаты гражданам
</t>
  </si>
  <si>
    <t xml:space="preserve">Доплаты к пенсиям </t>
  </si>
  <si>
    <t>Пенсионное обеспечение</t>
  </si>
  <si>
    <t>СОЦИАЛЬНАЯ ПОЛИТИКА</t>
  </si>
  <si>
    <t>78 0 00 72230</t>
  </si>
  <si>
    <t>07</t>
  </si>
  <si>
    <t>09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</si>
  <si>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</si>
  <si>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</si>
  <si>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ЗДРАВООХРАНЕНИЕ</t>
  </si>
  <si>
    <t>410</t>
  </si>
  <si>
    <t>05 2 01 S3280</t>
  </si>
  <si>
    <t>08</t>
  </si>
  <si>
    <t>Бюджетные инвестиции</t>
  </si>
  <si>
    <t>Строительство культурно-досугового центра в с.Нюксеница</t>
  </si>
  <si>
    <t>05 2 01 00000</t>
  </si>
  <si>
    <t>Муниципальный проект "Инвестиции в инфраструктуру учреждений культуры муниципального округа"</t>
  </si>
  <si>
    <t>Другие вопросы в области культуры, кинематографии</t>
  </si>
  <si>
    <t>05 4 02 70030</t>
  </si>
  <si>
    <t>05 4 02 01590</t>
  </si>
  <si>
    <t>Расходы на обеспечение деятельности (оказание услуг) муниципальных учреждений</t>
  </si>
  <si>
    <t>05 4 02 00000</t>
  </si>
  <si>
    <t>Комплекс процессных мероприятий "Обеспечение деятельности учреждений в сфере культуры"</t>
  </si>
  <si>
    <t>05 4 01 28010</t>
  </si>
  <si>
    <t>Мероприятия в сфере культуры</t>
  </si>
  <si>
    <t>05 4 01 00000</t>
  </si>
  <si>
    <t>Комплекс процессных мероприятий "Организация и проведение культурных проектов, мероприятий, посвященных праздничным и памятным датам"</t>
  </si>
  <si>
    <t>05 2 06 74070</t>
  </si>
  <si>
    <t>Иные межбюджетные трансферты по стимулированию создания рабочих мест для инвалидов</t>
  </si>
  <si>
    <t>05 2 06 00000</t>
  </si>
  <si>
    <t>Муниципальный проект "Безопасный труд"</t>
  </si>
  <si>
    <t>05 2 01 01591</t>
  </si>
  <si>
    <t>Обеспечение реализации мероприятий по укреплению материально-технической базы государственных учреждений отрасли культуры</t>
  </si>
  <si>
    <t>05 2 01 S1960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</si>
  <si>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</si>
  <si>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05 2 01 S1570</t>
  </si>
  <si>
    <t>Мероприятия, направленные на антитеррористическую защищенность объектов культуры</t>
  </si>
  <si>
    <t>Культура</t>
  </si>
  <si>
    <t xml:space="preserve">КУЛЬТУРА, КИНЕМАТОГРАФИЯ </t>
  </si>
  <si>
    <t>06 4 05 16800</t>
  </si>
  <si>
    <t>Организация методического сопровождения повышения профессиональной компетентности педагогических и руководящих кадров</t>
  </si>
  <si>
    <t>06 4 05 00190</t>
  </si>
  <si>
    <t xml:space="preserve">Расходы на обеспечение функций муниципальных органов </t>
  </si>
  <si>
    <t>06 4 05 00000</t>
  </si>
  <si>
    <t>Комплекс процессных мероприятий "Обеспечение создания условий для реализации программы"</t>
  </si>
  <si>
    <t>06 4 03 16700</t>
  </si>
  <si>
    <t>Организация содержательного досуга детей в каникулярное время</t>
  </si>
  <si>
    <t>06 4 03 16600</t>
  </si>
  <si>
    <t>Развитие системы поддержки талантливых детей в образовательных учреждениях</t>
  </si>
  <si>
    <t>06 4 03 00000</t>
  </si>
  <si>
    <t>Комплекс процессных мероприятий "Обеспечение создания условий для проявления и развития способностей обучающихся и самореализации"</t>
  </si>
  <si>
    <t>Другие вопросы в области образования</t>
  </si>
  <si>
    <t>05 4 04 20590</t>
  </si>
  <si>
    <t>Проведение мероприятий для детей и молодежи</t>
  </si>
  <si>
    <t>05 4 04 00000</t>
  </si>
  <si>
    <t>Комплекс процессных мероприятий "Обеспечение деятельности в сфере молодежной политики"</t>
  </si>
  <si>
    <t xml:space="preserve">Мероприятия, направленные на обеспечение развития и укрепление материально-технической базы </t>
  </si>
  <si>
    <t>Муниципальный проект "Инвестиции в инфраструктуру молодежи"</t>
  </si>
  <si>
    <t>05 2 03 00000</t>
  </si>
  <si>
    <t>Молодёжная политика</t>
  </si>
  <si>
    <t>06 4 01 16590</t>
  </si>
  <si>
    <t>Обеспечение персонифицированного финансирования дополнительного образования детей</t>
  </si>
  <si>
    <t>06 4 01 15590</t>
  </si>
  <si>
    <t>Учреждения по внешкольной работе с детьми</t>
  </si>
  <si>
    <t>06 4 01 00000</t>
  </si>
  <si>
    <t>Комплекс процессных мероприятий "Развитие дошкольного, общего и дополнительного образования детей"</t>
  </si>
  <si>
    <t>06 2 02 S1730</t>
  </si>
  <si>
    <t>Мероприятия по подготовке спортивного резерва для спортивных сборных команд Вологодской области</t>
  </si>
  <si>
    <t>06 2 02 00000</t>
  </si>
  <si>
    <t>Муниципальный проект ""Развитие спорта высших достижений, системы подготовки спортивного резерва и массового спорта"</t>
  </si>
  <si>
    <t>06 2 00 00000</t>
  </si>
  <si>
    <t>05 4 02 15590</t>
  </si>
  <si>
    <t>Дополнительное образование детей</t>
  </si>
  <si>
    <t>06 4 01 70030</t>
  </si>
  <si>
    <t>06 4 01 13590</t>
  </si>
  <si>
    <t xml:space="preserve">Школы - детские сады, школы начальные, неполные средние и средние </t>
  </si>
  <si>
    <t>06 4 01 72010</t>
  </si>
  <si>
    <t>Обеспечение дошкольного образования и общеобразовательного процесса в муниципальных образовательных организациях</t>
  </si>
  <si>
    <t>06 2 01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</si>
  <si>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</si>
  <si>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 2 01 S1940</t>
  </si>
  <si>
    <t>Мероприятия, направленные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</si>
  <si>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06 2 01 S1540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</si>
  <si>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</si>
  <si>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 xml:space="preserve"> 06 2 01 S1490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</si>
  <si>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</si>
  <si>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06 2 01 S1440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</si>
  <si>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</si>
  <si>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06 2 01 S1140</t>
  </si>
  <si>
    <t>Мероприятия, направленные на антитеррористическую защищенность образовательных организаций</t>
  </si>
  <si>
    <t>06 2 01 S1070</t>
  </si>
  <si>
    <t>Создание агроклассов и (или) лесных классов в общеобразовательных организациях области</t>
  </si>
  <si>
    <t>06 2 01 S1010</t>
  </si>
  <si>
    <t>Мероприятия, направленные на организацию школьных музеев</t>
  </si>
  <si>
    <t>06 2 01 00000</t>
  </si>
  <si>
    <t>Муниципальный проект "Развитие дошкольного, общего и дополнительного образования детей"</t>
  </si>
  <si>
    <t>06 1 Ю6 53030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</si>
  <si>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</si>
  <si>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 1 Ю6 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</si>
  <si>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</si>
  <si>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 1 Ю6 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</si>
  <si>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</si>
  <si>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06 1 Ю6 00000</t>
  </si>
  <si>
    <t>06 1 Ю4 А7501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</si>
  <si>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воспитания), за исключением расходов, предусмотренных на софинансирование субсидий из федерального бюджета</t>
  </si>
  <si>
    <t>06 1 Ю4 57502</t>
  </si>
  <si>
    <t>Мероприятия по модернизации школьных систем образования (ремонты с однолетним циклом)</t>
  </si>
  <si>
    <t>06 1 Ю4 57501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</si>
  <si>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</si>
  <si>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06 1 Ю4 57500</t>
  </si>
  <si>
    <t>Мероприятия по модернизации школьных систем образования</t>
  </si>
  <si>
    <t>06 1 Ю4 55590</t>
  </si>
  <si>
    <t>Мероприятия по оснащению предметных кабинетов общеобразовательных организаций оборудованием, средствами обучения и воспитания</t>
  </si>
  <si>
    <t>06 1 Ю4 00000</t>
  </si>
  <si>
    <t>Муниципальный проект "Модернизация школьных систем образования", связанный с региональным проектом "Все лучшее детям"</t>
  </si>
  <si>
    <t>06 1 00 00000</t>
  </si>
  <si>
    <t>Муниципальный проект, связанный с национальным проектом</t>
  </si>
  <si>
    <t>Общее образование</t>
  </si>
  <si>
    <t>Дошкольные учреждения</t>
  </si>
  <si>
    <t>06 4 01 14590</t>
  </si>
  <si>
    <t>06 2 01 S1180</t>
  </si>
  <si>
    <t>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</si>
  <si>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Дошкольное образование</t>
  </si>
  <si>
    <t>ОБРАЗОВАНИЕ</t>
  </si>
  <si>
    <t>08 4 03 20112</t>
  </si>
  <si>
    <t>Природоохранные мероприятия</t>
  </si>
  <si>
    <t>08 4 03 00000</t>
  </si>
  <si>
    <t>Комплекс процессных мероприятий "Экологическое образование, просвещение и информирование населения"</t>
  </si>
  <si>
    <t>08 4 02 20111</t>
  </si>
  <si>
    <t>Содержание мест для накопления (сбора) твердых коммунальных отходов</t>
  </si>
  <si>
    <t>08 4 02 00000</t>
  </si>
  <si>
    <t>Комплекс процессных мероприятий "Снижение негативного воздействия на окружающую среду отходов производства и потребления"</t>
  </si>
  <si>
    <t>08 4 00 00000</t>
  </si>
  <si>
    <t>08 2 02 20121</t>
  </si>
  <si>
    <t>Мероприятия, направленные на обустройство контейнерных площадок (дополнительные средства)</t>
  </si>
  <si>
    <t>08 2 02 20120</t>
  </si>
  <si>
    <t>Предотвращение загрязнения окружающей среды отходами производства и потребления</t>
  </si>
  <si>
    <t>08 2 02 S1100</t>
  </si>
  <si>
    <t>Мероприятия, направленные на обустройство контейнерных площадок</t>
  </si>
  <si>
    <t>08 2 02 00000</t>
  </si>
  <si>
    <t>Муниципальный проект "Снижение негативного воздействия на окружающую среду отходов производства и потребления"</t>
  </si>
  <si>
    <t>08 2 01 20110</t>
  </si>
  <si>
    <t>Охрана и рациональное использование водных ресурсов</t>
  </si>
  <si>
    <t>08 2 01 00000</t>
  </si>
  <si>
    <t>Муниципальный проект "Обеспечение населения округа качественной питьевой водой"</t>
  </si>
  <si>
    <t>08 2 00 00000</t>
  </si>
  <si>
    <t>Муниципальная программа "Охрана окружающей среды и обеспечение экологической безопасности Нюксенского муниципального округа"</t>
  </si>
  <si>
    <t>Другие вопросы в области охраны окружающей среды</t>
  </si>
  <si>
    <t>ОХРАНА ОКРУЖАЮЩЕЙ СРЕДЫ</t>
  </si>
  <si>
    <t>09 4 02 70030</t>
  </si>
  <si>
    <t>09 4 02 41500</t>
  </si>
  <si>
    <t>09 4 02 00000</t>
  </si>
  <si>
    <t>Комплекс процессных мероприятий "Обеспечение деятельности службы коммунального хозяйства и благоустройства"</t>
  </si>
  <si>
    <t>09 4 00 00000</t>
  </si>
  <si>
    <t>09 0 00 00000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</si>
  <si>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округа"</t>
  </si>
  <si>
    <t>03 4 03 23300</t>
  </si>
  <si>
    <t>Организация ритуальных услуг и содержание мест захоронения</t>
  </si>
  <si>
    <t>03 4 03 00000</t>
  </si>
  <si>
    <t>Комплекс процессных мероприятий "Организация ритуальных услуг и содержание мест захоронения"</t>
  </si>
  <si>
    <t>03 4 02 23200</t>
  </si>
  <si>
    <t>Проведение мероприятий в сфере благоустройства</t>
  </si>
  <si>
    <t>03 4 02 00000</t>
  </si>
  <si>
    <t>Комплекс процессных мероприятий "Проведение мероприятий в сфере благоустройства"</t>
  </si>
  <si>
    <t>03 4 01 23400</t>
  </si>
  <si>
    <t xml:space="preserve">Уличное освещение </t>
  </si>
  <si>
    <t>850</t>
  </si>
  <si>
    <t>03 4 01 S1090</t>
  </si>
  <si>
    <t xml:space="preserve">Уплата налогов, сборов и иных платежей
</t>
  </si>
  <si>
    <t>Мероприятия, направленные на организацию уличного освещения</t>
  </si>
  <si>
    <t>03 4 01 00000</t>
  </si>
  <si>
    <t>Комплекс процессных мероприятий "Организация уличного освещения"</t>
  </si>
  <si>
    <t>03 4 00 00000</t>
  </si>
  <si>
    <t>03 2 03 S3350</t>
  </si>
  <si>
    <t>Мероприятия, направленные на обустройство систем уличного освещения</t>
  </si>
  <si>
    <t>03 2 03 23210</t>
  </si>
  <si>
    <t>Обустройство общественных территорий</t>
  </si>
  <si>
    <t>03 2 03 00000</t>
  </si>
  <si>
    <t>Муниципальный проект "Инвестиции в создание благоустройства общественных территорий округа"</t>
  </si>
  <si>
    <t>03 2 02 S1400</t>
  </si>
  <si>
    <t>Мероприятия по предотвращению распространения сорного растения борщевик Сосновского</t>
  </si>
  <si>
    <t>03 2 02 00000</t>
  </si>
  <si>
    <t>Муниципальный проект "Предотвращение распространения сорного растения борщевик Сосновского"</t>
  </si>
  <si>
    <t>03 2 01 S1553</t>
  </si>
  <si>
    <t>Обустройство детских и спортивных площадок</t>
  </si>
  <si>
    <t>03 2 01 S1551</t>
  </si>
  <si>
    <t>Мероприятия, направленные на благоустройство дворовых территорий многоквартирных домов</t>
  </si>
  <si>
    <t>03 2 01 00000</t>
  </si>
  <si>
    <t>Муниципальный проект "Формирование современной городской среды на территории Нюксенского муниципального округа"</t>
  </si>
  <si>
    <t>03 2 00 00000</t>
  </si>
  <si>
    <t>03 1 И4 71552</t>
  </si>
  <si>
    <t>Мероприятия, направленные на благоустройство общественных пространств</t>
  </si>
  <si>
    <t>03 1 И4 55552</t>
  </si>
  <si>
    <t>Мероприятия, направленные на благоустройство общественных территорий</t>
  </si>
  <si>
    <t>03 1 И4 00000</t>
  </si>
  <si>
    <t>Региональный проект "Формирование комфортной городской среды"</t>
  </si>
  <si>
    <t>03 1 00 00000</t>
  </si>
  <si>
    <t>03 0 00 00000</t>
  </si>
  <si>
    <t>Муниципальная программа "Формирование современного облика территории Нюксенского муниципального округа"</t>
  </si>
  <si>
    <t>Благоустройство</t>
  </si>
  <si>
    <t>12 4 02 20500</t>
  </si>
  <si>
    <t>Мероприятия в сфере управления и распоряжения имуществом, земельными ресурсами</t>
  </si>
  <si>
    <t>12 4 02 00000</t>
  </si>
  <si>
    <t>Комплекс процессных мероприятий "Управление муниципальным имуществом и земельными ресурсами Нюксенского муниципального округа"</t>
  </si>
  <si>
    <t>09 4 01 20620</t>
  </si>
  <si>
    <t>Мероприятия, направленные на производственный контроль качества сточных вод</t>
  </si>
  <si>
    <t>09 4 01 20610</t>
  </si>
  <si>
    <t>Производственный контроль качества питьевой воды из источников водоснабжения</t>
  </si>
  <si>
    <t>830</t>
  </si>
  <si>
    <t>09 4 01 20560</t>
  </si>
  <si>
    <t xml:space="preserve">Исполнение судебных актов Российской Федерации и мировых соглашений по возмещению причиненного вреда
</t>
  </si>
  <si>
    <t>Мероприятия в области энергосбережения, исполнение судебных решений</t>
  </si>
  <si>
    <t>09 4 01 00000</t>
  </si>
  <si>
    <t>Комплекс процессных мероприятий "Энергосбережение и комплексная модернизация систем коммунальной инфраструктуры Нюксенского муниципального округа"</t>
  </si>
  <si>
    <t>810</t>
  </si>
  <si>
    <t>09 2 04 21190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</si>
  <si>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</si>
  <si>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Мероприятия, связанные с поддержкой муниципальных предприятий в области ЖКХ</t>
  </si>
  <si>
    <t>09 2 04 00000</t>
  </si>
  <si>
    <t>Муниципальный проект "Поддержка коммунального хозяйства"</t>
  </si>
  <si>
    <t>09 2 03 20560</t>
  </si>
  <si>
    <t>Мероприятия в области энергосбережения</t>
  </si>
  <si>
    <t>09 2 03 00000</t>
  </si>
  <si>
    <t>09 2 02 20560</t>
  </si>
  <si>
    <t>09 2 02 00000</t>
  </si>
  <si>
    <t>Муниципальные проект "Подготовка объектов теплоэнергетики к работе в осенне-зимний период"</t>
  </si>
  <si>
    <t>09 2 01 S3040</t>
  </si>
  <si>
    <t>Мероприятия, направленные на строительство, реконструкцию и капитальный ремонт централизованных систем водоснабжения и водоотведения</t>
  </si>
  <si>
    <t>09 2 01 9Т100</t>
  </si>
  <si>
    <t>Мероприятия на подготовку объектов теплоэнергетики к работе в осенне-зимний период</t>
  </si>
  <si>
    <t>09 2 01 00000</t>
  </si>
  <si>
    <t>Муниципальный проект "Строительство, реконструкция и модернизация объектов жилищно-коммунальной инфраструктуры муниципального округа"</t>
  </si>
  <si>
    <t>09 2 00 00000</t>
  </si>
  <si>
    <t>Коммунальное хозяйство</t>
  </si>
  <si>
    <t>13 2 02 20571</t>
  </si>
  <si>
    <t>Мероприятия по сносу пришедших в негодность расселенных ветхих и аварийных многоквартирных домов</t>
  </si>
  <si>
    <t>13 2 02 00000</t>
  </si>
  <si>
    <t>Муниципальный проект "Демонтаж и снос аварийного и ветхого жилья на территории муниципального округа"</t>
  </si>
  <si>
    <t>13 2 01 20570</t>
  </si>
  <si>
    <t>Мероприятия, связанные с капитальным и текущим ремонтом объектов жилищного фонда</t>
  </si>
  <si>
    <t>13 2 01 00000</t>
  </si>
  <si>
    <t>Муниципальный проект "Капитальный и текущий ремонт объектов жилищного фонда"</t>
  </si>
  <si>
    <t>13 1 И2 67484</t>
  </si>
  <si>
    <t>Мероприятия по переселению граждан из аварийного жилищного фонда за счет средств областного бюджета</t>
  </si>
  <si>
    <t>13 1 И2 67483</t>
  </si>
  <si>
    <t>Мероприятия по переселению граждан из аварийного жилищного фонда счет средств, поступивших от публично-правовой компании "Фонд развития территорий"</t>
  </si>
  <si>
    <t>13 1 И2 00000</t>
  </si>
  <si>
    <t>Региональный проект "Жилье"</t>
  </si>
  <si>
    <t>13 1 00 00000</t>
  </si>
  <si>
    <t>12 1 01 20560</t>
  </si>
  <si>
    <t>12 1 01 00000</t>
  </si>
  <si>
    <t>Основное мероприятие "Подготовка объектов теплоэнергетики к работе в осенне-зимний период"</t>
  </si>
  <si>
    <t>12 1 00 00000</t>
  </si>
  <si>
    <t>Подпрограмма "Энергосбережение и повышение энергетической эффективности на территории Нюксенского района"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</si>
  <si>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района на 2021-2025 годы"</t>
  </si>
  <si>
    <t>Жилищное хозяйство</t>
  </si>
  <si>
    <t>ЖИЛИЩНО-КОММУНАЛЬНОЕ ХОЗЯЙСТВО</t>
  </si>
  <si>
    <t>12 4 03 00190</t>
  </si>
  <si>
    <t>12</t>
  </si>
  <si>
    <t>Уплата налогов, сборов и иных платежей</t>
  </si>
  <si>
    <t>Расходы на обеспечение функций муниципальных органов</t>
  </si>
  <si>
    <t>12 4 03 00000</t>
  </si>
  <si>
    <t>Комплекс процессных мероприятий "Обеспечение деятельности комитета земельно-имущественных отношений администрации Нюксенского муниципального округа"</t>
  </si>
  <si>
    <t>12 2 01 20510</t>
  </si>
  <si>
    <t>Мероприятия, направленные на проведение комплексных кадастровых работ, за счет средств бюджета муниципального округа</t>
  </si>
  <si>
    <t>12 2 01 S5110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</si>
  <si>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</si>
  <si>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12 2 01 00000</t>
  </si>
  <si>
    <t>Муниципальный проект "Организация проведения комплексных кадастровых работ"</t>
  </si>
  <si>
    <t>12 2 00 00000</t>
  </si>
  <si>
    <t>630</t>
  </si>
  <si>
    <t>10 4 01 S1251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</si>
  <si>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</si>
  <si>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Доставка товаров в "социально значимые" магазины в малонаселенных и (или) труднодоступных населенных пунктах</t>
  </si>
  <si>
    <t>10 4 01 S1250</t>
  </si>
  <si>
    <t>Развитие мобильной торговли в малонаселенных и труднодоступных населенных пунктах</t>
  </si>
  <si>
    <t>10 4 01 20460</t>
  </si>
  <si>
    <t>Расходы на повышение инвестиционной привлекательности муниципального округа</t>
  </si>
  <si>
    <t>10 4 01 20450</t>
  </si>
  <si>
    <t>Расходы по популяризации роли предпринимательства</t>
  </si>
  <si>
    <t>10 4 01 00000</t>
  </si>
  <si>
    <t>Комплекс процессных мероприятий "Развитие малого и среднего предпринимательства в Нюксенском муниципальном округе"</t>
  </si>
  <si>
    <t>10 4 00 00000</t>
  </si>
  <si>
    <t>10 3 01 20460</t>
  </si>
  <si>
    <t>10 3 01 20440</t>
  </si>
  <si>
    <t>Создание условий для развития торговли</t>
  </si>
  <si>
    <t>10 3 01 00000</t>
  </si>
  <si>
    <t>Муниципальный проект "Инвестиции в развитие округа"</t>
  </si>
  <si>
    <t>10 3 00 00000</t>
  </si>
  <si>
    <t>Муниципальный проект</t>
  </si>
  <si>
    <t>10 0 00 00000</t>
  </si>
  <si>
    <t>Муниципальная программа "Экономическое развитие Нюксенского муниципального округа"</t>
  </si>
  <si>
    <t>Другие вопросы в области национальной экономики</t>
  </si>
  <si>
    <t>07 4 02 23080</t>
  </si>
  <si>
    <t>Снижение числа дорожно-транспортных происшествий с пострадавшими, в том числе несовершеннолетними</t>
  </si>
  <si>
    <t>07 4 02 00000</t>
  </si>
  <si>
    <t>Комплекс процессных мероприятий "Обеспечение общественной безопасности на территории Нюксенского муниципального округа"</t>
  </si>
  <si>
    <t>07 4 00 00000</t>
  </si>
  <si>
    <t>07 0 00 00000</t>
  </si>
  <si>
    <t>Муниципальная программа "Обеспечение профилактики правонарушений, безопасности населения и территории Нюксенского муниципального округа"</t>
  </si>
  <si>
    <t>02 4 04 23070</t>
  </si>
  <si>
    <t>Мероприятия по профилактике дорожно-транспортных происшествий</t>
  </si>
  <si>
    <t>02 4 04 00000</t>
  </si>
  <si>
    <t>Комплекс процессных мероприятий  "Безопасность дорожного движения"</t>
  </si>
  <si>
    <t>02 4 01 41200</t>
  </si>
  <si>
    <t>Выполнение работ по содержанию автомобильных дорог и  искусственных сооружений</t>
  </si>
  <si>
    <t>02 4 01 00000</t>
  </si>
  <si>
    <t>Комплекс процессных мероприятий "Содержание автомобильных дорог общего пользования местного значения"</t>
  </si>
  <si>
    <t>02 4 00 00000</t>
  </si>
  <si>
    <t>02 2 01 41300</t>
  </si>
  <si>
    <t>Выполнение работ по ремонту и капитальному ремонту автомобильных дорог и искусственных сооружений</t>
  </si>
  <si>
    <t>02 2 01 9Д150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</si>
  <si>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</si>
  <si>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02 2 01 00000</t>
  </si>
  <si>
    <t>Муниципальный проект "Ремонт и капитальный ремонт автомобильных дорог и искусственных сооружений"</t>
  </si>
  <si>
    <t>02 2 00 00000</t>
  </si>
  <si>
    <t>02 0 00 00000</t>
  </si>
  <si>
    <t>Муниципальная программа "Дорожная сеть и транспортное обслуживание"</t>
  </si>
  <si>
    <t>Дорожное хозяйство (дорожные фонды)</t>
  </si>
  <si>
    <t>02 4 03 41400</t>
  </si>
  <si>
    <t>02 4 03 00000</t>
  </si>
  <si>
    <t>Комплекс процессных мероприятий "Обеспечение деятельности муниципального бюджетного учреждения "Нюксеницаавтотранс"</t>
  </si>
  <si>
    <t>02 4 02 S1370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</si>
  <si>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</si>
  <si>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02 4 02 00000</t>
  </si>
  <si>
    <t>Комплекс процессных мероприятий "Транспортное обслуживание населения"</t>
  </si>
  <si>
    <t>Транспорт</t>
  </si>
  <si>
    <t>06 4 04 24010</t>
  </si>
  <si>
    <t xml:space="preserve">Мероприятия по содействию занятости населения </t>
  </si>
  <si>
    <t>06 4 04 00000</t>
  </si>
  <si>
    <t>Комплекс процессных мероприятий "Создание условий временного трудоустройства несовершеннолетних граждан"</t>
  </si>
  <si>
    <t>Общеэкономические вопросы</t>
  </si>
  <si>
    <t>НАЦИОНАЛЬНАЯ ЭКОНОМИКА</t>
  </si>
  <si>
    <t>360</t>
  </si>
  <si>
    <t>07 4 02 23090</t>
  </si>
  <si>
    <t>14</t>
  </si>
  <si>
    <t>Иные выплаты населению</t>
  </si>
  <si>
    <t>Мероприятия, направленные на повышение качества и результативности противодействия преступности, охраны общественного порядка, обеспечения общественной безопасности, снижение количества зарегистрированных преступлений</t>
  </si>
  <si>
    <t>07 4 02 23060</t>
  </si>
  <si>
    <t>Мероприятия, направленные на повышение эффективности системы профилактики безнадзорности, правонарушений и преступлений, совершенных несовершеннолетними, а также защиты их прав и снижение количества преступлений, совершенных несовершеннолетними</t>
  </si>
  <si>
    <t>07 2 03 23140</t>
  </si>
  <si>
    <t>Мероприятия по разработке проектно-сметной документации</t>
  </si>
  <si>
    <t>07 2 03 00000</t>
  </si>
  <si>
    <t>Муниципальный проект "Обеспечение сохранности материальных ценностей на территории Нюксенского муниципального округа"</t>
  </si>
  <si>
    <t>07 2 01 S1130</t>
  </si>
  <si>
    <t>Мероприятия, направленные на антитеррористическую защищенность мест массового пребывания людей</t>
  </si>
  <si>
    <t>07 2 01 S1060</t>
  </si>
  <si>
    <t>Внедрение и (или) эксплуатация аппаратно-программного комплекса "Безопасный город"</t>
  </si>
  <si>
    <t>07 2 01 00000</t>
  </si>
  <si>
    <t>Муниципальный проект "Обеспечение общественной безопасности на территории Нюксенского муниципального округа"</t>
  </si>
  <si>
    <t>07 2 00 00000</t>
  </si>
  <si>
    <t>02 4 04 23080</t>
  </si>
  <si>
    <t>Другие вопросы в области национальной безопасности и правоохранительной деятельности</t>
  </si>
  <si>
    <t>07 4 03 23110</t>
  </si>
  <si>
    <t>Мероприятия по обеспечению пожарной безопасности населения</t>
  </si>
  <si>
    <t>07 4 03 00000</t>
  </si>
  <si>
    <t>Комплекс процессных мероприятий "Обеспечение пожарной безопасности на территории Нюксенского муниципального округа"</t>
  </si>
  <si>
    <t>07 2 02 23110</t>
  </si>
  <si>
    <t>07 2 02 S1810</t>
  </si>
  <si>
    <t>Мероприятия, направленные на создание и (или) ремонт источников наружного водоснабжения для забора воды в целях пожаротушения</t>
  </si>
  <si>
    <t>07 2 02 00000</t>
  </si>
  <si>
    <t>Муниципальный проект "Обеспечение пожарной безопасности на территории Нюксенского муниципального округа"</t>
  </si>
  <si>
    <t>Защита населения и территории от чрезвычайных ситуаций природного и техногенного характера, пожарная безопасность</t>
  </si>
  <si>
    <t>07 4 04 23040</t>
  </si>
  <si>
    <t>Мероприятия по снижению  рисков и смягчению последствий чрезвычайных ситуаций природного и техногенного характера</t>
  </si>
  <si>
    <t>07 4 04 00000</t>
  </si>
  <si>
    <t>Комплекс процессных мероприятий "Обеспечение деятельности ЕДДС"</t>
  </si>
  <si>
    <t>07 4 02 23120</t>
  </si>
  <si>
    <t>Мероприятия по поддержанию в готовности и совершенствованию системы оповещения населения</t>
  </si>
  <si>
    <t>07 4 02 23050</t>
  </si>
  <si>
    <t>Предупреждение возникновения и развития чрезвычайных ситуаций (происшествий) на территории Нюксенского муниципального округа, снижение размеров ущерба и потерь от чрезвычайных ситуаций</t>
  </si>
  <si>
    <t>07 4 02 23041</t>
  </si>
  <si>
    <t>Обеспечение безопасности граждан труднодоступных населенных пунктов</t>
  </si>
  <si>
    <t>07 4 02 23040</t>
  </si>
  <si>
    <t>Гражданская оборона</t>
  </si>
  <si>
    <t>НАЦИОНАЛЬНАЯ БЕЗОПАСНОСТЬ И ПРАВООХРАНИТЕЛЬНАЯ ДЕЯТЕЛЬНОСТЬ</t>
  </si>
  <si>
    <t>04 4 05 51180</t>
  </si>
  <si>
    <t>Осуществление первичного воинского учета на территориях, где отсутствуют военные комиссариаты</t>
  </si>
  <si>
    <t>04 4 05 00000</t>
  </si>
  <si>
    <t>Комплекс процессных мероприятий "Обеспечение деятельности администрации округа"</t>
  </si>
  <si>
    <t>04 4 00 00000</t>
  </si>
  <si>
    <t>04 0 00 00000</t>
  </si>
  <si>
    <t>Муниципальная программа "Совершенствование муниципального управления в Нюксенском муниципальном округе"</t>
  </si>
  <si>
    <t>Мобилизационная и вневойсковая подготовка</t>
  </si>
  <si>
    <t>Национальная оборона</t>
  </si>
  <si>
    <t>11 4 02 70030</t>
  </si>
  <si>
    <t>11 4 02 00590</t>
  </si>
  <si>
    <t>11 4 02 20820</t>
  </si>
  <si>
    <t>Членский взнос в НП "Сообщество финансистов России"</t>
  </si>
  <si>
    <t>11 4 02 00000</t>
  </si>
  <si>
    <t>Комплекс процессных мероприятий  "Обеспечение организационных условий для реализации муниципальной программы"</t>
  </si>
  <si>
    <t>05 4 03 01592</t>
  </si>
  <si>
    <t>Развитие туристического потенциала в Нюксенском муниципальном округе</t>
  </si>
  <si>
    <t>05 4 03 00000</t>
  </si>
  <si>
    <t>Комплекс процессных мероприятий "Обеспечение деятельности в сфере туризма"</t>
  </si>
  <si>
    <t>05 2 02 00000</t>
  </si>
  <si>
    <t>Муниципальный проект "Инвестиции в инфраструктуру туризма округа"</t>
  </si>
  <si>
    <t>04 4 07 20340</t>
  </si>
  <si>
    <t>Создание условий для обеспечения населения услугами сети  «Интернет»</t>
  </si>
  <si>
    <t>04 4 07 00000</t>
  </si>
  <si>
    <t>Комплекс процессных мероприятий «Содействие развитию связи и информационно – телекоммуникационной сферы»</t>
  </si>
  <si>
    <t>04 4 05 21020</t>
  </si>
  <si>
    <t>Членский взнос в ассоциацию "Здоровые города, районы и поселки"</t>
  </si>
  <si>
    <t>04 4 05 21010</t>
  </si>
  <si>
    <t>Членский взнос в ассоциацию муниципальных образований</t>
  </si>
  <si>
    <t>04 4 04 72250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</si>
  <si>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</si>
  <si>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04 4 04 00000</t>
  </si>
  <si>
    <t>Комплекс процессных мероприятий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</si>
  <si>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04 4 03 20240</t>
  </si>
  <si>
    <t>Организация правового просвещения и правового информирования граждан по вопросам противодействия коррупции</t>
  </si>
  <si>
    <t>04 4 03 00000</t>
  </si>
  <si>
    <t>Комплекс процессных мероприятий "Реализация и развитие механизмов противодействия коррупции в сфере муниципальной службы"</t>
  </si>
  <si>
    <t>04 4 02 20800</t>
  </si>
  <si>
    <t xml:space="preserve">Мероприятия, направленные на повышение квалификационного уровня </t>
  </si>
  <si>
    <t>04 4 02 00000</t>
  </si>
  <si>
    <t>Комплекс процессных мероприятий "Совершенствование и повышение профессионального уровня кадров"</t>
  </si>
  <si>
    <t>330</t>
  </si>
  <si>
    <t>04 4 01 80800</t>
  </si>
  <si>
    <t xml:space="preserve">Публичные нормативные выплаты гражданам несоциального характера
</t>
  </si>
  <si>
    <t>Ежемесячная денежная выплата студентам, заключившим договора с администрацией округа</t>
  </si>
  <si>
    <t>04 4 01 00000</t>
  </si>
  <si>
    <t>Комплекс процессных мероприятий "Привлечение квалифицированных специалистов на территорию муниципального округа"</t>
  </si>
  <si>
    <t>Муниципальная программа  "Совершенствование муниципального управления в Нюксенском муниципальном округе"</t>
  </si>
  <si>
    <t>01 4 01 80020</t>
  </si>
  <si>
    <t>Ежемесячное денежное вознаграждение лицам, удостоенным звания "Почетный гражданин Нюксенского муниципального округа"</t>
  </si>
  <si>
    <t>01 2 02 29030</t>
  </si>
  <si>
    <t>Создание условия для развития кадрового потенциала</t>
  </si>
  <si>
    <t>Мероприятия, направленных на развитие кадрового потенциала в области здравоохранения</t>
  </si>
  <si>
    <t>01 2 02 29070</t>
  </si>
  <si>
    <t>Мероприятия, направленные на формирование здорового образа жизни населения</t>
  </si>
  <si>
    <t>01 2 02 00000</t>
  </si>
  <si>
    <t>Муниципальный проект "Здоровье нюксян"</t>
  </si>
  <si>
    <t>01 2 01 25150</t>
  </si>
  <si>
    <t xml:space="preserve">Предоставление субсидий социально ориентированным некоммерческим организациям </t>
  </si>
  <si>
    <t>01 2 01 00000</t>
  </si>
  <si>
    <t>Муниципальный проект "Предоставление финансовой и имущественной поддержки социально ориентированным некоммерческим организациям"</t>
  </si>
  <si>
    <t>01 2 00 00000</t>
  </si>
  <si>
    <t>97 0 00 21170</t>
  </si>
  <si>
    <t>Мероприятия, связанные с выполнением работ по мобилизационной подготовке</t>
  </si>
  <si>
    <t>97 0 00 21140</t>
  </si>
  <si>
    <t>Мероприятия, связанные с градостроительной деятельностью округа</t>
  </si>
  <si>
    <t>97 0 00 00000</t>
  </si>
  <si>
    <t>Реализация муниципальных функций, связанных с решением вопросов местного значения</t>
  </si>
  <si>
    <t>Другие общегосударственные вопросы</t>
  </si>
  <si>
    <t>870</t>
  </si>
  <si>
    <t>70 5 00 00000</t>
  </si>
  <si>
    <t>Резервные средства</t>
  </si>
  <si>
    <t>Резервные фонды местных администраций</t>
  </si>
  <si>
    <t>70 0 00 00000</t>
  </si>
  <si>
    <t>Резервные фонды</t>
  </si>
  <si>
    <t>880</t>
  </si>
  <si>
    <t>94 0 00 21080</t>
  </si>
  <si>
    <t>Специальные расходы</t>
  </si>
  <si>
    <t>Проведение выборов депутатов представительного органа</t>
  </si>
  <si>
    <t>94 0 00 00000</t>
  </si>
  <si>
    <t>Проведение выборов и референдумов</t>
  </si>
  <si>
    <t xml:space="preserve">Обеспечение проведения выборов и референдумов
</t>
  </si>
  <si>
    <t>11 4 02 20800</t>
  </si>
  <si>
    <t>11 4 02 00190</t>
  </si>
  <si>
    <t>91 0 00 00190</t>
  </si>
  <si>
    <t>91 0 00 00000</t>
  </si>
  <si>
    <t>Обеспечение деятельности контрольно-счетной комиссии</t>
  </si>
  <si>
    <t>78 0 00 72310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</si>
  <si>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</si>
  <si>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</si>
  <si>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78 0 00 51200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</si>
  <si>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</si>
  <si>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</si>
  <si>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08 4 01 72310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</si>
  <si>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</si>
  <si>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08 4 01 00000</t>
  </si>
  <si>
    <t>Комплекс процессных мероприятий "Осуществление отдельных государственных полномочий в сфере охраны окружающей среды"</t>
  </si>
  <si>
    <t>Муниципальная программа "Охрана окружающей среды и обеспечение экологической безопасности Нюксенского муниципального округа "</t>
  </si>
  <si>
    <t>07 4 01 72310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</si>
  <si>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</si>
  <si>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07 4 01 00000</t>
  </si>
  <si>
    <t>Комплекс процессных мероприятий "Осуществление отдельных государственных полномочий в сфере административных отношений"</t>
  </si>
  <si>
    <t>04 2 01 20330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</si>
  <si>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</si>
  <si>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04 2 01 00000</t>
  </si>
  <si>
    <t>Муниципальный проект "Развитие сетевой и серверной инфраструктуры, систем и средств конфедициального характера в администрации округа"</t>
  </si>
  <si>
    <t>04 2 00 00000</t>
  </si>
  <si>
    <t>04 4 06 20320</t>
  </si>
  <si>
    <t>Реализация мероприятий по развитию информационного общества</t>
  </si>
  <si>
    <t>04 4 06 00000</t>
  </si>
  <si>
    <t>Комплекс процессных мероприятий "Повышение открытости и доступности информации о деятельности органов местного самоуправления, предоставляемых государственные и муниципальные услуги"</t>
  </si>
  <si>
    <t>04 4 05 72190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</si>
  <si>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</si>
  <si>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04 4 05 70030</t>
  </si>
  <si>
    <t>04 4 05 00190</t>
  </si>
  <si>
    <t>01 4 02 72310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</si>
  <si>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</si>
  <si>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01 4 02 00000</t>
  </si>
  <si>
    <t>Комплекс процессных мероприятий "Обеспечение организации и осуществления органами местного самоуправления деятельности по опеке и попечительству"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</si>
  <si>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</si>
  <si>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92 0 00 00190</t>
  </si>
  <si>
    <t>92 0 00 00000</t>
  </si>
  <si>
    <t>Обеспечение деятельности представительных  органов муниципальной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</si>
  <si>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</si>
  <si>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05 4 01 00191</t>
  </si>
  <si>
    <t>04 4 05 00191</t>
  </si>
  <si>
    <t>Глава муниципального округа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</si>
  <si>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</si>
  <si>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</si>
  <si>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</si>
  <si>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</si>
  <si>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</si>
  <si>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</si>
  <si>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</si>
  <si>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(тыс.руб.)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</si>
  <si>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2025 год и плановый период 2026 и 2027 годов</t>
  </si>
  <si>
    <t>Ведомственная структура расходов бюджета муниципального округа по главным распорядителям бюджетных средств, разделам, подразделам и (или)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бюджетов на 2025 год и плановый период 2026 и 2027 годов</t>
  </si>
  <si>
    <t>ГРБС</t>
  </si>
  <si>
    <t>Администрация Нюксенского муниципального округа</t>
  </si>
  <si>
    <t>158</t>
  </si>
  <si>
    <t>Общегосударственные вопросы</t>
  </si>
  <si>
    <t xml:space="preserve">01 </t>
  </si>
  <si>
    <t>Муниципальный проект "Развитие сетевой и серверной инфраструктуры, систем и средств конфиденциального характера в администрации округа"</t>
  </si>
  <si>
    <t>Мероприятия, связанные с градостроительной деятельностью муниципального округа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</si>
  <si>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</si>
  <si>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</si>
  <si>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</si>
  <si>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16 2 00 00000</t>
  </si>
  <si>
    <t>Основное мероприятие "Содержание имущества, находящегося в муниципальной собственности"</t>
  </si>
  <si>
    <t>16 2 00 20500</t>
  </si>
  <si>
    <t xml:space="preserve">158 </t>
  </si>
  <si>
    <t>163</t>
  </si>
  <si>
    <t>Охрана окружающей среды</t>
  </si>
  <si>
    <t xml:space="preserve">Учреждения по внешкольной работе с детьми </t>
  </si>
  <si>
    <t>Культура, кинематография</t>
  </si>
  <si>
    <t>Здравоохранение</t>
  </si>
  <si>
    <t>Социальная политика</t>
  </si>
  <si>
    <t xml:space="preserve">Субсидии автономным учреждениям </t>
  </si>
  <si>
    <t>Физическая культура и спорт</t>
  </si>
  <si>
    <t>Представительное Собрание Нюксенского муниципального округа</t>
  </si>
  <si>
    <t>154</t>
  </si>
  <si>
    <t>Контрольно-счетная комиссия</t>
  </si>
  <si>
    <t>152</t>
  </si>
  <si>
    <t>Финансовое управление администрации Нюксенского муниципального округа</t>
  </si>
  <si>
    <t>151</t>
  </si>
  <si>
    <t>Комитет земельно-имущественных отношений администрации Нюксенского муниципального округа</t>
  </si>
  <si>
    <t>040</t>
  </si>
  <si>
    <t>Управление образования администрации Нюксенского муниципального округа</t>
  </si>
  <si>
    <t>156</t>
  </si>
  <si>
    <t>Образование</t>
  </si>
  <si>
    <t>Комплекс процессных мероприятий "Обеспечение деятельности в сфере физической культуры и спорта"</t>
  </si>
  <si>
    <t>Нюксенский территориальный отдел администрации Нюксенского муниципального округа Вологодской области</t>
  </si>
  <si>
    <t xml:space="preserve">Распределение </t>
  </si>
  <si>
    <t>бюджетных ассигнований на реализацию муниципальных программ 
Нюксенского муниципального округа на 2025 год и плановый период 2026 и 2027 годов</t>
  </si>
  <si>
    <t>Наименование муниципальной программы</t>
  </si>
  <si>
    <t>2025</t>
  </si>
  <si>
    <t>2026</t>
  </si>
  <si>
    <t>2027</t>
  </si>
  <si>
    <t>6</t>
  </si>
  <si>
    <t>7</t>
  </si>
  <si>
    <t>8</t>
  </si>
  <si>
    <t xml:space="preserve">Социальная поддержка населения Нюксенского муниципального округа </t>
  </si>
  <si>
    <t>Дорожная сеть и транспортное обслуживание Нюксенского муниципального округа</t>
  </si>
  <si>
    <t>Формирование современного облика территории Нюксенского муниципального округа</t>
  </si>
  <si>
    <t>Совершенствование муниципального управления в Нюксенском муниципальном округе</t>
  </si>
  <si>
    <t>Развитие культуры, туризма, молодежной политики, физической культуры и спорта  Нюксенского муниципального округа</t>
  </si>
  <si>
    <t>Развитие образования Нюксенского муниципального округа</t>
  </si>
  <si>
    <t>Обеспечение профилактики правонарушений, безопасности населения и территории Нюксенского муниципального округа</t>
  </si>
  <si>
    <t xml:space="preserve">03 </t>
  </si>
  <si>
    <t>Мероприятия по обеспечению пожарной безопасности населения (дополнительное финансирование)</t>
  </si>
  <si>
    <t xml:space="preserve">Охрана окружающей среды и обеспечение экологической безопасности Нюксенского муниципального округа </t>
  </si>
  <si>
    <t>Развитие топливно-энергетического комплекса и коммунальной инфраструктуры на территории Нюксенского муниципального округа</t>
  </si>
  <si>
    <t>Экономическое развитие Нюксенского муниципального округа</t>
  </si>
  <si>
    <t xml:space="preserve">Управление муниципальными финансами Нюксенского муниципального округа </t>
  </si>
  <si>
    <t>11 2 00 00000</t>
  </si>
  <si>
    <t>Муниципальный проект "Реализация мероприятий по поддержке местных инициатив населения округа"</t>
  </si>
  <si>
    <t>11 2 01 00000</t>
  </si>
  <si>
    <t>Мероприятия, направленные  на реализацию проекта "Народный бюджет"</t>
  </si>
  <si>
    <t>11 2 01 S2270</t>
  </si>
  <si>
    <t xml:space="preserve">Комплекс процессных мероприятий </t>
  </si>
  <si>
    <t>Совершенствование системы управления и распоряжения земельно-имущественным комплексом Нюксенского муниципального округа</t>
  </si>
  <si>
    <t xml:space="preserve">Обеспечение населения Нюксенского муниципального округа доступным жильем и создание благоприятных условий проживания </t>
  </si>
  <si>
    <t xml:space="preserve">  </t>
  </si>
  <si>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</si>
  <si>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</si>
  <si>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в рамках регионального проекта "Строительство, капитальный ремонт, ремонт и содержание  автомобильных дорог общего пользования регионального и местного значения" государственной программы "Дорожная сеть и транспортное обслуживание"</t>
  </si>
  <si>
    <t>Субсидии местным бюджетам на текущее содержание опорной сети дорог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</si>
  <si>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 xml:space="preserve"> Объем поступлений доходов Нюксенского муниципального округа на 2025 год и на плановый период 2026 и 2027 годов</t>
  </si>
  <si>
    <t>Код бюджетной классификации РФ</t>
  </si>
  <si>
    <t>Наименование групп, подгрупп и статей доходов</t>
  </si>
  <si>
    <t>отклонения</t>
  </si>
  <si>
    <t xml:space="preserve"> 2026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</si>
  <si>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</si>
  <si>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</si>
  <si>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</si>
  <si>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</si>
  <si>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</si>
  <si>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</si>
  <si>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являющихся иностранными гражданами, осуществляющими трудовую деятельность на основании патента в соответствии со ст.277.11 Налогового Кодекса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</si>
  <si>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</si>
  <si>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</si>
  <si>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</si>
  <si>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1 03 03000 01 0000 110</t>
  </si>
  <si>
    <t>Туристический налог</t>
  </si>
  <si>
    <t>1 05 00000 00 0000 000</t>
  </si>
  <si>
    <t>НАЛОГИ НА СОВОКУПНЫЙ ДОХОД</t>
  </si>
  <si>
    <t>1 05 01000 00 0000 110</t>
  </si>
  <si>
    <t xml:space="preserve">Налог, взимаемый в связи с применением упрощенной системы  налогообложения 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</si>
  <si>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</si>
  <si>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</si>
  <si>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</si>
  <si>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</si>
  <si>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</si>
  <si>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</si>
  <si>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</si>
  <si>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</si>
  <si>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</si>
  <si>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</si>
  <si>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</si>
  <si>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</si>
  <si>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</si>
  <si>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</si>
  <si>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</si>
  <si>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</si>
  <si>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</si>
  <si>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</si>
  <si>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</si>
  <si>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</si>
  <si>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</si>
  <si>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</si>
  <si>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</si>
  <si>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</si>
  <si>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</si>
  <si>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</si>
  <si>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</si>
  <si>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</si>
  <si>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</si>
  <si>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1 08 00000 00 0000 000</t>
  </si>
  <si>
    <t>ГОСУДАРСТВЕННАЯ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</si>
  <si>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</si>
  <si>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</si>
  <si>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</si>
  <si>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</si>
  <si>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</si>
  <si>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</si>
  <si>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</si>
  <si>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</si>
  <si>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1 11 01050 05 0000 120</t>
  </si>
  <si>
    <t>Доходы в виде прибыли, приходящейся на доли 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</si>
  <si>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</si>
  <si>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</si>
  <si>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</si>
  <si>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</si>
  <si>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</si>
  <si>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</si>
  <si>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</si>
  <si>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</si>
  <si>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</si>
  <si>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</si>
  <si>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</si>
  <si>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</si>
  <si>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</si>
  <si>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</si>
  <si>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</si>
  <si>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</si>
  <si>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</si>
  <si>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</si>
  <si>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</si>
  <si>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</si>
  <si>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</si>
  <si>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</si>
  <si>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</si>
  <si>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 xml:space="preserve">Доходы от оказания платных услуг (работ)
</t>
  </si>
  <si>
    <t>1 13 01990 00 0000 130</t>
  </si>
  <si>
    <t xml:space="preserve">Прочие доходы от оказания платных услуг (работ)
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</si>
  <si>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</si>
  <si>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</si>
  <si>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1 13 02000 00 0000 130</t>
  </si>
  <si>
    <t>Доходы от компенсации затрат государства</t>
  </si>
  <si>
    <t xml:space="preserve">1 13 02990 00 0000 130
</t>
  </si>
  <si>
    <t xml:space="preserve">Прочие доходы от компенсации затрат государства
</t>
  </si>
  <si>
    <t>1 13 02994 14 0000 130</t>
  </si>
  <si>
    <t>Прочие доходы от компенсации затрат бюджетов муниципальных округов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</si>
  <si>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</si>
  <si>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</si>
  <si>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</si>
  <si>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</si>
  <si>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</si>
  <si>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</si>
  <si>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</si>
  <si>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</si>
  <si>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</si>
  <si>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</si>
  <si>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</si>
  <si>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</si>
  <si>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</si>
  <si>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</si>
  <si>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</si>
  <si>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</si>
  <si>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</si>
  <si>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</si>
  <si>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1 17 05000 00 0000 180</t>
  </si>
  <si>
    <t xml:space="preserve">Прочие неналоговые доходы </t>
  </si>
  <si>
    <t>1 17 05040 14 0000 180</t>
  </si>
  <si>
    <t>Прочие неналоговые доходы бюджетов муниципальных округов</t>
  </si>
  <si>
    <t>1 17 15000 00 0000 150</t>
  </si>
  <si>
    <t>Инициативные платежи</t>
  </si>
  <si>
    <t>1 17 15020 14 0000 150</t>
  </si>
  <si>
    <t>Инициативные платежи, зачисляемые в бюджеты муниципальных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</si>
  <si>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</si>
  <si>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</si>
  <si>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</si>
  <si>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</si>
  <si>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</si>
  <si>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</si>
  <si>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</si>
  <si>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</si>
  <si>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</si>
  <si>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</si>
  <si>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</si>
  <si>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</si>
  <si>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</si>
  <si>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</si>
  <si>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2 02 15009 00 0000 150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</si>
  <si>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</si>
  <si>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</si>
  <si>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</si>
  <si>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</si>
  <si>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</si>
  <si>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2 02 20077 00 0000 150</t>
  </si>
  <si>
    <t>Субсидии бюджетам на софинансирование капитальных вложений в объекты муниципальной собственности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</si>
  <si>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</si>
  <si>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</si>
  <si>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</si>
  <si>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</si>
  <si>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</si>
  <si>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</si>
  <si>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</si>
  <si>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</si>
  <si>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</si>
  <si>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</si>
  <si>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</si>
  <si>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</si>
  <si>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</si>
  <si>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</si>
  <si>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2 02 20303 00 0000 150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</si>
  <si>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</si>
  <si>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</si>
  <si>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</si>
  <si>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2 02 25172 00 0000 150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</si>
  <si>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</si>
  <si>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</si>
  <si>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местным бюджетам 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</si>
  <si>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2 02 25213 00 0000 150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</si>
  <si>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</si>
  <si>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</si>
  <si>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</si>
  <si>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2 02 25243 00 0000 150</t>
  </si>
  <si>
    <t>Субсидии бюджетам на строительство и реконструкцию (модернизацию) объектов питьевого водоснабжения</t>
  </si>
  <si>
    <t>2 02 25243 14 0000 150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</si>
  <si>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</si>
  <si>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</si>
  <si>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</si>
  <si>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</si>
  <si>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</si>
  <si>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2 02 25497 00 0000 150</t>
  </si>
  <si>
    <t>Субсидии бюджетам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</si>
  <si>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</si>
  <si>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</si>
  <si>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2 02 25511 00 0000 150</t>
  </si>
  <si>
    <t>Субсидии бюджетам на проведение комплексных кадастровых работ</t>
  </si>
  <si>
    <t>2 02 25511 14 0000 150</t>
  </si>
  <si>
    <t>Субсидии бюджетам муниципальных округов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</si>
  <si>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</si>
  <si>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</si>
  <si>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2 02 25519 14 0000 150</t>
  </si>
  <si>
    <t>Субсидии бюджетам муниципальных округов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</si>
  <si>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</si>
  <si>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</si>
  <si>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</si>
  <si>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</si>
  <si>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2 02 25599 00 0000 150</t>
  </si>
  <si>
    <t>Субсидии бюджетам на подготовку проектов межевания земельных участков и на проведение кадастровых работ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</si>
  <si>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</si>
  <si>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</si>
  <si>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2 02 25576 00 0000 150</t>
  </si>
  <si>
    <t>Субсидии бюджетам на обеспечение комплексного развития сельских территорий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</si>
  <si>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</si>
  <si>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</si>
  <si>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2 02 25559 00 0000 150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</si>
  <si>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</si>
  <si>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2 02 25559 14 0000 150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</si>
  <si>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</si>
  <si>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2 02 25750 00 0000 150</t>
  </si>
  <si>
    <t>Субсидии бюджетам на реализацию мероприятий по модернизации школьных систем образования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</si>
  <si>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</si>
  <si>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</si>
  <si>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2 02 29999 00 0000 150</t>
  </si>
  <si>
    <t xml:space="preserve">Прочие субсидии </t>
  </si>
  <si>
    <t>2 02 29999 14 0000 150</t>
  </si>
  <si>
    <t>Прочие субсидии бюджетам муниципальных округов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</si>
  <si>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</si>
  <si>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 xml:space="preserve">Субсидии местным бюджетам на обустройство детских и спортивных площадок в рмаках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 </t>
  </si>
  <si>
    <t>Субсидии местным бюджетам на создание и (или) ремонт источников наружного водоснабжения для забора воды в целях пожаротушения в рамках реализации подпрограммы "Обеспечение пожарной безопасности на территории области" государственной программы "Обеспечение профилактики правонарушений, безопасности населения и териитории Вологодской области"</t>
  </si>
  <si>
    <t>Субсидии местным бюджетам на обустройство систем уличного освещения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</si>
  <si>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проведение мероприятий по созданию агроклассов и (или) лесных классов в общеобразовательных организациях области в рамках подпрограммы "Развитие общего и дополнительного образования детей" государственной программы "Развитие образования детей"</t>
  </si>
  <si>
    <t>Субсидии местным бюджетам на доставку товаров в социально значимые магазины в малонаселенных и (или) труднодоступных населенных пунктах в рамках программы "Развитие торговли" государственной подпрограммы "Экономическое развитие Вологодской области"</t>
  </si>
  <si>
    <t>Субсидии местным бюджетам на реализацию мероприятий по обустройству объектов городской и сельской инфраструктуры для занятий физической культуры и спортом в рамках государственной программы "Развитие физической культуры и спорта в Вологодской области"</t>
  </si>
  <si>
    <t>Субсидии местным бюджетам на укрепление материально-технической базы муниципальных физкультурно-спортивных организаций в рамках регионального проекта "Развитие инфраструктуры и укрепление материально-технической базы спортивных объектов муниципальной и областной собственности" государственной программы "Развитие физической культуры и спорта в Вологодской области"</t>
  </si>
  <si>
    <t>Субсидии местным бюджетам на обустройство контейнерных площадок в рамках регионального проекта "Развитие системы обращения с отходами, в том числе с твердыми коммунальными отходами, на территории Вологодской области" государственной программы Вологодской области "Охрана окружающей среды, воспроизводство и рациональное использование природных ресурсов"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</si>
  <si>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</si>
  <si>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капитальный ремонт и ремонт объектов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</si>
  <si>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 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</si>
  <si>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регионального проекта "Модернизация инфраструктуры сферы культуры" государственной программы "Развитие культуры, туризма и архивного дела Вологодской области" </t>
  </si>
  <si>
    <t>Субсидии местным бюджетам на 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 беспрепятственного доступа инвалидов (детей-инвалидов) в рамках регионального проекта "Повышение качества и доступности для инвалидов и других маломобильных групп населения приоритетных объектов и услуг" государственной программы "Социальная поддержка граждан в Вологодской области"</t>
  </si>
  <si>
    <t>Субсидии местным бюджетам на создание условий для занятий инвалидов, лиц с ограниченными возможностями здоровья физической культурой и спортом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</si>
  <si>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участие в обеспечении подготовки спортивного резерва для спортивных сборных команд Вологодской области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</si>
  <si>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</si>
  <si>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внедрение и (или) эксплуатацию аппаратно-программного комплекса "Безопасный город" в рамках подпрограммы "Профилактика преступлений и иных правонарушений"  государственной программы  "Обеспечение профилактики правонарушений, безопасности населения и территории  Вологодской области"</t>
  </si>
  <si>
    <t>Субсидии местным бюджетам на развитие мобильной торговли в малонаселенных и (или) труднодоступных населенных пунктах в рамках подпрограммы "Развитие торговли" государственной программы "Экономическое развитие Вологодской области"</t>
  </si>
  <si>
    <t>Субсидии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районов,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</si>
  <si>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Субсидии местным бюджетам на организацию транспортного обслуживания населения на муниципальных маршрутах регулярных перевозок по регулируемым тарифам в рамках регионального проекта "Организация транспортного обслуживания населения" государственной программы Вологодской области "Дорожная сеть и транспортное обслуживание"</t>
  </si>
  <si>
    <t>Субсидии на строительство и реконструкцию объектов физической культуры и спорта муниципальной собственности в рамках подпрограммы "Физическая культура и массовый спорт" государственной программы "Развитие физической культуры и спорта в Вологодской области на 2021-2025 годы" на 2021 год и 2022 год планового периода</t>
  </si>
  <si>
    <t xml:space="preserve">Субсидии местным бюджетам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 в рамках подпрограммы "Развитие конкуренции и совершенствование механизмов регулирования системы государственных закупок Вологодской области" государственной программы "Экономическое развитие Вологодской области" </t>
  </si>
  <si>
    <t>Субсидии местным бюджетам на рекультивацию земельных участков, занятых несанкционированными свалками отходов,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</si>
  <si>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реализацию мероприятий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в рамках регионального проекта "Все лучшее детям" государственной программы "Развитие образования Вологодской области"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</si>
  <si>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 на 2021-2025 годы"</t>
  </si>
  <si>
    <t>Субсидии местным бюджетам на строительство, реконструкцию  и капитальный ремонт централизованных систем водоснабжения и водоотведения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 на 2021-2025 годы"</t>
  </si>
  <si>
    <t>Субсидии местным бюджетам на  проведение мероприятий по обеспечению условий для организации питания обучающихся в муниципальных общеобразовательных организациях в рамках регионального проекта "Развитие дошкольного,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</si>
  <si>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организацию уличного освещения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</si>
  <si>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реализацию проекта "Народный бюджет"</t>
  </si>
  <si>
    <t>Субсидии местным бюджетам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программам,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</si>
  <si>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 на проведение мероприятий по обеспечению условий  для организации питания обучающихся в муниципальных общеобразовательных организациях в рамках подпрограммы "Развитие общего и дополнительного образования детей" государственной программы "Развитие образования Вологодской области на 2021-2025 годы"</t>
  </si>
  <si>
    <t>Субсидии местным бюджетам на строительство, реконструкцию, капитальный ремонт, ремонт и благоустройство территорий образовательных организаций муниципальной собственности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</si>
  <si>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организацию школьных музеев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</si>
  <si>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строительство, реконструкцию и капитальный ремонт централизованных систем водоснабжения и водоотведения регионального проекта "Модернизация топливно-энергетического сектора и коммунальной инфраструктур региона" государственной программы "Развитие топливно-энергетического комплекса и коммунальной инфраструктуры на территории Вологодской области"</t>
  </si>
  <si>
    <t xml:space="preserve">Субсидии местным бюджетам на проведение мероприятий по антитеррористической защищенности мест массового пребывания людей в рамках подпрограммы "Профилактика преступлений и иных правонарушений" государственной программы "Обеспечение профилактики правонарушений, безопасности населения и территории Вологодской области" </t>
  </si>
  <si>
    <t>Субсидии местным бюджетам на реализации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 в рамках регионального проекта "Развитие дошкольного, общего и дополнительного образоваия детей" государственной программы "Развитие образования Вологодской области"</t>
  </si>
  <si>
    <t>Субсидии местным бюджетам на строительство, реконструкцию, капитальный ремонт, ремонт и благоустройство территорий образовательных организаций  муниципальной  собственности в рамках регионального проекта "Развитие дошкольного, общего и дополнительного образоваия детей" государственной программы "Развитие образования Вологодской области"</t>
  </si>
  <si>
    <t>Субсидии местным бюджетам на антитеррористическую защищенность образовательных организаций в рамках регионального проекта "Обеспечение общественной безопасности на территории Вологодской области" государственной программы "Обеспечение профилатики правонарушений, безопасности населения и территории Вологодской области"</t>
  </si>
  <si>
    <t xml:space="preserve">Субсидии местным бюджетам на проведение мероприятий по антитеррористической защищенности объектов культуры в рамках регионального проекта "Обеспечение общественной безопасности на территории Вологодской области" государственной программы "Обеспечение профилактики правонарушений, безопасности населения и территории Вологодской области" </t>
  </si>
  <si>
    <t>Субсидии местным бюджетам на благоустройство общественных пространств  в рамках регионального проекта "Формирование комфортной городской среды"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</si>
  <si>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на проведение комплексных кадастровых работ в рамках регионального проекта "Организация проведения комплексных кадастровых работ" государственной программы "Экономическое развитие Вологодской области"</t>
  </si>
  <si>
    <t>Субсидии местным бюджетам на благоустройство дворовых территорий многоквартирных домов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</si>
  <si>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 xml:space="preserve">Субсидии местным бюджетам на реализацию мероприятий по благоустройству дворовых территорий многоквартирных домов в рамках подпрограммы "Благоустройство дворовых территорий муниципальных образований области" государственной программы "Формирование современной городской среды" </t>
  </si>
  <si>
    <t xml:space="preserve">Субсидии местным бюджета на реализацию мероприятий по благоустройству общественных пространств в рамках подпрограммы "Благоустройство общественных территорий муниципальных образований области" государственной программы "Формирование современной городской среды на 2018-2024 годы" </t>
  </si>
  <si>
    <t>Субсидии местным бюджетам на комплектование книжных фондов библиотек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</si>
  <si>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2 02 30000 00 0000 150</t>
  </si>
  <si>
    <t>Субвенции бюджетам бюджетной системы Российской Федерации</t>
  </si>
  <si>
    <t>2 02 30021 00 0000 150</t>
  </si>
  <si>
    <t>Субвенции бюджетам муниципальных образований на ежемесячное денежное вознаграждение за классное руководство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</si>
  <si>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</si>
  <si>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</si>
  <si>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</si>
  <si>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</si>
  <si>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</si>
  <si>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</si>
  <si>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2 02 30024 05 0000 150</t>
  </si>
  <si>
    <t xml:space="preserve">Субвенции на 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 </t>
  </si>
  <si>
    <t>Субвенции на обеспечение дошкольного образования в муниципальных  образовательных организациях,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</si>
  <si>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>Субвенции на осуществление отдельных государственных полномочий в соответствии с законом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государственных образовательных организациях), лиц из числа детей указанных категорий"</t>
  </si>
  <si>
    <t>Субвенции для осуществления отдельных государственных полномочий в сфере образования</t>
  </si>
  <si>
    <t>Субвенция на осуществление отдельных государственных полномочий в сфере архивного дела</t>
  </si>
  <si>
    <t>Субвенции для осуществления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</si>
  <si>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</si>
  <si>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Субвенции на осуществление отдельных государственных полномочий по организации деятельности многофункциональных центров предоставления государственных и муниципальных услуг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</si>
  <si>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</si>
  <si>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</si>
  <si>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</si>
  <si>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</si>
  <si>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</si>
  <si>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</si>
  <si>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</si>
  <si>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</si>
  <si>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</si>
  <si>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</si>
  <si>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</si>
  <si>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</si>
  <si>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2 02 35303 00 0000 150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</si>
  <si>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</si>
  <si>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</si>
  <si>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</si>
  <si>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2 02 36900 00 0000 150</t>
  </si>
  <si>
    <t>Единая субвенция местным бюджетам из бюджета субъекта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</si>
  <si>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</si>
  <si>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</si>
  <si>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2 02 39999 00 0000 150</t>
  </si>
  <si>
    <t xml:space="preserve">Прочие субвенции </t>
  </si>
  <si>
    <t>2 02 39999 14 0000 150</t>
  </si>
  <si>
    <t>Прочие субвенции бюджетам муниципальных округов</t>
  </si>
  <si>
    <t>2 02 40000 00 0000 150</t>
  </si>
  <si>
    <t xml:space="preserve">Иные межбюджетные трансферты </t>
  </si>
  <si>
    <t>2 02 45050 00 0000 150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</si>
  <si>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</si>
  <si>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</si>
  <si>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</si>
  <si>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2 02 45519 00 0000 150</t>
  </si>
  <si>
    <t>Межбюджетные трансферты, передаваемые бюджетам на поддержку отрасли культуры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</si>
  <si>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</si>
  <si>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</si>
  <si>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2 02 49999 00 0000 150</t>
  </si>
  <si>
    <t>Прочие межбюджетные трансферты, передаваемые бюджетам</t>
  </si>
  <si>
    <t>2 02 49999 14 0000 150</t>
  </si>
  <si>
    <t>Прочие межбюджетные трансферты, передаваемые бюджетам муниципальных округов</t>
  </si>
  <si>
    <t>2 04 00000 00 0000 000</t>
  </si>
  <si>
    <t>БЕЗВОЗМЕЗДНЫЕ ПОСТУПЛЕНИЯ ОТ НЕГОСУДАРСТВЕННЫХ ОРГАНИЗАЦИЙ</t>
  </si>
  <si>
    <t>2 04 04000 14 0000 150</t>
  </si>
  <si>
    <t>Безвозмездные поступления от негосударственных организаций  в бюджеты муниципальных округов</t>
  </si>
  <si>
    <t>2 04 04099 14 0000 150</t>
  </si>
  <si>
    <t>Прочие безвозмездные поступления от негосударственных организаций в бюджеты муниципальных округов</t>
  </si>
  <si>
    <t>2 07 00000 00 0000 000</t>
  </si>
  <si>
    <t>ПРОЧИЕ БЕЗВОЗМЕЗДНЫЕ ПОСТУПЛЕНИЯ</t>
  </si>
  <si>
    <t>2 07 04000 14 0000 150</t>
  </si>
  <si>
    <t>Прочие безвозмездные поступления в бюджеты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</si>
  <si>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</si>
  <si>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</si>
  <si>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ВСЕГО ДОХОДОВ</t>
  </si>
  <si>
    <t>Отклонения</t>
  </si>
  <si>
    <t>09 2 03 74011</t>
  </si>
  <si>
    <t>Мероприятия по разработке проектно-сметной документации на строительство, реконструкцию, капитальный ремонт и ремонт жилищно-коммунальной инфраструктуры муниципального округа</t>
  </si>
  <si>
    <t>09 2 01 20561</t>
  </si>
  <si>
    <t>05 2 04 S3242</t>
  </si>
  <si>
    <t>Мероприятия по обустройству объектов сельской инфраструктуры для занятий физической культурой и спортом</t>
  </si>
  <si>
    <t>Капитальный и текущий ремонты объектов физической культуры и спорта</t>
  </si>
  <si>
    <t>05 2 04 20700</t>
  </si>
  <si>
    <t>Муниципальный проект "Капитальный ремонт и ремонт систем водоснабжения и водоотведения"</t>
  </si>
  <si>
    <t>Комплекс процессных мероприятий "Обеспечение населения округа качественной питьевой водой"</t>
  </si>
  <si>
    <t>08 4 04 00000</t>
  </si>
  <si>
    <t>08 4 04 20110</t>
  </si>
  <si>
    <t>Разработка проектной документации по строительству сетей уличного освещения</t>
  </si>
  <si>
    <t>03 2 03 23410</t>
  </si>
  <si>
    <t>Мероприятия, направленные на обустройство систем уличного освещения за счет средств бюджет округа</t>
  </si>
  <si>
    <t>03 2 03 23420</t>
  </si>
  <si>
    <t>Мероприятия по разработке проектно-сметной документации на строительство, реконструкцию, капитальный ремонт и ремонт образовательных организаций муниципальной собственности</t>
  </si>
  <si>
    <t>06 2 01 13600</t>
  </si>
  <si>
    <t>Проведение мероприятий по капитальному ремонту и ремонту образовательных организаций муниципальной собственности</t>
  </si>
  <si>
    <t>06 2 01 13610</t>
  </si>
  <si>
    <t xml:space="preserve">Муниципальная программа "Управление муниципальными финансами Нюксенского муниципального округа" </t>
  </si>
  <si>
    <t>05 2 01 S1270</t>
  </si>
  <si>
    <t>Мероприятия, направленные на капитальный ремонт и ремонт объектов культуры</t>
  </si>
  <si>
    <t>физики и мест бюджет</t>
  </si>
  <si>
    <t>03 2 03 24100</t>
  </si>
  <si>
    <t>Обустройство мест водопользования за счет средств иного межбюджетного трансферта</t>
  </si>
  <si>
    <t>05 2 02 21100</t>
  </si>
  <si>
    <t>Мероприятия по снижению  рисков и смягчению последствий чрезвычайных ситуаций природного и техногенного характера (обеспечение прогнозных данных для принятия предупредительных мер)</t>
  </si>
  <si>
    <t xml:space="preserve">Расходы на обеспечение деятельности (оказание услуг) муниципальных учреждений в сфере транспорта </t>
  </si>
  <si>
    <t>Расходы на обеспечение деятельности (оказание услуг) муниципальных учреждений в сфере жилищно-коммунального хозяйства</t>
  </si>
  <si>
    <t>Расходы на обеспечение деятельности (оказание услуг) казенных учреждений</t>
  </si>
  <si>
    <t>Расходы на обеспечение деятельности (оказание услуг) муниципальных учреждений в сфере транспорта</t>
  </si>
  <si>
    <t>05 2 03 20591</t>
  </si>
  <si>
    <t>Муниципальный проект "Педагоги и наставники", связанный с региональным проектом "Педагоги и наставники"</t>
  </si>
  <si>
    <t>перенесли с ФОТ ПС на ФОТ Администрации</t>
  </si>
  <si>
    <t>Муниципальная программа "Управление муниципальными финансами Нюксенского муниципального округа"</t>
  </si>
  <si>
    <t>Устройство въездной стелы на территории Нюксенского муниципального округа</t>
  </si>
  <si>
    <t>Отклонение</t>
  </si>
  <si>
    <t>05 2 07 L5191</t>
  </si>
  <si>
    <t>Государственная поддержка отрасли культуры (Лучшим работникам сельских учреждений культуры предоставлено денежное поощрение)</t>
  </si>
  <si>
    <t>05 2 07 00000</t>
  </si>
  <si>
    <t>Муниципальный проект "Инвестиции в создание благоустройства территорий муниципального округа"</t>
  </si>
  <si>
    <t xml:space="preserve">Мероприятия, направленные на обустройство мест захоронений </t>
  </si>
  <si>
    <t>03 2 03 S1555</t>
  </si>
  <si>
    <t>Субсидии местным бюджетам на проведение мероприятий по предотвращению распространения сорного растения борщевик Сосновского в рамках ведомственного проекта "Оказание государственной поддержки муниципальным образованиям области, направленной на предотвращение распространения сорного растения борщевик Сосновского" государственной программы "Комплексное развитие сельских территорий Вологодской области"</t>
  </si>
  <si>
    <t>Субсидии местным бюджетам на обустройство мест захоронений в муниципальных образованиях области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</si>
  <si>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капитальный ремонт и ремонт объектов культуры в рамках регионального проекта "Модернизация инфраструктуры сферы культуры" государственной программы "Развитие культуры, туризма и архивного дела Вологодской области"</t>
  </si>
  <si>
    <t>Субсидии местным бюджетам на реализацию мероприятий по обустройству объектов городской и сельской инфраструктуры для занятий физической культурой и спортом в рамках регионального проекта "Развитие инфраструктуры и укрепление материально-технической базы  спортивных объектов муниципальной и областной собствнности" государственной программы Вологодской области "Развитие физической культуры и спорта в Вологодской области"</t>
  </si>
  <si>
    <t>Единовременная денежная выплата лицам, удостоенным звания "Почетный гражданин Нюксенского муниципального округа" в связи с 80-й годовщиной Победы в Великой Отечественной войне 1941 - 1945 годов</t>
  </si>
  <si>
    <t>Публичные нормативные выплаты гражданам несоциального характера</t>
  </si>
  <si>
    <t xml:space="preserve">Единовременная выплата работникам аппарата мировых судей Вологодской области по судебному участку № 53 </t>
  </si>
  <si>
    <t>01 4 01 80030</t>
  </si>
  <si>
    <t>01 4 01 80040</t>
  </si>
  <si>
    <t>1 08 07150 01 0000 110</t>
  </si>
  <si>
    <t>1 08 07000 01 0000 110</t>
  </si>
  <si>
    <t>Государственная пошлина за государственную регистрацию, а также за совершение прочих юридически-значимых действий</t>
  </si>
  <si>
    <t>Государственная пошлина за выдачу разрешения на установку рекламной конструкции</t>
  </si>
  <si>
    <t>Муниципальный проект, связанный с региональным проектом "Культурный вектор. Поддержка культурных инициатив, выдающихся деятелей, творческих работников, одаренных обучающихся, организаций в сфере культуры. Реализация значимых мероприятий и проектов"</t>
  </si>
  <si>
    <t xml:space="preserve">Охрана семьи и детства
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</si>
  <si>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28.04.2025 года № 34 "О внесении изменений и дополнений в решение Представительного Собрания Нюксенского муниципального округа Вологодской области от 16.12.2024 года               № 88 "О бюджете Нюксенского муниципального округа Вологодской области на 2025 год и плановый период 2026 и 2027 годов"     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</si>
  <si>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28.04.2025 года № 34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</t>
  </si>
  <si>
    <t xml:space="preserve"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28.04.2025 года № 34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</t>
  </si>
  <si>
    <t xml:space="preserve">Приложение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28.04.2025 года № 34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</t>
  </si>
  <si>
    <t xml:space="preserve">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28.04.2025 года № 34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</si>
</sst>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_-* #,##0.00_р_._-;\-* #,##0.00_р_._-;_-* &quot;-&quot;??_р_._-;_-@_-"/>
    <numFmt numFmtId="167" formatCode="000"/>
    <numFmt numFmtId="168" formatCode="00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Arial Cyr"/>
      <charset val="204"/>
    </font>
    <font>
      <strike/>
      <sz val="10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6" fontId="6" fillId="0" borderId="0" applyFont="0" applyFill="0" applyBorder="0" applyAlignment="0" applyProtection="0"/>
    <xf numFmtId="0" fontId="13" fillId="0" borderId="0"/>
    <xf numFmtId="0" fontId="24" fillId="0" borderId="0"/>
    <xf numFmtId="0" fontId="1" fillId="0" borderId="0"/>
    <xf numFmtId="0" fontId="13" fillId="0" borderId="0"/>
  </cellStyleXfs>
  <cellXfs count="46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righ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horizontal="right" wrapText="1"/>
    </xf>
    <xf numFmtId="164" fontId="3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 wrapText="1" shrinkToFit="1"/>
    </xf>
    <xf numFmtId="49" fontId="7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0" fontId="9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0" applyFont="1" applyFill="1"/>
    <xf numFmtId="164" fontId="9" fillId="0" borderId="2" xfId="0" applyNumberFormat="1" applyFont="1" applyFill="1" applyBorder="1" applyAlignment="1"/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justify" vertical="center" wrapText="1" shrinkToFit="1"/>
    </xf>
    <xf numFmtId="0" fontId="11" fillId="0" borderId="0" xfId="0" applyFont="1" applyFill="1"/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vertical="center" wrapText="1" shrinkToFit="1"/>
    </xf>
    <xf numFmtId="0" fontId="12" fillId="0" borderId="0" xfId="0" applyFont="1" applyFill="1"/>
    <xf numFmtId="164" fontId="7" fillId="0" borderId="2" xfId="0" applyNumberFormat="1" applyFont="1" applyFill="1" applyBorder="1" applyAlignment="1"/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/>
    <xf numFmtId="0" fontId="7" fillId="0" borderId="2" xfId="2" applyNumberFormat="1" applyFont="1" applyFill="1" applyBorder="1" applyAlignment="1" applyProtection="1">
      <alignment horizontal="left" vertical="center" wrapText="1"/>
      <protection hidden="1"/>
    </xf>
    <xf numFmtId="0" fontId="7" fillId="0" borderId="4" xfId="2" applyNumberFormat="1" applyFont="1" applyFill="1" applyBorder="1" applyAlignment="1" applyProtection="1">
      <alignment horizontal="left" wrapText="1"/>
      <protection hidden="1"/>
    </xf>
    <xf numFmtId="0" fontId="14" fillId="0" borderId="5" xfId="0" applyNumberFormat="1" applyFont="1" applyFill="1" applyBorder="1" applyAlignment="1" applyProtection="1">
      <alignment horizontal="left" wrapText="1"/>
    </xf>
    <xf numFmtId="0" fontId="7" fillId="0" borderId="2" xfId="0" applyFont="1" applyFill="1" applyBorder="1" applyAlignment="1">
      <alignment vertical="center" wrapText="1" shrinkToFit="1"/>
    </xf>
    <xf numFmtId="164" fontId="7" fillId="0" borderId="2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 vertical="center" wrapText="1" shrinkToFit="1"/>
    </xf>
    <xf numFmtId="49" fontId="15" fillId="0" borderId="2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left" vertical="center" wrapText="1" shrinkToFit="1"/>
    </xf>
    <xf numFmtId="49" fontId="9" fillId="0" borderId="2" xfId="0" applyNumberFormat="1" applyFont="1" applyFill="1" applyBorder="1" applyAlignment="1" applyProtection="1">
      <alignment horizontal="left" vertical="center" wrapText="1" shrinkToFit="1"/>
    </xf>
    <xf numFmtId="0" fontId="7" fillId="0" borderId="4" xfId="2" applyNumberFormat="1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>
      <alignment horizontal="left" vertical="justify" wrapText="1"/>
    </xf>
    <xf numFmtId="0" fontId="15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justify" wrapText="1"/>
    </xf>
    <xf numFmtId="49" fontId="7" fillId="0" borderId="2" xfId="0" applyNumberFormat="1" applyFont="1" applyFill="1" applyBorder="1" applyAlignment="1" applyProtection="1">
      <alignment vertical="center" wrapText="1"/>
    </xf>
    <xf numFmtId="0" fontId="15" fillId="0" borderId="2" xfId="0" applyFont="1" applyFill="1" applyBorder="1" applyAlignment="1">
      <alignment vertical="center" wrapText="1" shrinkToFit="1"/>
    </xf>
    <xf numFmtId="49" fontId="9" fillId="0" borderId="2" xfId="0" applyNumberFormat="1" applyFont="1" applyFill="1" applyBorder="1" applyAlignment="1" applyProtection="1">
      <alignment vertical="center" wrapText="1" shrinkToFit="1"/>
    </xf>
    <xf numFmtId="0" fontId="7" fillId="0" borderId="2" xfId="0" applyFont="1" applyFill="1" applyBorder="1" applyAlignment="1">
      <alignment vertical="top" wrapText="1" shrinkToFit="1"/>
    </xf>
    <xf numFmtId="0" fontId="7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vertical="justify" wrapText="1"/>
    </xf>
    <xf numFmtId="49" fontId="9" fillId="0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justify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 applyProtection="1">
      <alignment horizontal="center" wrapText="1"/>
    </xf>
    <xf numFmtId="0" fontId="7" fillId="0" borderId="2" xfId="2" applyNumberFormat="1" applyFont="1" applyFill="1" applyBorder="1" applyAlignment="1" applyProtection="1">
      <alignment horizontal="left" wrapText="1"/>
      <protection hidden="1"/>
    </xf>
    <xf numFmtId="164" fontId="7" fillId="0" borderId="3" xfId="0" applyNumberFormat="1" applyFont="1" applyFill="1" applyBorder="1" applyAlignment="1"/>
    <xf numFmtId="49" fontId="15" fillId="0" borderId="3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/>
    <xf numFmtId="0" fontId="9" fillId="0" borderId="2" xfId="0" applyNumberFormat="1" applyFont="1" applyFill="1" applyBorder="1" applyAlignment="1" applyProtection="1">
      <alignment vertical="center" wrapText="1" shrinkToFit="1"/>
    </xf>
    <xf numFmtId="0" fontId="15" fillId="0" borderId="1" xfId="0" applyFont="1" applyFill="1" applyBorder="1" applyAlignment="1">
      <alignment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Border="1" applyAlignment="1"/>
    <xf numFmtId="164" fontId="7" fillId="0" borderId="6" xfId="0" applyNumberFormat="1" applyFont="1" applyFill="1" applyBorder="1" applyAlignment="1"/>
    <xf numFmtId="0" fontId="7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distributed" shrinkToFit="1"/>
    </xf>
    <xf numFmtId="0" fontId="7" fillId="0" borderId="1" xfId="0" applyFont="1" applyFill="1" applyBorder="1" applyAlignment="1">
      <alignment vertical="center" wrapText="1" shrinkToFit="1"/>
    </xf>
    <xf numFmtId="49" fontId="7" fillId="0" borderId="2" xfId="0" applyNumberFormat="1" applyFont="1" applyFill="1" applyBorder="1" applyAlignment="1" applyProtection="1">
      <alignment horizontal="center" wrapText="1"/>
    </xf>
    <xf numFmtId="49" fontId="10" fillId="0" borderId="2" xfId="0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left" vertical="center" wrapText="1" shrinkToFi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4" fontId="9" fillId="0" borderId="2" xfId="0" applyNumberFormat="1" applyFont="1" applyFill="1" applyBorder="1" applyAlignment="1" applyProtection="1">
      <alignment horizontal="right"/>
    </xf>
    <xf numFmtId="164" fontId="7" fillId="0" borderId="2" xfId="0" applyNumberFormat="1" applyFont="1" applyFill="1" applyBorder="1" applyAlignment="1" applyProtection="1">
      <alignment horizontal="right"/>
    </xf>
    <xf numFmtId="164" fontId="7" fillId="0" borderId="9" xfId="0" applyNumberFormat="1" applyFont="1" applyFill="1" applyBorder="1" applyAlignment="1"/>
    <xf numFmtId="0" fontId="12" fillId="4" borderId="0" xfId="0" applyFont="1" applyFill="1"/>
    <xf numFmtId="0" fontId="0" fillId="4" borderId="0" xfId="0" applyFont="1" applyFill="1"/>
    <xf numFmtId="0" fontId="7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 wrapText="1"/>
      <protection hidden="1"/>
    </xf>
    <xf numFmtId="0" fontId="7" fillId="0" borderId="2" xfId="2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4" xfId="0" applyFont="1" applyFill="1" applyBorder="1" applyAlignment="1">
      <alignment vertical="center" wrapText="1"/>
    </xf>
    <xf numFmtId="164" fontId="12" fillId="0" borderId="0" xfId="0" applyNumberFormat="1" applyFont="1" applyFill="1"/>
    <xf numFmtId="0" fontId="12" fillId="0" borderId="0" xfId="0" applyFont="1" applyFill="1" applyAlignment="1"/>
    <xf numFmtId="0" fontId="7" fillId="0" borderId="3" xfId="0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wrapText="1"/>
      <protection hidden="1"/>
    </xf>
    <xf numFmtId="0" fontId="7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 shrinkToFit="1"/>
    </xf>
    <xf numFmtId="0" fontId="7" fillId="0" borderId="4" xfId="0" applyFont="1" applyFill="1" applyBorder="1" applyAlignment="1">
      <alignment vertical="center" wrapText="1" shrinkToFit="1"/>
    </xf>
    <xf numFmtId="0" fontId="7" fillId="0" borderId="2" xfId="0" applyNumberFormat="1" applyFont="1" applyFill="1" applyBorder="1" applyAlignment="1" applyProtection="1">
      <alignment horizontal="justify" vertical="center" wrapText="1" shrinkToFit="1"/>
    </xf>
    <xf numFmtId="0" fontId="9" fillId="0" borderId="2" xfId="0" applyFont="1" applyFill="1" applyBorder="1" applyAlignment="1">
      <alignment vertical="top" wrapText="1" shrinkToFit="1"/>
    </xf>
    <xf numFmtId="0" fontId="7" fillId="0" borderId="2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wrapText="1"/>
    </xf>
    <xf numFmtId="0" fontId="6" fillId="0" borderId="0" xfId="0" applyFont="1" applyFill="1"/>
    <xf numFmtId="0" fontId="9" fillId="0" borderId="4" xfId="2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0" fillId="2" borderId="0" xfId="0" applyFill="1"/>
    <xf numFmtId="0" fontId="1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distributed" wrapText="1"/>
    </xf>
    <xf numFmtId="0" fontId="7" fillId="0" borderId="2" xfId="0" applyNumberFormat="1" applyFont="1" applyFill="1" applyBorder="1" applyAlignment="1" applyProtection="1">
      <alignment horizontal="left" vertical="distributed" shrinkToFit="1"/>
    </xf>
    <xf numFmtId="0" fontId="9" fillId="0" borderId="4" xfId="2" applyNumberFormat="1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top" wrapText="1"/>
    </xf>
    <xf numFmtId="49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horizontal="justify" vertical="center" wrapText="1"/>
    </xf>
    <xf numFmtId="49" fontId="7" fillId="0" borderId="2" xfId="0" applyNumberFormat="1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>
      <alignment vertical="top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justify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15" fillId="0" borderId="2" xfId="0" applyNumberFormat="1" applyFont="1" applyFill="1" applyBorder="1" applyAlignment="1" applyProtection="1">
      <alignment horizontal="justify" vertical="justify" wrapText="1"/>
    </xf>
    <xf numFmtId="0" fontId="7" fillId="0" borderId="2" xfId="0" applyNumberFormat="1" applyFont="1" applyFill="1" applyBorder="1" applyAlignment="1" applyProtection="1">
      <alignment wrapText="1"/>
    </xf>
    <xf numFmtId="0" fontId="0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center" wrapText="1" shrinkToFit="1"/>
    </xf>
    <xf numFmtId="0" fontId="20" fillId="0" borderId="2" xfId="0" applyNumberFormat="1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/>
    <xf numFmtId="0" fontId="7" fillId="0" borderId="0" xfId="0" applyFont="1" applyFill="1" applyAlignment="1">
      <alignment vertic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65" fontId="7" fillId="0" borderId="0" xfId="0" applyNumberFormat="1" applyFont="1" applyFill="1" applyBorder="1" applyAlignment="1"/>
    <xf numFmtId="0" fontId="6" fillId="0" borderId="0" xfId="0" applyFont="1" applyFill="1" applyAlignment="1">
      <alignment vertical="center" wrapText="1"/>
    </xf>
    <xf numFmtId="165" fontId="7" fillId="0" borderId="0" xfId="0" applyNumberFormat="1" applyFont="1" applyFill="1" applyAlignment="1"/>
    <xf numFmtId="2" fontId="7" fillId="0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/>
    <xf numFmtId="0" fontId="0" fillId="2" borderId="0" xfId="0" applyFill="1" applyBorder="1"/>
    <xf numFmtId="0" fontId="21" fillId="0" borderId="0" xfId="0" applyFont="1" applyFill="1" applyAlignment="1">
      <alignment horizontal="right"/>
    </xf>
    <xf numFmtId="0" fontId="9" fillId="0" borderId="0" xfId="0" applyFont="1" applyFill="1"/>
    <xf numFmtId="165" fontId="9" fillId="0" borderId="0" xfId="0" applyNumberFormat="1" applyFont="1" applyFill="1" applyAlignment="1"/>
    <xf numFmtId="0" fontId="8" fillId="0" borderId="0" xfId="0" applyFont="1" applyFill="1" applyAlignment="1">
      <alignment horizontal="right"/>
    </xf>
    <xf numFmtId="0" fontId="0" fillId="0" borderId="0" xfId="0" applyBorder="1"/>
    <xf numFmtId="9" fontId="0" fillId="0" borderId="0" xfId="0" applyNumberFormat="1" applyBorder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/>
    <xf numFmtId="0" fontId="22" fillId="0" borderId="0" xfId="0" applyFont="1" applyBorder="1"/>
    <xf numFmtId="0" fontId="22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vertical="distributed" shrinkToFit="1"/>
    </xf>
    <xf numFmtId="0" fontId="0" fillId="0" borderId="0" xfId="0" applyFill="1" applyBorder="1"/>
    <xf numFmtId="0" fontId="9" fillId="5" borderId="2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/>
    <xf numFmtId="164" fontId="0" fillId="0" borderId="0" xfId="0" applyNumberFormat="1" applyFill="1" applyBorder="1"/>
    <xf numFmtId="164" fontId="7" fillId="0" borderId="4" xfId="0" applyNumberFormat="1" applyFont="1" applyFill="1" applyBorder="1" applyAlignment="1" applyProtection="1">
      <alignment horizontal="right"/>
    </xf>
    <xf numFmtId="0" fontId="9" fillId="5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left" vertical="justify" wrapText="1"/>
    </xf>
    <xf numFmtId="164" fontId="0" fillId="0" borderId="0" xfId="0" applyNumberFormat="1" applyBorder="1"/>
    <xf numFmtId="49" fontId="7" fillId="0" borderId="2" xfId="0" applyNumberFormat="1" applyFont="1" applyFill="1" applyBorder="1" applyAlignment="1" applyProtection="1">
      <alignment vertical="justify" wrapText="1"/>
    </xf>
    <xf numFmtId="164" fontId="7" fillId="3" borderId="0" xfId="0" applyNumberFormat="1" applyFont="1" applyFill="1" applyBorder="1" applyAlignment="1"/>
    <xf numFmtId="49" fontId="7" fillId="0" borderId="2" xfId="0" applyNumberFormat="1" applyFont="1" applyFill="1" applyBorder="1" applyAlignment="1" applyProtection="1">
      <alignment wrapText="1"/>
    </xf>
    <xf numFmtId="164" fontId="9" fillId="5" borderId="2" xfId="0" applyNumberFormat="1" applyFont="1" applyFill="1" applyBorder="1" applyAlignment="1">
      <alignment vertical="center" wrapText="1"/>
    </xf>
    <xf numFmtId="0" fontId="0" fillId="0" borderId="0" xfId="0" applyFont="1" applyBorder="1"/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2" xfId="0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/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8" xfId="0" applyNumberFormat="1" applyFont="1" applyFill="1" applyBorder="1" applyAlignment="1" applyProtection="1">
      <alignment vertical="top" wrapText="1"/>
      <protection hidden="1"/>
    </xf>
    <xf numFmtId="0" fontId="7" fillId="0" borderId="6" xfId="0" applyFont="1" applyFill="1" applyBorder="1" applyAlignment="1">
      <alignment horizontal="left" vertical="justify" wrapText="1"/>
    </xf>
    <xf numFmtId="0" fontId="8" fillId="0" borderId="0" xfId="0" applyFont="1" applyFill="1" applyAlignment="1"/>
    <xf numFmtId="0" fontId="7" fillId="0" borderId="6" xfId="0" applyFont="1" applyFill="1" applyBorder="1" applyAlignment="1">
      <alignment vertical="justify" wrapText="1"/>
    </xf>
    <xf numFmtId="164" fontId="9" fillId="5" borderId="2" xfId="0" applyNumberFormat="1" applyFont="1" applyFill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0" fontId="0" fillId="0" borderId="0" xfId="0" applyFont="1"/>
    <xf numFmtId="0" fontId="9" fillId="5" borderId="2" xfId="0" applyFont="1" applyFill="1" applyBorder="1" applyAlignment="1">
      <alignment horizontal="center" wrapText="1"/>
    </xf>
    <xf numFmtId="49" fontId="9" fillId="5" borderId="2" xfId="0" applyNumberFormat="1" applyFont="1" applyFill="1" applyBorder="1" applyAlignment="1">
      <alignment horizontal="center" wrapText="1"/>
    </xf>
    <xf numFmtId="164" fontId="9" fillId="5" borderId="2" xfId="0" applyNumberFormat="1" applyFont="1" applyFill="1" applyBorder="1" applyAlignment="1"/>
    <xf numFmtId="164" fontId="9" fillId="5" borderId="4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7" fillId="0" borderId="4" xfId="0" applyFont="1" applyFill="1" applyBorder="1" applyAlignment="1">
      <alignment vertical="justify" wrapText="1"/>
    </xf>
    <xf numFmtId="0" fontId="7" fillId="0" borderId="2" xfId="2" applyNumberFormat="1" applyFont="1" applyFill="1" applyBorder="1" applyAlignment="1" applyProtection="1">
      <alignment horizontal="left" vertical="distributed" wrapText="1"/>
      <protection hidden="1"/>
    </xf>
    <xf numFmtId="0" fontId="7" fillId="0" borderId="2" xfId="2" applyNumberFormat="1" applyFont="1" applyFill="1" applyBorder="1" applyAlignment="1" applyProtection="1">
      <alignment horizontal="left" vertical="distributed" shrinkToFit="1"/>
      <protection hidden="1"/>
    </xf>
    <xf numFmtId="49" fontId="7" fillId="0" borderId="2" xfId="0" applyNumberFormat="1" applyFont="1" applyFill="1" applyBorder="1" applyAlignment="1" applyProtection="1">
      <alignment horizontal="justify" vertical="justify" wrapText="1"/>
    </xf>
    <xf numFmtId="0" fontId="23" fillId="0" borderId="0" xfId="0" applyFont="1" applyFill="1" applyBorder="1" applyAlignment="1"/>
    <xf numFmtId="0" fontId="9" fillId="0" borderId="2" xfId="0" applyFont="1" applyFill="1" applyBorder="1"/>
    <xf numFmtId="0" fontId="7" fillId="0" borderId="0" xfId="0" applyFont="1" applyFill="1" applyBorder="1" applyAlignment="1">
      <alignment horizontal="center" wrapText="1"/>
    </xf>
    <xf numFmtId="165" fontId="0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164" fontId="0" fillId="0" borderId="0" xfId="0" applyNumberFormat="1" applyFont="1" applyFill="1" applyAlignment="1"/>
    <xf numFmtId="2" fontId="0" fillId="0" borderId="0" xfId="0" applyNumberFormat="1" applyFont="1" applyFill="1" applyBorder="1" applyAlignment="1"/>
    <xf numFmtId="2" fontId="0" fillId="0" borderId="0" xfId="0" applyNumberFormat="1" applyFont="1" applyFill="1" applyBorder="1"/>
    <xf numFmtId="2" fontId="0" fillId="0" borderId="0" xfId="0" applyNumberFormat="1" applyBorder="1"/>
    <xf numFmtId="49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justify" wrapText="1"/>
    </xf>
    <xf numFmtId="164" fontId="18" fillId="2" borderId="2" xfId="0" applyNumberFormat="1" applyFont="1" applyFill="1" applyBorder="1" applyAlignment="1">
      <alignment horizontal="right"/>
    </xf>
    <xf numFmtId="0" fontId="18" fillId="2" borderId="0" xfId="0" applyFont="1" applyFill="1"/>
    <xf numFmtId="164" fontId="20" fillId="2" borderId="2" xfId="0" applyNumberFormat="1" applyFont="1" applyFill="1" applyBorder="1" applyAlignment="1">
      <alignment horizontal="right"/>
    </xf>
    <xf numFmtId="164" fontId="18" fillId="2" borderId="0" xfId="0" applyNumberFormat="1" applyFont="1" applyFill="1"/>
    <xf numFmtId="0" fontId="18" fillId="2" borderId="2" xfId="0" applyFont="1" applyFill="1" applyBorder="1" applyAlignment="1">
      <alignment horizontal="left" vertical="center" wrapText="1"/>
    </xf>
    <xf numFmtId="0" fontId="0" fillId="6" borderId="0" xfId="0" applyFont="1" applyFill="1" applyAlignment="1"/>
    <xf numFmtId="0" fontId="16" fillId="6" borderId="3" xfId="0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 applyProtection="1">
      <alignment horizontal="right"/>
    </xf>
    <xf numFmtId="164" fontId="9" fillId="6" borderId="2" xfId="0" applyNumberFormat="1" applyFont="1" applyFill="1" applyBorder="1" applyAlignment="1"/>
    <xf numFmtId="165" fontId="0" fillId="6" borderId="0" xfId="0" applyNumberFormat="1" applyFont="1" applyFill="1" applyAlignment="1"/>
    <xf numFmtId="0" fontId="0" fillId="6" borderId="0" xfId="0" applyFont="1" applyFill="1" applyBorder="1" applyAlignment="1"/>
    <xf numFmtId="0" fontId="0" fillId="6" borderId="0" xfId="0" applyFont="1" applyFill="1" applyBorder="1"/>
    <xf numFmtId="0" fontId="7" fillId="6" borderId="0" xfId="0" applyFont="1" applyFill="1" applyAlignment="1"/>
    <xf numFmtId="0" fontId="7" fillId="6" borderId="0" xfId="0" applyFont="1" applyFill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165" fontId="7" fillId="6" borderId="0" xfId="0" applyNumberFormat="1" applyFont="1" applyFill="1" applyBorder="1" applyAlignment="1"/>
    <xf numFmtId="165" fontId="7" fillId="6" borderId="0" xfId="0" applyNumberFormat="1" applyFont="1" applyFill="1" applyAlignment="1"/>
    <xf numFmtId="2" fontId="7" fillId="6" borderId="0" xfId="0" applyNumberFormat="1" applyFont="1" applyFill="1" applyAlignment="1"/>
    <xf numFmtId="0" fontId="9" fillId="6" borderId="4" xfId="0" applyFont="1" applyFill="1" applyBorder="1" applyAlignment="1">
      <alignment horizontal="center" vertical="center" wrapText="1"/>
    </xf>
    <xf numFmtId="165" fontId="9" fillId="6" borderId="0" xfId="0" applyNumberFormat="1" applyFont="1" applyFill="1" applyAlignment="1"/>
    <xf numFmtId="49" fontId="16" fillId="6" borderId="2" xfId="0" applyNumberFormat="1" applyFont="1" applyFill="1" applyBorder="1" applyAlignment="1">
      <alignment horizontal="center"/>
    </xf>
    <xf numFmtId="164" fontId="9" fillId="6" borderId="2" xfId="0" applyNumberFormat="1" applyFont="1" applyFill="1" applyBorder="1" applyAlignment="1">
      <alignment vertical="center"/>
    </xf>
    <xf numFmtId="165" fontId="0" fillId="6" borderId="0" xfId="0" applyNumberFormat="1" applyFont="1" applyFill="1" applyBorder="1" applyAlignment="1"/>
    <xf numFmtId="165" fontId="0" fillId="6" borderId="0" xfId="0" applyNumberFormat="1" applyFont="1" applyFill="1" applyAlignment="1">
      <alignment horizontal="right"/>
    </xf>
    <xf numFmtId="0" fontId="8" fillId="6" borderId="0" xfId="0" applyFont="1" applyFill="1" applyAlignment="1">
      <alignment horizontal="right"/>
    </xf>
    <xf numFmtId="49" fontId="16" fillId="6" borderId="4" xfId="0" applyNumberFormat="1" applyFont="1" applyFill="1" applyBorder="1" applyAlignment="1">
      <alignment horizontal="center"/>
    </xf>
    <xf numFmtId="164" fontId="9" fillId="6" borderId="4" xfId="0" applyNumberFormat="1" applyFont="1" applyFill="1" applyBorder="1" applyAlignment="1">
      <alignment vertical="center"/>
    </xf>
    <xf numFmtId="164" fontId="9" fillId="6" borderId="0" xfId="0" applyNumberFormat="1" applyFont="1" applyFill="1" applyBorder="1" applyAlignment="1"/>
    <xf numFmtId="0" fontId="0" fillId="6" borderId="0" xfId="0" applyFont="1" applyFill="1" applyAlignment="1">
      <alignment horizontal="right"/>
    </xf>
    <xf numFmtId="164" fontId="0" fillId="6" borderId="0" xfId="0" applyNumberFormat="1" applyFont="1" applyFill="1" applyAlignment="1"/>
    <xf numFmtId="0" fontId="7" fillId="6" borderId="0" xfId="0" applyFont="1" applyFill="1" applyAlignment="1">
      <alignment horizontal="right" vertical="center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164" fontId="9" fillId="6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6" borderId="0" xfId="0" applyFont="1" applyFill="1"/>
    <xf numFmtId="0" fontId="1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164" fontId="0" fillId="6" borderId="0" xfId="0" applyNumberFormat="1" applyFont="1" applyFill="1"/>
    <xf numFmtId="164" fontId="7" fillId="6" borderId="2" xfId="0" applyNumberFormat="1" applyFont="1" applyFill="1" applyBorder="1" applyAlignment="1"/>
    <xf numFmtId="0" fontId="7" fillId="0" borderId="2" xfId="0" applyFont="1" applyFill="1" applyBorder="1" applyAlignment="1">
      <alignment vertical="justify"/>
    </xf>
    <xf numFmtId="164" fontId="0" fillId="6" borderId="2" xfId="0" applyNumberFormat="1" applyFont="1" applyFill="1" applyBorder="1"/>
    <xf numFmtId="0" fontId="7" fillId="0" borderId="1" xfId="0" applyFont="1" applyFill="1" applyBorder="1" applyAlignment="1">
      <alignment vertical="distributed" shrinkToFit="1"/>
    </xf>
    <xf numFmtId="164" fontId="18" fillId="2" borderId="2" xfId="0" applyNumberFormat="1" applyFont="1" applyFill="1" applyBorder="1"/>
    <xf numFmtId="0" fontId="20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right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justify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justify"/>
    </xf>
    <xf numFmtId="0" fontId="20" fillId="2" borderId="0" xfId="0" applyFont="1" applyFill="1" applyBorder="1"/>
    <xf numFmtId="0" fontId="20" fillId="2" borderId="9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justify"/>
    </xf>
    <xf numFmtId="164" fontId="20" fillId="2" borderId="3" xfId="0" applyNumberFormat="1" applyFont="1" applyFill="1" applyBorder="1" applyAlignment="1">
      <alignment horizontal="right"/>
    </xf>
    <xf numFmtId="0" fontId="20" fillId="2" borderId="0" xfId="0" applyFont="1" applyFill="1"/>
    <xf numFmtId="0" fontId="20" fillId="2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justify"/>
    </xf>
    <xf numFmtId="0" fontId="20" fillId="2" borderId="2" xfId="0" applyFont="1" applyFill="1" applyBorder="1" applyAlignment="1">
      <alignment horizontal="left" wrapText="1"/>
    </xf>
    <xf numFmtId="0" fontId="18" fillId="2" borderId="2" xfId="0" applyNumberFormat="1" applyFont="1" applyFill="1" applyBorder="1" applyAlignment="1">
      <alignment horizontal="left" vertical="justify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wrapText="1"/>
    </xf>
    <xf numFmtId="0" fontId="18" fillId="2" borderId="0" xfId="0" applyFont="1" applyFill="1" applyAlignment="1">
      <alignment wrapText="1"/>
    </xf>
    <xf numFmtId="0" fontId="18" fillId="2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left" wrapText="1"/>
    </xf>
    <xf numFmtId="0" fontId="18" fillId="2" borderId="2" xfId="0" applyFont="1" applyFill="1" applyBorder="1" applyAlignment="1">
      <alignment wrapText="1"/>
    </xf>
    <xf numFmtId="49" fontId="20" fillId="2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justify"/>
    </xf>
    <xf numFmtId="49" fontId="18" fillId="2" borderId="4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top" wrapText="1"/>
    </xf>
    <xf numFmtId="0" fontId="18" fillId="2" borderId="3" xfId="0" applyFont="1" applyFill="1" applyBorder="1" applyAlignment="1">
      <alignment horizontal="justify" vertical="top" wrapText="1"/>
    </xf>
    <xf numFmtId="0" fontId="18" fillId="2" borderId="3" xfId="0" applyNumberFormat="1" applyFont="1" applyFill="1" applyBorder="1" applyAlignment="1">
      <alignment horizontal="left" vertical="justify"/>
    </xf>
    <xf numFmtId="0" fontId="20" fillId="2" borderId="2" xfId="0" applyFont="1" applyFill="1" applyBorder="1" applyAlignment="1">
      <alignment horizontal="left" vertical="justify" wrapText="1"/>
    </xf>
    <xf numFmtId="165" fontId="20" fillId="2" borderId="2" xfId="0" applyNumberFormat="1" applyFont="1" applyFill="1" applyBorder="1" applyAlignment="1">
      <alignment horizontal="right"/>
    </xf>
    <xf numFmtId="0" fontId="18" fillId="2" borderId="2" xfId="5" applyNumberFormat="1" applyFont="1" applyFill="1" applyBorder="1" applyAlignment="1" applyProtection="1">
      <alignment horizontal="left" vertical="center" wrapText="1"/>
      <protection hidden="1"/>
    </xf>
    <xf numFmtId="0" fontId="18" fillId="2" borderId="2" xfId="0" applyNumberFormat="1" applyFont="1" applyFill="1" applyBorder="1" applyAlignment="1">
      <alignment horizontal="left" vertical="justify" wrapText="1"/>
    </xf>
    <xf numFmtId="164" fontId="18" fillId="2" borderId="4" xfId="3" applyNumberFormat="1" applyFont="1" applyFill="1" applyBorder="1" applyAlignment="1" applyProtection="1">
      <alignment horizontal="right"/>
      <protection hidden="1"/>
    </xf>
    <xf numFmtId="164" fontId="18" fillId="2" borderId="2" xfId="3" applyNumberFormat="1" applyFont="1" applyFill="1" applyBorder="1" applyAlignment="1" applyProtection="1">
      <alignment horizontal="right"/>
      <protection hidden="1"/>
    </xf>
    <xf numFmtId="0" fontId="20" fillId="2" borderId="2" xfId="0" applyNumberFormat="1" applyFont="1" applyFill="1" applyBorder="1" applyAlignment="1">
      <alignment horizontal="left" vertical="justify" wrapText="1"/>
    </xf>
    <xf numFmtId="0" fontId="18" fillId="2" borderId="2" xfId="0" applyFont="1" applyFill="1" applyBorder="1"/>
    <xf numFmtId="0" fontId="18" fillId="2" borderId="0" xfId="0" applyFont="1" applyFill="1" applyBorder="1"/>
    <xf numFmtId="164" fontId="18" fillId="2" borderId="0" xfId="0" applyNumberFormat="1" applyFont="1" applyFill="1" applyBorder="1" applyAlignment="1">
      <alignment horizontal="right"/>
    </xf>
    <xf numFmtId="164" fontId="18" fillId="2" borderId="0" xfId="0" applyNumberFormat="1" applyFont="1" applyFill="1" applyBorder="1"/>
    <xf numFmtId="0" fontId="20" fillId="2" borderId="2" xfId="0" applyFont="1" applyFill="1" applyBorder="1" applyAlignment="1">
      <alignment wrapText="1"/>
    </xf>
    <xf numFmtId="0" fontId="20" fillId="2" borderId="2" xfId="0" applyNumberFormat="1" applyFont="1" applyFill="1" applyBorder="1" applyAlignment="1">
      <alignment vertical="center" wrapText="1"/>
    </xf>
    <xf numFmtId="0" fontId="18" fillId="2" borderId="2" xfId="0" applyNumberFormat="1" applyFont="1" applyFill="1" applyBorder="1" applyAlignment="1">
      <alignment vertical="center" wrapText="1"/>
    </xf>
    <xf numFmtId="0" fontId="25" fillId="2" borderId="0" xfId="0" applyFont="1" applyFill="1"/>
    <xf numFmtId="165" fontId="26" fillId="2" borderId="0" xfId="0" applyNumberFormat="1" applyFont="1" applyFill="1"/>
    <xf numFmtId="165" fontId="20" fillId="2" borderId="0" xfId="0" applyNumberFormat="1" applyFont="1" applyFill="1"/>
    <xf numFmtId="165" fontId="18" fillId="2" borderId="0" xfId="0" applyNumberFormat="1" applyFont="1" applyFill="1"/>
    <xf numFmtId="164" fontId="0" fillId="6" borderId="0" xfId="0" applyNumberFormat="1" applyFont="1" applyFill="1" applyBorder="1"/>
    <xf numFmtId="0" fontId="7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vertical="justify" wrapText="1"/>
    </xf>
    <xf numFmtId="0" fontId="7" fillId="6" borderId="1" xfId="0" applyFont="1" applyFill="1" applyBorder="1" applyAlignment="1">
      <alignment vertical="center" wrapText="1"/>
    </xf>
    <xf numFmtId="0" fontId="27" fillId="2" borderId="0" xfId="0" applyFont="1" applyFill="1"/>
    <xf numFmtId="0" fontId="27" fillId="6" borderId="0" xfId="0" applyFont="1" applyFill="1"/>
    <xf numFmtId="0" fontId="28" fillId="2" borderId="0" xfId="0" applyFont="1" applyFill="1" applyBorder="1"/>
    <xf numFmtId="0" fontId="7" fillId="0" borderId="6" xfId="0" applyFont="1" applyFill="1" applyBorder="1" applyAlignment="1">
      <alignment vertical="top" wrapText="1" shrinkToFi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 wrapText="1" shrinkToFit="1"/>
    </xf>
    <xf numFmtId="167" fontId="9" fillId="0" borderId="2" xfId="0" applyNumberFormat="1" applyFont="1" applyFill="1" applyBorder="1" applyAlignment="1">
      <alignment horizontal="center"/>
    </xf>
    <xf numFmtId="168" fontId="9" fillId="0" borderId="2" xfId="0" applyNumberFormat="1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20" fillId="2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49" fontId="9" fillId="6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justify"/>
    </xf>
    <xf numFmtId="164" fontId="20" fillId="0" borderId="2" xfId="0" applyNumberFormat="1" applyFont="1" applyFill="1" applyBorder="1" applyAlignment="1">
      <alignment horizontal="right"/>
    </xf>
    <xf numFmtId="164" fontId="18" fillId="0" borderId="2" xfId="0" applyNumberFormat="1" applyFont="1" applyFill="1" applyBorder="1"/>
    <xf numFmtId="0" fontId="20" fillId="0" borderId="0" xfId="0" applyFont="1" applyFill="1"/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justify"/>
    </xf>
    <xf numFmtId="164" fontId="18" fillId="0" borderId="2" xfId="0" applyNumberFormat="1" applyFont="1" applyFill="1" applyBorder="1" applyAlignment="1">
      <alignment horizontal="right"/>
    </xf>
    <xf numFmtId="0" fontId="18" fillId="0" borderId="0" xfId="0" applyFont="1" applyFill="1"/>
    <xf numFmtId="49" fontId="18" fillId="0" borderId="4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justify" vertical="top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left" vertical="justify"/>
    </xf>
    <xf numFmtId="164" fontId="18" fillId="0" borderId="0" xfId="0" applyNumberFormat="1" applyFont="1" applyFill="1"/>
    <xf numFmtId="0" fontId="18" fillId="0" borderId="3" xfId="0" applyFont="1" applyFill="1" applyBorder="1" applyAlignment="1">
      <alignment horizontal="left" vertical="justify"/>
    </xf>
    <xf numFmtId="0" fontId="18" fillId="0" borderId="3" xfId="0" applyFont="1" applyFill="1" applyBorder="1" applyAlignment="1">
      <alignment horizontal="left" vertical="justify" wrapText="1"/>
    </xf>
    <xf numFmtId="0" fontId="18" fillId="0" borderId="2" xfId="0" applyFont="1" applyFill="1" applyBorder="1" applyAlignment="1">
      <alignment wrapText="1"/>
    </xf>
    <xf numFmtId="0" fontId="18" fillId="0" borderId="2" xfId="0" applyFont="1" applyFill="1" applyBorder="1" applyAlignment="1">
      <alignment horizontal="left" vertical="justify" wrapText="1"/>
    </xf>
    <xf numFmtId="0" fontId="18" fillId="0" borderId="2" xfId="0" applyFont="1" applyFill="1" applyBorder="1" applyAlignment="1">
      <alignment horizontal="left" vertical="center" wrapText="1"/>
    </xf>
    <xf numFmtId="164" fontId="28" fillId="0" borderId="2" xfId="0" applyNumberFormat="1" applyFont="1" applyFill="1" applyBorder="1" applyAlignment="1">
      <alignment horizontal="right"/>
    </xf>
    <xf numFmtId="0" fontId="18" fillId="0" borderId="3" xfId="0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 wrapText="1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justify" wrapText="1"/>
    </xf>
    <xf numFmtId="164" fontId="9" fillId="0" borderId="4" xfId="0" applyNumberFormat="1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2 2 2" xfId="5"/>
    <cellStyle name="Обычный 3" xfId="4"/>
    <cellStyle name="Финансов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topLeftCell="A4" zoomScale="75" zoomScaleNormal="75" workbookViewId="0">
      <selection activeCell="E21" sqref="E21"/>
    </sheetView>
  </sheetViews>
  <sheetFormatPr defaultRowHeight="18.75" x14ac:dyDescent="0.3"/>
  <cols>
    <col min="1" max="1" width="43" style="1" customWidth="1"/>
    <col min="2" max="2" width="58.7109375" style="1" customWidth="1"/>
    <col min="3" max="3" width="16.85546875" style="1" customWidth="1"/>
    <col min="4" max="4" width="13.42578125" style="1" customWidth="1"/>
    <col min="5" max="5" width="13.5703125" style="1" customWidth="1"/>
    <col min="6" max="6" width="16.140625" style="1" customWidth="1"/>
    <col min="7" max="7" width="15.42578125" style="1" bestFit="1" customWidth="1"/>
    <col min="8" max="8" width="10.42578125" style="1" bestFit="1" customWidth="1"/>
    <col min="9" max="256" width="9.140625" style="1"/>
    <col min="257" max="257" width="43" style="1" customWidth="1"/>
    <col min="258" max="258" width="58.7109375" style="1" customWidth="1"/>
    <col min="259" max="259" width="16.85546875" style="1" customWidth="1"/>
    <col min="260" max="260" width="13.42578125" style="1" customWidth="1"/>
    <col min="261" max="261" width="13.5703125" style="1" customWidth="1"/>
    <col min="262" max="262" width="10.42578125" style="1" bestFit="1" customWidth="1"/>
    <col min="263" max="263" width="15.42578125" style="1" bestFit="1" customWidth="1"/>
    <col min="264" max="264" width="10.42578125" style="1" bestFit="1" customWidth="1"/>
    <col min="265" max="512" width="9.140625" style="1"/>
    <col min="513" max="513" width="43" style="1" customWidth="1"/>
    <col min="514" max="514" width="58.7109375" style="1" customWidth="1"/>
    <col min="515" max="515" width="16.85546875" style="1" customWidth="1"/>
    <col min="516" max="516" width="13.42578125" style="1" customWidth="1"/>
    <col min="517" max="517" width="13.5703125" style="1" customWidth="1"/>
    <col min="518" max="518" width="10.42578125" style="1" bestFit="1" customWidth="1"/>
    <col min="519" max="519" width="15.42578125" style="1" bestFit="1" customWidth="1"/>
    <col min="520" max="520" width="10.42578125" style="1" bestFit="1" customWidth="1"/>
    <col min="521" max="768" width="9.140625" style="1"/>
    <col min="769" max="769" width="43" style="1" customWidth="1"/>
    <col min="770" max="770" width="58.7109375" style="1" customWidth="1"/>
    <col min="771" max="771" width="16.85546875" style="1" customWidth="1"/>
    <col min="772" max="772" width="13.42578125" style="1" customWidth="1"/>
    <col min="773" max="773" width="13.5703125" style="1" customWidth="1"/>
    <col min="774" max="774" width="10.42578125" style="1" bestFit="1" customWidth="1"/>
    <col min="775" max="775" width="15.42578125" style="1" bestFit="1" customWidth="1"/>
    <col min="776" max="776" width="10.42578125" style="1" bestFit="1" customWidth="1"/>
    <col min="777" max="1024" width="9.140625" style="1"/>
    <col min="1025" max="1025" width="43" style="1" customWidth="1"/>
    <col min="1026" max="1026" width="58.7109375" style="1" customWidth="1"/>
    <col min="1027" max="1027" width="16.85546875" style="1" customWidth="1"/>
    <col min="1028" max="1028" width="13.42578125" style="1" customWidth="1"/>
    <col min="1029" max="1029" width="13.5703125" style="1" customWidth="1"/>
    <col min="1030" max="1030" width="10.42578125" style="1" bestFit="1" customWidth="1"/>
    <col min="1031" max="1031" width="15.42578125" style="1" bestFit="1" customWidth="1"/>
    <col min="1032" max="1032" width="10.42578125" style="1" bestFit="1" customWidth="1"/>
    <col min="1033" max="1280" width="9.140625" style="1"/>
    <col min="1281" max="1281" width="43" style="1" customWidth="1"/>
    <col min="1282" max="1282" width="58.7109375" style="1" customWidth="1"/>
    <col min="1283" max="1283" width="16.85546875" style="1" customWidth="1"/>
    <col min="1284" max="1284" width="13.42578125" style="1" customWidth="1"/>
    <col min="1285" max="1285" width="13.5703125" style="1" customWidth="1"/>
    <col min="1286" max="1286" width="10.42578125" style="1" bestFit="1" customWidth="1"/>
    <col min="1287" max="1287" width="15.42578125" style="1" bestFit="1" customWidth="1"/>
    <col min="1288" max="1288" width="10.42578125" style="1" bestFit="1" customWidth="1"/>
    <col min="1289" max="1536" width="9.140625" style="1"/>
    <col min="1537" max="1537" width="43" style="1" customWidth="1"/>
    <col min="1538" max="1538" width="58.7109375" style="1" customWidth="1"/>
    <col min="1539" max="1539" width="16.85546875" style="1" customWidth="1"/>
    <col min="1540" max="1540" width="13.42578125" style="1" customWidth="1"/>
    <col min="1541" max="1541" width="13.5703125" style="1" customWidth="1"/>
    <col min="1542" max="1542" width="10.42578125" style="1" bestFit="1" customWidth="1"/>
    <col min="1543" max="1543" width="15.42578125" style="1" bestFit="1" customWidth="1"/>
    <col min="1544" max="1544" width="10.42578125" style="1" bestFit="1" customWidth="1"/>
    <col min="1545" max="1792" width="9.140625" style="1"/>
    <col min="1793" max="1793" width="43" style="1" customWidth="1"/>
    <col min="1794" max="1794" width="58.7109375" style="1" customWidth="1"/>
    <col min="1795" max="1795" width="16.85546875" style="1" customWidth="1"/>
    <col min="1796" max="1796" width="13.42578125" style="1" customWidth="1"/>
    <col min="1797" max="1797" width="13.5703125" style="1" customWidth="1"/>
    <col min="1798" max="1798" width="10.42578125" style="1" bestFit="1" customWidth="1"/>
    <col min="1799" max="1799" width="15.42578125" style="1" bestFit="1" customWidth="1"/>
    <col min="1800" max="1800" width="10.42578125" style="1" bestFit="1" customWidth="1"/>
    <col min="1801" max="2048" width="9.140625" style="1"/>
    <col min="2049" max="2049" width="43" style="1" customWidth="1"/>
    <col min="2050" max="2050" width="58.7109375" style="1" customWidth="1"/>
    <col min="2051" max="2051" width="16.85546875" style="1" customWidth="1"/>
    <col min="2052" max="2052" width="13.42578125" style="1" customWidth="1"/>
    <col min="2053" max="2053" width="13.5703125" style="1" customWidth="1"/>
    <col min="2054" max="2054" width="10.42578125" style="1" bestFit="1" customWidth="1"/>
    <col min="2055" max="2055" width="15.42578125" style="1" bestFit="1" customWidth="1"/>
    <col min="2056" max="2056" width="10.42578125" style="1" bestFit="1" customWidth="1"/>
    <col min="2057" max="2304" width="9.140625" style="1"/>
    <col min="2305" max="2305" width="43" style="1" customWidth="1"/>
    <col min="2306" max="2306" width="58.7109375" style="1" customWidth="1"/>
    <col min="2307" max="2307" width="16.85546875" style="1" customWidth="1"/>
    <col min="2308" max="2308" width="13.42578125" style="1" customWidth="1"/>
    <col min="2309" max="2309" width="13.5703125" style="1" customWidth="1"/>
    <col min="2310" max="2310" width="10.42578125" style="1" bestFit="1" customWidth="1"/>
    <col min="2311" max="2311" width="15.42578125" style="1" bestFit="1" customWidth="1"/>
    <col min="2312" max="2312" width="10.42578125" style="1" bestFit="1" customWidth="1"/>
    <col min="2313" max="2560" width="9.140625" style="1"/>
    <col min="2561" max="2561" width="43" style="1" customWidth="1"/>
    <col min="2562" max="2562" width="58.7109375" style="1" customWidth="1"/>
    <col min="2563" max="2563" width="16.85546875" style="1" customWidth="1"/>
    <col min="2564" max="2564" width="13.42578125" style="1" customWidth="1"/>
    <col min="2565" max="2565" width="13.5703125" style="1" customWidth="1"/>
    <col min="2566" max="2566" width="10.42578125" style="1" bestFit="1" customWidth="1"/>
    <col min="2567" max="2567" width="15.42578125" style="1" bestFit="1" customWidth="1"/>
    <col min="2568" max="2568" width="10.42578125" style="1" bestFit="1" customWidth="1"/>
    <col min="2569" max="2816" width="9.140625" style="1"/>
    <col min="2817" max="2817" width="43" style="1" customWidth="1"/>
    <col min="2818" max="2818" width="58.7109375" style="1" customWidth="1"/>
    <col min="2819" max="2819" width="16.85546875" style="1" customWidth="1"/>
    <col min="2820" max="2820" width="13.42578125" style="1" customWidth="1"/>
    <col min="2821" max="2821" width="13.5703125" style="1" customWidth="1"/>
    <col min="2822" max="2822" width="10.42578125" style="1" bestFit="1" customWidth="1"/>
    <col min="2823" max="2823" width="15.42578125" style="1" bestFit="1" customWidth="1"/>
    <col min="2824" max="2824" width="10.42578125" style="1" bestFit="1" customWidth="1"/>
    <col min="2825" max="3072" width="9.140625" style="1"/>
    <col min="3073" max="3073" width="43" style="1" customWidth="1"/>
    <col min="3074" max="3074" width="58.7109375" style="1" customWidth="1"/>
    <col min="3075" max="3075" width="16.85546875" style="1" customWidth="1"/>
    <col min="3076" max="3076" width="13.42578125" style="1" customWidth="1"/>
    <col min="3077" max="3077" width="13.5703125" style="1" customWidth="1"/>
    <col min="3078" max="3078" width="10.42578125" style="1" bestFit="1" customWidth="1"/>
    <col min="3079" max="3079" width="15.42578125" style="1" bestFit="1" customWidth="1"/>
    <col min="3080" max="3080" width="10.42578125" style="1" bestFit="1" customWidth="1"/>
    <col min="3081" max="3328" width="9.140625" style="1"/>
    <col min="3329" max="3329" width="43" style="1" customWidth="1"/>
    <col min="3330" max="3330" width="58.7109375" style="1" customWidth="1"/>
    <col min="3331" max="3331" width="16.85546875" style="1" customWidth="1"/>
    <col min="3332" max="3332" width="13.42578125" style="1" customWidth="1"/>
    <col min="3333" max="3333" width="13.5703125" style="1" customWidth="1"/>
    <col min="3334" max="3334" width="10.42578125" style="1" bestFit="1" customWidth="1"/>
    <col min="3335" max="3335" width="15.42578125" style="1" bestFit="1" customWidth="1"/>
    <col min="3336" max="3336" width="10.42578125" style="1" bestFit="1" customWidth="1"/>
    <col min="3337" max="3584" width="9.140625" style="1"/>
    <col min="3585" max="3585" width="43" style="1" customWidth="1"/>
    <col min="3586" max="3586" width="58.7109375" style="1" customWidth="1"/>
    <col min="3587" max="3587" width="16.85546875" style="1" customWidth="1"/>
    <col min="3588" max="3588" width="13.42578125" style="1" customWidth="1"/>
    <col min="3589" max="3589" width="13.5703125" style="1" customWidth="1"/>
    <col min="3590" max="3590" width="10.42578125" style="1" bestFit="1" customWidth="1"/>
    <col min="3591" max="3591" width="15.42578125" style="1" bestFit="1" customWidth="1"/>
    <col min="3592" max="3592" width="10.42578125" style="1" bestFit="1" customWidth="1"/>
    <col min="3593" max="3840" width="9.140625" style="1"/>
    <col min="3841" max="3841" width="43" style="1" customWidth="1"/>
    <col min="3842" max="3842" width="58.7109375" style="1" customWidth="1"/>
    <col min="3843" max="3843" width="16.85546875" style="1" customWidth="1"/>
    <col min="3844" max="3844" width="13.42578125" style="1" customWidth="1"/>
    <col min="3845" max="3845" width="13.5703125" style="1" customWidth="1"/>
    <col min="3846" max="3846" width="10.42578125" style="1" bestFit="1" customWidth="1"/>
    <col min="3847" max="3847" width="15.42578125" style="1" bestFit="1" customWidth="1"/>
    <col min="3848" max="3848" width="10.42578125" style="1" bestFit="1" customWidth="1"/>
    <col min="3849" max="4096" width="9.140625" style="1"/>
    <col min="4097" max="4097" width="43" style="1" customWidth="1"/>
    <col min="4098" max="4098" width="58.7109375" style="1" customWidth="1"/>
    <col min="4099" max="4099" width="16.85546875" style="1" customWidth="1"/>
    <col min="4100" max="4100" width="13.42578125" style="1" customWidth="1"/>
    <col min="4101" max="4101" width="13.5703125" style="1" customWidth="1"/>
    <col min="4102" max="4102" width="10.42578125" style="1" bestFit="1" customWidth="1"/>
    <col min="4103" max="4103" width="15.42578125" style="1" bestFit="1" customWidth="1"/>
    <col min="4104" max="4104" width="10.42578125" style="1" bestFit="1" customWidth="1"/>
    <col min="4105" max="4352" width="9.140625" style="1"/>
    <col min="4353" max="4353" width="43" style="1" customWidth="1"/>
    <col min="4354" max="4354" width="58.7109375" style="1" customWidth="1"/>
    <col min="4355" max="4355" width="16.85546875" style="1" customWidth="1"/>
    <col min="4356" max="4356" width="13.42578125" style="1" customWidth="1"/>
    <col min="4357" max="4357" width="13.5703125" style="1" customWidth="1"/>
    <col min="4358" max="4358" width="10.42578125" style="1" bestFit="1" customWidth="1"/>
    <col min="4359" max="4359" width="15.42578125" style="1" bestFit="1" customWidth="1"/>
    <col min="4360" max="4360" width="10.42578125" style="1" bestFit="1" customWidth="1"/>
    <col min="4361" max="4608" width="9.140625" style="1"/>
    <col min="4609" max="4609" width="43" style="1" customWidth="1"/>
    <col min="4610" max="4610" width="58.7109375" style="1" customWidth="1"/>
    <col min="4611" max="4611" width="16.85546875" style="1" customWidth="1"/>
    <col min="4612" max="4612" width="13.42578125" style="1" customWidth="1"/>
    <col min="4613" max="4613" width="13.5703125" style="1" customWidth="1"/>
    <col min="4614" max="4614" width="10.42578125" style="1" bestFit="1" customWidth="1"/>
    <col min="4615" max="4615" width="15.42578125" style="1" bestFit="1" customWidth="1"/>
    <col min="4616" max="4616" width="10.42578125" style="1" bestFit="1" customWidth="1"/>
    <col min="4617" max="4864" width="9.140625" style="1"/>
    <col min="4865" max="4865" width="43" style="1" customWidth="1"/>
    <col min="4866" max="4866" width="58.7109375" style="1" customWidth="1"/>
    <col min="4867" max="4867" width="16.85546875" style="1" customWidth="1"/>
    <col min="4868" max="4868" width="13.42578125" style="1" customWidth="1"/>
    <col min="4869" max="4869" width="13.5703125" style="1" customWidth="1"/>
    <col min="4870" max="4870" width="10.42578125" style="1" bestFit="1" customWidth="1"/>
    <col min="4871" max="4871" width="15.42578125" style="1" bestFit="1" customWidth="1"/>
    <col min="4872" max="4872" width="10.42578125" style="1" bestFit="1" customWidth="1"/>
    <col min="4873" max="5120" width="9.140625" style="1"/>
    <col min="5121" max="5121" width="43" style="1" customWidth="1"/>
    <col min="5122" max="5122" width="58.7109375" style="1" customWidth="1"/>
    <col min="5123" max="5123" width="16.85546875" style="1" customWidth="1"/>
    <col min="5124" max="5124" width="13.42578125" style="1" customWidth="1"/>
    <col min="5125" max="5125" width="13.5703125" style="1" customWidth="1"/>
    <col min="5126" max="5126" width="10.42578125" style="1" bestFit="1" customWidth="1"/>
    <col min="5127" max="5127" width="15.42578125" style="1" bestFit="1" customWidth="1"/>
    <col min="5128" max="5128" width="10.42578125" style="1" bestFit="1" customWidth="1"/>
    <col min="5129" max="5376" width="9.140625" style="1"/>
    <col min="5377" max="5377" width="43" style="1" customWidth="1"/>
    <col min="5378" max="5378" width="58.7109375" style="1" customWidth="1"/>
    <col min="5379" max="5379" width="16.85546875" style="1" customWidth="1"/>
    <col min="5380" max="5380" width="13.42578125" style="1" customWidth="1"/>
    <col min="5381" max="5381" width="13.5703125" style="1" customWidth="1"/>
    <col min="5382" max="5382" width="10.42578125" style="1" bestFit="1" customWidth="1"/>
    <col min="5383" max="5383" width="15.42578125" style="1" bestFit="1" customWidth="1"/>
    <col min="5384" max="5384" width="10.42578125" style="1" bestFit="1" customWidth="1"/>
    <col min="5385" max="5632" width="9.140625" style="1"/>
    <col min="5633" max="5633" width="43" style="1" customWidth="1"/>
    <col min="5634" max="5634" width="58.7109375" style="1" customWidth="1"/>
    <col min="5635" max="5635" width="16.85546875" style="1" customWidth="1"/>
    <col min="5636" max="5636" width="13.42578125" style="1" customWidth="1"/>
    <col min="5637" max="5637" width="13.5703125" style="1" customWidth="1"/>
    <col min="5638" max="5638" width="10.42578125" style="1" bestFit="1" customWidth="1"/>
    <col min="5639" max="5639" width="15.42578125" style="1" bestFit="1" customWidth="1"/>
    <col min="5640" max="5640" width="10.42578125" style="1" bestFit="1" customWidth="1"/>
    <col min="5641" max="5888" width="9.140625" style="1"/>
    <col min="5889" max="5889" width="43" style="1" customWidth="1"/>
    <col min="5890" max="5890" width="58.7109375" style="1" customWidth="1"/>
    <col min="5891" max="5891" width="16.85546875" style="1" customWidth="1"/>
    <col min="5892" max="5892" width="13.42578125" style="1" customWidth="1"/>
    <col min="5893" max="5893" width="13.5703125" style="1" customWidth="1"/>
    <col min="5894" max="5894" width="10.42578125" style="1" bestFit="1" customWidth="1"/>
    <col min="5895" max="5895" width="15.42578125" style="1" bestFit="1" customWidth="1"/>
    <col min="5896" max="5896" width="10.42578125" style="1" bestFit="1" customWidth="1"/>
    <col min="5897" max="6144" width="9.140625" style="1"/>
    <col min="6145" max="6145" width="43" style="1" customWidth="1"/>
    <col min="6146" max="6146" width="58.7109375" style="1" customWidth="1"/>
    <col min="6147" max="6147" width="16.85546875" style="1" customWidth="1"/>
    <col min="6148" max="6148" width="13.42578125" style="1" customWidth="1"/>
    <col min="6149" max="6149" width="13.5703125" style="1" customWidth="1"/>
    <col min="6150" max="6150" width="10.42578125" style="1" bestFit="1" customWidth="1"/>
    <col min="6151" max="6151" width="15.42578125" style="1" bestFit="1" customWidth="1"/>
    <col min="6152" max="6152" width="10.42578125" style="1" bestFit="1" customWidth="1"/>
    <col min="6153" max="6400" width="9.140625" style="1"/>
    <col min="6401" max="6401" width="43" style="1" customWidth="1"/>
    <col min="6402" max="6402" width="58.7109375" style="1" customWidth="1"/>
    <col min="6403" max="6403" width="16.85546875" style="1" customWidth="1"/>
    <col min="6404" max="6404" width="13.42578125" style="1" customWidth="1"/>
    <col min="6405" max="6405" width="13.5703125" style="1" customWidth="1"/>
    <col min="6406" max="6406" width="10.42578125" style="1" bestFit="1" customWidth="1"/>
    <col min="6407" max="6407" width="15.42578125" style="1" bestFit="1" customWidth="1"/>
    <col min="6408" max="6408" width="10.42578125" style="1" bestFit="1" customWidth="1"/>
    <col min="6409" max="6656" width="9.140625" style="1"/>
    <col min="6657" max="6657" width="43" style="1" customWidth="1"/>
    <col min="6658" max="6658" width="58.7109375" style="1" customWidth="1"/>
    <col min="6659" max="6659" width="16.85546875" style="1" customWidth="1"/>
    <col min="6660" max="6660" width="13.42578125" style="1" customWidth="1"/>
    <col min="6661" max="6661" width="13.5703125" style="1" customWidth="1"/>
    <col min="6662" max="6662" width="10.42578125" style="1" bestFit="1" customWidth="1"/>
    <col min="6663" max="6663" width="15.42578125" style="1" bestFit="1" customWidth="1"/>
    <col min="6664" max="6664" width="10.42578125" style="1" bestFit="1" customWidth="1"/>
    <col min="6665" max="6912" width="9.140625" style="1"/>
    <col min="6913" max="6913" width="43" style="1" customWidth="1"/>
    <col min="6914" max="6914" width="58.7109375" style="1" customWidth="1"/>
    <col min="6915" max="6915" width="16.85546875" style="1" customWidth="1"/>
    <col min="6916" max="6916" width="13.42578125" style="1" customWidth="1"/>
    <col min="6917" max="6917" width="13.5703125" style="1" customWidth="1"/>
    <col min="6918" max="6918" width="10.42578125" style="1" bestFit="1" customWidth="1"/>
    <col min="6919" max="6919" width="15.42578125" style="1" bestFit="1" customWidth="1"/>
    <col min="6920" max="6920" width="10.42578125" style="1" bestFit="1" customWidth="1"/>
    <col min="6921" max="7168" width="9.140625" style="1"/>
    <col min="7169" max="7169" width="43" style="1" customWidth="1"/>
    <col min="7170" max="7170" width="58.7109375" style="1" customWidth="1"/>
    <col min="7171" max="7171" width="16.85546875" style="1" customWidth="1"/>
    <col min="7172" max="7172" width="13.42578125" style="1" customWidth="1"/>
    <col min="7173" max="7173" width="13.5703125" style="1" customWidth="1"/>
    <col min="7174" max="7174" width="10.42578125" style="1" bestFit="1" customWidth="1"/>
    <col min="7175" max="7175" width="15.42578125" style="1" bestFit="1" customWidth="1"/>
    <col min="7176" max="7176" width="10.42578125" style="1" bestFit="1" customWidth="1"/>
    <col min="7177" max="7424" width="9.140625" style="1"/>
    <col min="7425" max="7425" width="43" style="1" customWidth="1"/>
    <col min="7426" max="7426" width="58.7109375" style="1" customWidth="1"/>
    <col min="7427" max="7427" width="16.85546875" style="1" customWidth="1"/>
    <col min="7428" max="7428" width="13.42578125" style="1" customWidth="1"/>
    <col min="7429" max="7429" width="13.5703125" style="1" customWidth="1"/>
    <col min="7430" max="7430" width="10.42578125" style="1" bestFit="1" customWidth="1"/>
    <col min="7431" max="7431" width="15.42578125" style="1" bestFit="1" customWidth="1"/>
    <col min="7432" max="7432" width="10.42578125" style="1" bestFit="1" customWidth="1"/>
    <col min="7433" max="7680" width="9.140625" style="1"/>
    <col min="7681" max="7681" width="43" style="1" customWidth="1"/>
    <col min="7682" max="7682" width="58.7109375" style="1" customWidth="1"/>
    <col min="7683" max="7683" width="16.85546875" style="1" customWidth="1"/>
    <col min="7684" max="7684" width="13.42578125" style="1" customWidth="1"/>
    <col min="7685" max="7685" width="13.5703125" style="1" customWidth="1"/>
    <col min="7686" max="7686" width="10.42578125" style="1" bestFit="1" customWidth="1"/>
    <col min="7687" max="7687" width="15.42578125" style="1" bestFit="1" customWidth="1"/>
    <col min="7688" max="7688" width="10.42578125" style="1" bestFit="1" customWidth="1"/>
    <col min="7689" max="7936" width="9.140625" style="1"/>
    <col min="7937" max="7937" width="43" style="1" customWidth="1"/>
    <col min="7938" max="7938" width="58.7109375" style="1" customWidth="1"/>
    <col min="7939" max="7939" width="16.85546875" style="1" customWidth="1"/>
    <col min="7940" max="7940" width="13.42578125" style="1" customWidth="1"/>
    <col min="7941" max="7941" width="13.5703125" style="1" customWidth="1"/>
    <col min="7942" max="7942" width="10.42578125" style="1" bestFit="1" customWidth="1"/>
    <col min="7943" max="7943" width="15.42578125" style="1" bestFit="1" customWidth="1"/>
    <col min="7944" max="7944" width="10.42578125" style="1" bestFit="1" customWidth="1"/>
    <col min="7945" max="8192" width="9.140625" style="1"/>
    <col min="8193" max="8193" width="43" style="1" customWidth="1"/>
    <col min="8194" max="8194" width="58.7109375" style="1" customWidth="1"/>
    <col min="8195" max="8195" width="16.85546875" style="1" customWidth="1"/>
    <col min="8196" max="8196" width="13.42578125" style="1" customWidth="1"/>
    <col min="8197" max="8197" width="13.5703125" style="1" customWidth="1"/>
    <col min="8198" max="8198" width="10.42578125" style="1" bestFit="1" customWidth="1"/>
    <col min="8199" max="8199" width="15.42578125" style="1" bestFit="1" customWidth="1"/>
    <col min="8200" max="8200" width="10.42578125" style="1" bestFit="1" customWidth="1"/>
    <col min="8201" max="8448" width="9.140625" style="1"/>
    <col min="8449" max="8449" width="43" style="1" customWidth="1"/>
    <col min="8450" max="8450" width="58.7109375" style="1" customWidth="1"/>
    <col min="8451" max="8451" width="16.85546875" style="1" customWidth="1"/>
    <col min="8452" max="8452" width="13.42578125" style="1" customWidth="1"/>
    <col min="8453" max="8453" width="13.5703125" style="1" customWidth="1"/>
    <col min="8454" max="8454" width="10.42578125" style="1" bestFit="1" customWidth="1"/>
    <col min="8455" max="8455" width="15.42578125" style="1" bestFit="1" customWidth="1"/>
    <col min="8456" max="8456" width="10.42578125" style="1" bestFit="1" customWidth="1"/>
    <col min="8457" max="8704" width="9.140625" style="1"/>
    <col min="8705" max="8705" width="43" style="1" customWidth="1"/>
    <col min="8706" max="8706" width="58.7109375" style="1" customWidth="1"/>
    <col min="8707" max="8707" width="16.85546875" style="1" customWidth="1"/>
    <col min="8708" max="8708" width="13.42578125" style="1" customWidth="1"/>
    <col min="8709" max="8709" width="13.5703125" style="1" customWidth="1"/>
    <col min="8710" max="8710" width="10.42578125" style="1" bestFit="1" customWidth="1"/>
    <col min="8711" max="8711" width="15.42578125" style="1" bestFit="1" customWidth="1"/>
    <col min="8712" max="8712" width="10.42578125" style="1" bestFit="1" customWidth="1"/>
    <col min="8713" max="8960" width="9.140625" style="1"/>
    <col min="8961" max="8961" width="43" style="1" customWidth="1"/>
    <col min="8962" max="8962" width="58.7109375" style="1" customWidth="1"/>
    <col min="8963" max="8963" width="16.85546875" style="1" customWidth="1"/>
    <col min="8964" max="8964" width="13.42578125" style="1" customWidth="1"/>
    <col min="8965" max="8965" width="13.5703125" style="1" customWidth="1"/>
    <col min="8966" max="8966" width="10.42578125" style="1" bestFit="1" customWidth="1"/>
    <col min="8967" max="8967" width="15.42578125" style="1" bestFit="1" customWidth="1"/>
    <col min="8968" max="8968" width="10.42578125" style="1" bestFit="1" customWidth="1"/>
    <col min="8969" max="9216" width="9.140625" style="1"/>
    <col min="9217" max="9217" width="43" style="1" customWidth="1"/>
    <col min="9218" max="9218" width="58.7109375" style="1" customWidth="1"/>
    <col min="9219" max="9219" width="16.85546875" style="1" customWidth="1"/>
    <col min="9220" max="9220" width="13.42578125" style="1" customWidth="1"/>
    <col min="9221" max="9221" width="13.5703125" style="1" customWidth="1"/>
    <col min="9222" max="9222" width="10.42578125" style="1" bestFit="1" customWidth="1"/>
    <col min="9223" max="9223" width="15.42578125" style="1" bestFit="1" customWidth="1"/>
    <col min="9224" max="9224" width="10.42578125" style="1" bestFit="1" customWidth="1"/>
    <col min="9225" max="9472" width="9.140625" style="1"/>
    <col min="9473" max="9473" width="43" style="1" customWidth="1"/>
    <col min="9474" max="9474" width="58.7109375" style="1" customWidth="1"/>
    <col min="9475" max="9475" width="16.85546875" style="1" customWidth="1"/>
    <col min="9476" max="9476" width="13.42578125" style="1" customWidth="1"/>
    <col min="9477" max="9477" width="13.5703125" style="1" customWidth="1"/>
    <col min="9478" max="9478" width="10.42578125" style="1" bestFit="1" customWidth="1"/>
    <col min="9479" max="9479" width="15.42578125" style="1" bestFit="1" customWidth="1"/>
    <col min="9480" max="9480" width="10.42578125" style="1" bestFit="1" customWidth="1"/>
    <col min="9481" max="9728" width="9.140625" style="1"/>
    <col min="9729" max="9729" width="43" style="1" customWidth="1"/>
    <col min="9730" max="9730" width="58.7109375" style="1" customWidth="1"/>
    <col min="9731" max="9731" width="16.85546875" style="1" customWidth="1"/>
    <col min="9732" max="9732" width="13.42578125" style="1" customWidth="1"/>
    <col min="9733" max="9733" width="13.5703125" style="1" customWidth="1"/>
    <col min="9734" max="9734" width="10.42578125" style="1" bestFit="1" customWidth="1"/>
    <col min="9735" max="9735" width="15.42578125" style="1" bestFit="1" customWidth="1"/>
    <col min="9736" max="9736" width="10.42578125" style="1" bestFit="1" customWidth="1"/>
    <col min="9737" max="9984" width="9.140625" style="1"/>
    <col min="9985" max="9985" width="43" style="1" customWidth="1"/>
    <col min="9986" max="9986" width="58.7109375" style="1" customWidth="1"/>
    <col min="9987" max="9987" width="16.85546875" style="1" customWidth="1"/>
    <col min="9988" max="9988" width="13.42578125" style="1" customWidth="1"/>
    <col min="9989" max="9989" width="13.5703125" style="1" customWidth="1"/>
    <col min="9990" max="9990" width="10.42578125" style="1" bestFit="1" customWidth="1"/>
    <col min="9991" max="9991" width="15.42578125" style="1" bestFit="1" customWidth="1"/>
    <col min="9992" max="9992" width="10.42578125" style="1" bestFit="1" customWidth="1"/>
    <col min="9993" max="10240" width="9.140625" style="1"/>
    <col min="10241" max="10241" width="43" style="1" customWidth="1"/>
    <col min="10242" max="10242" width="58.7109375" style="1" customWidth="1"/>
    <col min="10243" max="10243" width="16.85546875" style="1" customWidth="1"/>
    <col min="10244" max="10244" width="13.42578125" style="1" customWidth="1"/>
    <col min="10245" max="10245" width="13.5703125" style="1" customWidth="1"/>
    <col min="10246" max="10246" width="10.42578125" style="1" bestFit="1" customWidth="1"/>
    <col min="10247" max="10247" width="15.42578125" style="1" bestFit="1" customWidth="1"/>
    <col min="10248" max="10248" width="10.42578125" style="1" bestFit="1" customWidth="1"/>
    <col min="10249" max="10496" width="9.140625" style="1"/>
    <col min="10497" max="10497" width="43" style="1" customWidth="1"/>
    <col min="10498" max="10498" width="58.7109375" style="1" customWidth="1"/>
    <col min="10499" max="10499" width="16.85546875" style="1" customWidth="1"/>
    <col min="10500" max="10500" width="13.42578125" style="1" customWidth="1"/>
    <col min="10501" max="10501" width="13.5703125" style="1" customWidth="1"/>
    <col min="10502" max="10502" width="10.42578125" style="1" bestFit="1" customWidth="1"/>
    <col min="10503" max="10503" width="15.42578125" style="1" bestFit="1" customWidth="1"/>
    <col min="10504" max="10504" width="10.42578125" style="1" bestFit="1" customWidth="1"/>
    <col min="10505" max="10752" width="9.140625" style="1"/>
    <col min="10753" max="10753" width="43" style="1" customWidth="1"/>
    <col min="10754" max="10754" width="58.7109375" style="1" customWidth="1"/>
    <col min="10755" max="10755" width="16.85546875" style="1" customWidth="1"/>
    <col min="10756" max="10756" width="13.42578125" style="1" customWidth="1"/>
    <col min="10757" max="10757" width="13.5703125" style="1" customWidth="1"/>
    <col min="10758" max="10758" width="10.42578125" style="1" bestFit="1" customWidth="1"/>
    <col min="10759" max="10759" width="15.42578125" style="1" bestFit="1" customWidth="1"/>
    <col min="10760" max="10760" width="10.42578125" style="1" bestFit="1" customWidth="1"/>
    <col min="10761" max="11008" width="9.140625" style="1"/>
    <col min="11009" max="11009" width="43" style="1" customWidth="1"/>
    <col min="11010" max="11010" width="58.7109375" style="1" customWidth="1"/>
    <col min="11011" max="11011" width="16.85546875" style="1" customWidth="1"/>
    <col min="11012" max="11012" width="13.42578125" style="1" customWidth="1"/>
    <col min="11013" max="11013" width="13.5703125" style="1" customWidth="1"/>
    <col min="11014" max="11014" width="10.42578125" style="1" bestFit="1" customWidth="1"/>
    <col min="11015" max="11015" width="15.42578125" style="1" bestFit="1" customWidth="1"/>
    <col min="11016" max="11016" width="10.42578125" style="1" bestFit="1" customWidth="1"/>
    <col min="11017" max="11264" width="9.140625" style="1"/>
    <col min="11265" max="11265" width="43" style="1" customWidth="1"/>
    <col min="11266" max="11266" width="58.7109375" style="1" customWidth="1"/>
    <col min="11267" max="11267" width="16.85546875" style="1" customWidth="1"/>
    <col min="11268" max="11268" width="13.42578125" style="1" customWidth="1"/>
    <col min="11269" max="11269" width="13.5703125" style="1" customWidth="1"/>
    <col min="11270" max="11270" width="10.42578125" style="1" bestFit="1" customWidth="1"/>
    <col min="11271" max="11271" width="15.42578125" style="1" bestFit="1" customWidth="1"/>
    <col min="11272" max="11272" width="10.42578125" style="1" bestFit="1" customWidth="1"/>
    <col min="11273" max="11520" width="9.140625" style="1"/>
    <col min="11521" max="11521" width="43" style="1" customWidth="1"/>
    <col min="11522" max="11522" width="58.7109375" style="1" customWidth="1"/>
    <col min="11523" max="11523" width="16.85546875" style="1" customWidth="1"/>
    <col min="11524" max="11524" width="13.42578125" style="1" customWidth="1"/>
    <col min="11525" max="11525" width="13.5703125" style="1" customWidth="1"/>
    <col min="11526" max="11526" width="10.42578125" style="1" bestFit="1" customWidth="1"/>
    <col min="11527" max="11527" width="15.42578125" style="1" bestFit="1" customWidth="1"/>
    <col min="11528" max="11528" width="10.42578125" style="1" bestFit="1" customWidth="1"/>
    <col min="11529" max="11776" width="9.140625" style="1"/>
    <col min="11777" max="11777" width="43" style="1" customWidth="1"/>
    <col min="11778" max="11778" width="58.7109375" style="1" customWidth="1"/>
    <col min="11779" max="11779" width="16.85546875" style="1" customWidth="1"/>
    <col min="11780" max="11780" width="13.42578125" style="1" customWidth="1"/>
    <col min="11781" max="11781" width="13.5703125" style="1" customWidth="1"/>
    <col min="11782" max="11782" width="10.42578125" style="1" bestFit="1" customWidth="1"/>
    <col min="11783" max="11783" width="15.42578125" style="1" bestFit="1" customWidth="1"/>
    <col min="11784" max="11784" width="10.42578125" style="1" bestFit="1" customWidth="1"/>
    <col min="11785" max="12032" width="9.140625" style="1"/>
    <col min="12033" max="12033" width="43" style="1" customWidth="1"/>
    <col min="12034" max="12034" width="58.7109375" style="1" customWidth="1"/>
    <col min="12035" max="12035" width="16.85546875" style="1" customWidth="1"/>
    <col min="12036" max="12036" width="13.42578125" style="1" customWidth="1"/>
    <col min="12037" max="12037" width="13.5703125" style="1" customWidth="1"/>
    <col min="12038" max="12038" width="10.42578125" style="1" bestFit="1" customWidth="1"/>
    <col min="12039" max="12039" width="15.42578125" style="1" bestFit="1" customWidth="1"/>
    <col min="12040" max="12040" width="10.42578125" style="1" bestFit="1" customWidth="1"/>
    <col min="12041" max="12288" width="9.140625" style="1"/>
    <col min="12289" max="12289" width="43" style="1" customWidth="1"/>
    <col min="12290" max="12290" width="58.7109375" style="1" customWidth="1"/>
    <col min="12291" max="12291" width="16.85546875" style="1" customWidth="1"/>
    <col min="12292" max="12292" width="13.42578125" style="1" customWidth="1"/>
    <col min="12293" max="12293" width="13.5703125" style="1" customWidth="1"/>
    <col min="12294" max="12294" width="10.42578125" style="1" bestFit="1" customWidth="1"/>
    <col min="12295" max="12295" width="15.42578125" style="1" bestFit="1" customWidth="1"/>
    <col min="12296" max="12296" width="10.42578125" style="1" bestFit="1" customWidth="1"/>
    <col min="12297" max="12544" width="9.140625" style="1"/>
    <col min="12545" max="12545" width="43" style="1" customWidth="1"/>
    <col min="12546" max="12546" width="58.7109375" style="1" customWidth="1"/>
    <col min="12547" max="12547" width="16.85546875" style="1" customWidth="1"/>
    <col min="12548" max="12548" width="13.42578125" style="1" customWidth="1"/>
    <col min="12549" max="12549" width="13.5703125" style="1" customWidth="1"/>
    <col min="12550" max="12550" width="10.42578125" style="1" bestFit="1" customWidth="1"/>
    <col min="12551" max="12551" width="15.42578125" style="1" bestFit="1" customWidth="1"/>
    <col min="12552" max="12552" width="10.42578125" style="1" bestFit="1" customWidth="1"/>
    <col min="12553" max="12800" width="9.140625" style="1"/>
    <col min="12801" max="12801" width="43" style="1" customWidth="1"/>
    <col min="12802" max="12802" width="58.7109375" style="1" customWidth="1"/>
    <col min="12803" max="12803" width="16.85546875" style="1" customWidth="1"/>
    <col min="12804" max="12804" width="13.42578125" style="1" customWidth="1"/>
    <col min="12805" max="12805" width="13.5703125" style="1" customWidth="1"/>
    <col min="12806" max="12806" width="10.42578125" style="1" bestFit="1" customWidth="1"/>
    <col min="12807" max="12807" width="15.42578125" style="1" bestFit="1" customWidth="1"/>
    <col min="12808" max="12808" width="10.42578125" style="1" bestFit="1" customWidth="1"/>
    <col min="12809" max="13056" width="9.140625" style="1"/>
    <col min="13057" max="13057" width="43" style="1" customWidth="1"/>
    <col min="13058" max="13058" width="58.7109375" style="1" customWidth="1"/>
    <col min="13059" max="13059" width="16.85546875" style="1" customWidth="1"/>
    <col min="13060" max="13060" width="13.42578125" style="1" customWidth="1"/>
    <col min="13061" max="13061" width="13.5703125" style="1" customWidth="1"/>
    <col min="13062" max="13062" width="10.42578125" style="1" bestFit="1" customWidth="1"/>
    <col min="13063" max="13063" width="15.42578125" style="1" bestFit="1" customWidth="1"/>
    <col min="13064" max="13064" width="10.42578125" style="1" bestFit="1" customWidth="1"/>
    <col min="13065" max="13312" width="9.140625" style="1"/>
    <col min="13313" max="13313" width="43" style="1" customWidth="1"/>
    <col min="13314" max="13314" width="58.7109375" style="1" customWidth="1"/>
    <col min="13315" max="13315" width="16.85546875" style="1" customWidth="1"/>
    <col min="13316" max="13316" width="13.42578125" style="1" customWidth="1"/>
    <col min="13317" max="13317" width="13.5703125" style="1" customWidth="1"/>
    <col min="13318" max="13318" width="10.42578125" style="1" bestFit="1" customWidth="1"/>
    <col min="13319" max="13319" width="15.42578125" style="1" bestFit="1" customWidth="1"/>
    <col min="13320" max="13320" width="10.42578125" style="1" bestFit="1" customWidth="1"/>
    <col min="13321" max="13568" width="9.140625" style="1"/>
    <col min="13569" max="13569" width="43" style="1" customWidth="1"/>
    <col min="13570" max="13570" width="58.7109375" style="1" customWidth="1"/>
    <col min="13571" max="13571" width="16.85546875" style="1" customWidth="1"/>
    <col min="13572" max="13572" width="13.42578125" style="1" customWidth="1"/>
    <col min="13573" max="13573" width="13.5703125" style="1" customWidth="1"/>
    <col min="13574" max="13574" width="10.42578125" style="1" bestFit="1" customWidth="1"/>
    <col min="13575" max="13575" width="15.42578125" style="1" bestFit="1" customWidth="1"/>
    <col min="13576" max="13576" width="10.42578125" style="1" bestFit="1" customWidth="1"/>
    <col min="13577" max="13824" width="9.140625" style="1"/>
    <col min="13825" max="13825" width="43" style="1" customWidth="1"/>
    <col min="13826" max="13826" width="58.7109375" style="1" customWidth="1"/>
    <col min="13827" max="13827" width="16.85546875" style="1" customWidth="1"/>
    <col min="13828" max="13828" width="13.42578125" style="1" customWidth="1"/>
    <col min="13829" max="13829" width="13.5703125" style="1" customWidth="1"/>
    <col min="13830" max="13830" width="10.42578125" style="1" bestFit="1" customWidth="1"/>
    <col min="13831" max="13831" width="15.42578125" style="1" bestFit="1" customWidth="1"/>
    <col min="13832" max="13832" width="10.42578125" style="1" bestFit="1" customWidth="1"/>
    <col min="13833" max="14080" width="9.140625" style="1"/>
    <col min="14081" max="14081" width="43" style="1" customWidth="1"/>
    <col min="14082" max="14082" width="58.7109375" style="1" customWidth="1"/>
    <col min="14083" max="14083" width="16.85546875" style="1" customWidth="1"/>
    <col min="14084" max="14084" width="13.42578125" style="1" customWidth="1"/>
    <col min="14085" max="14085" width="13.5703125" style="1" customWidth="1"/>
    <col min="14086" max="14086" width="10.42578125" style="1" bestFit="1" customWidth="1"/>
    <col min="14087" max="14087" width="15.42578125" style="1" bestFit="1" customWidth="1"/>
    <col min="14088" max="14088" width="10.42578125" style="1" bestFit="1" customWidth="1"/>
    <col min="14089" max="14336" width="9.140625" style="1"/>
    <col min="14337" max="14337" width="43" style="1" customWidth="1"/>
    <col min="14338" max="14338" width="58.7109375" style="1" customWidth="1"/>
    <col min="14339" max="14339" width="16.85546875" style="1" customWidth="1"/>
    <col min="14340" max="14340" width="13.42578125" style="1" customWidth="1"/>
    <col min="14341" max="14341" width="13.5703125" style="1" customWidth="1"/>
    <col min="14342" max="14342" width="10.42578125" style="1" bestFit="1" customWidth="1"/>
    <col min="14343" max="14343" width="15.42578125" style="1" bestFit="1" customWidth="1"/>
    <col min="14344" max="14344" width="10.42578125" style="1" bestFit="1" customWidth="1"/>
    <col min="14345" max="14592" width="9.140625" style="1"/>
    <col min="14593" max="14593" width="43" style="1" customWidth="1"/>
    <col min="14594" max="14594" width="58.7109375" style="1" customWidth="1"/>
    <col min="14595" max="14595" width="16.85546875" style="1" customWidth="1"/>
    <col min="14596" max="14596" width="13.42578125" style="1" customWidth="1"/>
    <col min="14597" max="14597" width="13.5703125" style="1" customWidth="1"/>
    <col min="14598" max="14598" width="10.42578125" style="1" bestFit="1" customWidth="1"/>
    <col min="14599" max="14599" width="15.42578125" style="1" bestFit="1" customWidth="1"/>
    <col min="14600" max="14600" width="10.42578125" style="1" bestFit="1" customWidth="1"/>
    <col min="14601" max="14848" width="9.140625" style="1"/>
    <col min="14849" max="14849" width="43" style="1" customWidth="1"/>
    <col min="14850" max="14850" width="58.7109375" style="1" customWidth="1"/>
    <col min="14851" max="14851" width="16.85546875" style="1" customWidth="1"/>
    <col min="14852" max="14852" width="13.42578125" style="1" customWidth="1"/>
    <col min="14853" max="14853" width="13.5703125" style="1" customWidth="1"/>
    <col min="14854" max="14854" width="10.42578125" style="1" bestFit="1" customWidth="1"/>
    <col min="14855" max="14855" width="15.42578125" style="1" bestFit="1" customWidth="1"/>
    <col min="14856" max="14856" width="10.42578125" style="1" bestFit="1" customWidth="1"/>
    <col min="14857" max="15104" width="9.140625" style="1"/>
    <col min="15105" max="15105" width="43" style="1" customWidth="1"/>
    <col min="15106" max="15106" width="58.7109375" style="1" customWidth="1"/>
    <col min="15107" max="15107" width="16.85546875" style="1" customWidth="1"/>
    <col min="15108" max="15108" width="13.42578125" style="1" customWidth="1"/>
    <col min="15109" max="15109" width="13.5703125" style="1" customWidth="1"/>
    <col min="15110" max="15110" width="10.42578125" style="1" bestFit="1" customWidth="1"/>
    <col min="15111" max="15111" width="15.42578125" style="1" bestFit="1" customWidth="1"/>
    <col min="15112" max="15112" width="10.42578125" style="1" bestFit="1" customWidth="1"/>
    <col min="15113" max="15360" width="9.140625" style="1"/>
    <col min="15361" max="15361" width="43" style="1" customWidth="1"/>
    <col min="15362" max="15362" width="58.7109375" style="1" customWidth="1"/>
    <col min="15363" max="15363" width="16.85546875" style="1" customWidth="1"/>
    <col min="15364" max="15364" width="13.42578125" style="1" customWidth="1"/>
    <col min="15365" max="15365" width="13.5703125" style="1" customWidth="1"/>
    <col min="15366" max="15366" width="10.42578125" style="1" bestFit="1" customWidth="1"/>
    <col min="15367" max="15367" width="15.42578125" style="1" bestFit="1" customWidth="1"/>
    <col min="15368" max="15368" width="10.42578125" style="1" bestFit="1" customWidth="1"/>
    <col min="15369" max="15616" width="9.140625" style="1"/>
    <col min="15617" max="15617" width="43" style="1" customWidth="1"/>
    <col min="15618" max="15618" width="58.7109375" style="1" customWidth="1"/>
    <col min="15619" max="15619" width="16.85546875" style="1" customWidth="1"/>
    <col min="15620" max="15620" width="13.42578125" style="1" customWidth="1"/>
    <col min="15621" max="15621" width="13.5703125" style="1" customWidth="1"/>
    <col min="15622" max="15622" width="10.42578125" style="1" bestFit="1" customWidth="1"/>
    <col min="15623" max="15623" width="15.42578125" style="1" bestFit="1" customWidth="1"/>
    <col min="15624" max="15624" width="10.42578125" style="1" bestFit="1" customWidth="1"/>
    <col min="15625" max="15872" width="9.140625" style="1"/>
    <col min="15873" max="15873" width="43" style="1" customWidth="1"/>
    <col min="15874" max="15874" width="58.7109375" style="1" customWidth="1"/>
    <col min="15875" max="15875" width="16.85546875" style="1" customWidth="1"/>
    <col min="15876" max="15876" width="13.42578125" style="1" customWidth="1"/>
    <col min="15877" max="15877" width="13.5703125" style="1" customWidth="1"/>
    <col min="15878" max="15878" width="10.42578125" style="1" bestFit="1" customWidth="1"/>
    <col min="15879" max="15879" width="15.42578125" style="1" bestFit="1" customWidth="1"/>
    <col min="15880" max="15880" width="10.42578125" style="1" bestFit="1" customWidth="1"/>
    <col min="15881" max="16128" width="9.140625" style="1"/>
    <col min="16129" max="16129" width="43" style="1" customWidth="1"/>
    <col min="16130" max="16130" width="58.7109375" style="1" customWidth="1"/>
    <col min="16131" max="16131" width="16.85546875" style="1" customWidth="1"/>
    <col min="16132" max="16132" width="13.42578125" style="1" customWidth="1"/>
    <col min="16133" max="16133" width="13.5703125" style="1" customWidth="1"/>
    <col min="16134" max="16134" width="10.42578125" style="1" bestFit="1" customWidth="1"/>
    <col min="16135" max="16135" width="15.42578125" style="1" bestFit="1" customWidth="1"/>
    <col min="16136" max="16136" width="10.42578125" style="1" bestFit="1" customWidth="1"/>
    <col min="16137" max="16384" width="9.140625" style="1"/>
  </cols>
  <sheetData>
    <row r="1" spans="1:8" ht="18.75" customHeight="1" x14ac:dyDescent="0.3">
      <c r="A1" s="414" t="s">
        <v>1126</v>
      </c>
      <c r="B1" s="414"/>
      <c r="C1" s="414"/>
      <c r="D1" s="414"/>
      <c r="E1" s="414"/>
    </row>
    <row r="2" spans="1:8" ht="47.25" customHeight="1" x14ac:dyDescent="0.3">
      <c r="A2" s="414"/>
      <c r="B2" s="414"/>
      <c r="C2" s="414"/>
      <c r="D2" s="414"/>
      <c r="E2" s="414"/>
    </row>
    <row r="3" spans="1:8" ht="30" customHeight="1" x14ac:dyDescent="0.3">
      <c r="A3" s="415" t="s">
        <v>0</v>
      </c>
      <c r="B3" s="415"/>
      <c r="C3" s="415"/>
      <c r="D3" s="415"/>
      <c r="E3" s="415"/>
    </row>
    <row r="4" spans="1:8" ht="24" customHeight="1" x14ac:dyDescent="0.3">
      <c r="A4" s="2"/>
      <c r="B4" s="2"/>
      <c r="C4" s="2"/>
      <c r="D4" s="2"/>
      <c r="E4" s="3" t="s">
        <v>1</v>
      </c>
    </row>
    <row r="5" spans="1:8" ht="76.5" customHeight="1" x14ac:dyDescent="0.3">
      <c r="A5" s="416" t="s">
        <v>2</v>
      </c>
      <c r="B5" s="416" t="s">
        <v>3</v>
      </c>
      <c r="C5" s="418" t="s">
        <v>4</v>
      </c>
      <c r="D5" s="418"/>
      <c r="E5" s="418"/>
    </row>
    <row r="6" spans="1:8" x14ac:dyDescent="0.3">
      <c r="A6" s="417"/>
      <c r="B6" s="417"/>
      <c r="C6" s="4" t="s">
        <v>5</v>
      </c>
      <c r="D6" s="4" t="s">
        <v>6</v>
      </c>
      <c r="E6" s="4" t="s">
        <v>7</v>
      </c>
    </row>
    <row r="7" spans="1:8" s="8" customFormat="1" ht="18" customHeight="1" x14ac:dyDescent="0.3">
      <c r="A7" s="5">
        <v>1</v>
      </c>
      <c r="B7" s="5">
        <v>2</v>
      </c>
      <c r="C7" s="5">
        <v>3</v>
      </c>
      <c r="D7" s="6">
        <v>4</v>
      </c>
      <c r="E7" s="7">
        <v>5</v>
      </c>
    </row>
    <row r="8" spans="1:8" ht="41.25" customHeight="1" x14ac:dyDescent="0.3">
      <c r="A8" s="9" t="s">
        <v>8</v>
      </c>
      <c r="B8" s="10" t="s">
        <v>9</v>
      </c>
      <c r="C8" s="11">
        <f>C10+C12</f>
        <v>-2000</v>
      </c>
      <c r="D8" s="11">
        <f>D10+D12</f>
        <v>-2000</v>
      </c>
      <c r="E8" s="11">
        <f>E10+E12</f>
        <v>-300</v>
      </c>
    </row>
    <row r="9" spans="1:8" ht="54" customHeight="1" x14ac:dyDescent="0.3">
      <c r="A9" s="12" t="s">
        <v>10</v>
      </c>
      <c r="B9" s="13" t="s">
        <v>11</v>
      </c>
      <c r="C9" s="14">
        <f>C10</f>
        <v>0</v>
      </c>
      <c r="D9" s="14">
        <f>D10</f>
        <v>0</v>
      </c>
      <c r="E9" s="14">
        <f>E10</f>
        <v>0</v>
      </c>
    </row>
    <row r="10" spans="1:8" ht="54" customHeight="1" x14ac:dyDescent="0.3">
      <c r="A10" s="12" t="s">
        <v>12</v>
      </c>
      <c r="B10" s="13" t="s">
        <v>13</v>
      </c>
      <c r="C10" s="14"/>
      <c r="D10" s="14">
        <v>0</v>
      </c>
      <c r="E10" s="14">
        <v>0</v>
      </c>
    </row>
    <row r="11" spans="1:8" ht="51.75" customHeight="1" x14ac:dyDescent="0.3">
      <c r="A11" s="15" t="s">
        <v>14</v>
      </c>
      <c r="B11" s="16" t="s">
        <v>15</v>
      </c>
      <c r="C11" s="14">
        <f>C12</f>
        <v>-2000</v>
      </c>
      <c r="D11" s="14">
        <f>D12</f>
        <v>-2000</v>
      </c>
      <c r="E11" s="14">
        <f>E12</f>
        <v>-300</v>
      </c>
    </row>
    <row r="12" spans="1:8" ht="51.75" customHeight="1" x14ac:dyDescent="0.3">
      <c r="A12" s="15" t="s">
        <v>16</v>
      </c>
      <c r="B12" s="16" t="s">
        <v>17</v>
      </c>
      <c r="C12" s="17">
        <v>-2000</v>
      </c>
      <c r="D12" s="17">
        <v>-2000</v>
      </c>
      <c r="E12" s="17">
        <v>-300</v>
      </c>
    </row>
    <row r="13" spans="1:8" ht="31.5" x14ac:dyDescent="0.3">
      <c r="A13" s="5" t="s">
        <v>18</v>
      </c>
      <c r="B13" s="18" t="s">
        <v>19</v>
      </c>
      <c r="C13" s="19">
        <f>C18+C14</f>
        <v>35088</v>
      </c>
      <c r="D13" s="19">
        <f>D18+D14</f>
        <v>0</v>
      </c>
      <c r="E13" s="19">
        <f>E18+E14</f>
        <v>0</v>
      </c>
      <c r="H13" s="20"/>
    </row>
    <row r="14" spans="1:8" x14ac:dyDescent="0.3">
      <c r="A14" s="21" t="s">
        <v>20</v>
      </c>
      <c r="B14" s="22" t="s">
        <v>21</v>
      </c>
      <c r="C14" s="23">
        <f t="shared" ref="C14:E16" si="0">C15</f>
        <v>-1245618.6000000001</v>
      </c>
      <c r="D14" s="23">
        <f t="shared" si="0"/>
        <v>-665311.80000000005</v>
      </c>
      <c r="E14" s="23">
        <f t="shared" si="0"/>
        <v>-746657.1</v>
      </c>
    </row>
    <row r="15" spans="1:8" x14ac:dyDescent="0.3">
      <c r="A15" s="21" t="s">
        <v>22</v>
      </c>
      <c r="B15" s="22" t="s">
        <v>23</v>
      </c>
      <c r="C15" s="23">
        <f t="shared" si="0"/>
        <v>-1245618.6000000001</v>
      </c>
      <c r="D15" s="23">
        <f t="shared" si="0"/>
        <v>-665311.80000000005</v>
      </c>
      <c r="E15" s="23">
        <f t="shared" si="0"/>
        <v>-746657.1</v>
      </c>
      <c r="F15" s="20"/>
    </row>
    <row r="16" spans="1:8" ht="31.5" x14ac:dyDescent="0.3">
      <c r="A16" s="21" t="s">
        <v>24</v>
      </c>
      <c r="B16" s="22" t="s">
        <v>25</v>
      </c>
      <c r="C16" s="23">
        <f t="shared" si="0"/>
        <v>-1245618.6000000001</v>
      </c>
      <c r="D16" s="23">
        <f t="shared" si="0"/>
        <v>-665311.80000000005</v>
      </c>
      <c r="E16" s="23">
        <f t="shared" si="0"/>
        <v>-746657.1</v>
      </c>
    </row>
    <row r="17" spans="1:8" ht="31.5" x14ac:dyDescent="0.3">
      <c r="A17" s="21" t="s">
        <v>26</v>
      </c>
      <c r="B17" s="22" t="s">
        <v>27</v>
      </c>
      <c r="C17" s="24">
        <f>-1245618.6-C9</f>
        <v>-1245618.6000000001</v>
      </c>
      <c r="D17" s="24">
        <f>-665311.8-D9</f>
        <v>-665311.80000000005</v>
      </c>
      <c r="E17" s="24">
        <f>-746657.1-E9</f>
        <v>-746657.1</v>
      </c>
      <c r="H17" s="20"/>
    </row>
    <row r="18" spans="1:8" x14ac:dyDescent="0.3">
      <c r="A18" s="21" t="s">
        <v>28</v>
      </c>
      <c r="B18" s="22" t="s">
        <v>29</v>
      </c>
      <c r="C18" s="24">
        <f t="shared" ref="C18:E20" si="1">C19</f>
        <v>1280706.6000000001</v>
      </c>
      <c r="D18" s="24">
        <f t="shared" si="1"/>
        <v>665311.80000000005</v>
      </c>
      <c r="E18" s="24">
        <f t="shared" si="1"/>
        <v>746657.1</v>
      </c>
      <c r="H18" s="20"/>
    </row>
    <row r="19" spans="1:8" x14ac:dyDescent="0.3">
      <c r="A19" s="21" t="s">
        <v>30</v>
      </c>
      <c r="B19" s="22" t="s">
        <v>31</v>
      </c>
      <c r="C19" s="24">
        <f t="shared" si="1"/>
        <v>1280706.6000000001</v>
      </c>
      <c r="D19" s="24">
        <f t="shared" si="1"/>
        <v>665311.80000000005</v>
      </c>
      <c r="E19" s="24">
        <f t="shared" si="1"/>
        <v>746657.1</v>
      </c>
    </row>
    <row r="20" spans="1:8" ht="22.5" customHeight="1" x14ac:dyDescent="0.3">
      <c r="A20" s="21" t="s">
        <v>32</v>
      </c>
      <c r="B20" s="22" t="s">
        <v>33</v>
      </c>
      <c r="C20" s="24">
        <f t="shared" si="1"/>
        <v>1280706.6000000001</v>
      </c>
      <c r="D20" s="24">
        <f t="shared" si="1"/>
        <v>665311.80000000005</v>
      </c>
      <c r="E20" s="24">
        <f t="shared" si="1"/>
        <v>746657.1</v>
      </c>
      <c r="F20" s="20"/>
    </row>
    <row r="21" spans="1:8" ht="36.75" customHeight="1" x14ac:dyDescent="0.3">
      <c r="A21" s="21" t="s">
        <v>34</v>
      </c>
      <c r="B21" s="22" t="s">
        <v>35</v>
      </c>
      <c r="C21" s="24">
        <f>1278706.6-C11</f>
        <v>1280706.6000000001</v>
      </c>
      <c r="D21" s="24">
        <f>663311.8-'Прил 1'!D11</f>
        <v>665311.80000000005</v>
      </c>
      <c r="E21" s="24">
        <f>746357.1-'Прил 1'!E11</f>
        <v>746657.1</v>
      </c>
      <c r="G21" s="20"/>
    </row>
    <row r="22" spans="1:8" ht="30.75" customHeight="1" x14ac:dyDescent="0.3">
      <c r="A22" s="25" t="s">
        <v>36</v>
      </c>
      <c r="B22" s="18" t="s">
        <v>37</v>
      </c>
      <c r="C22" s="19">
        <v>0</v>
      </c>
      <c r="D22" s="19">
        <v>0</v>
      </c>
      <c r="E22" s="19">
        <v>0</v>
      </c>
      <c r="G22" s="20"/>
    </row>
    <row r="23" spans="1:8" x14ac:dyDescent="0.3">
      <c r="A23" s="5" t="s">
        <v>38</v>
      </c>
      <c r="B23" s="26"/>
      <c r="C23" s="27">
        <f>C13+C8</f>
        <v>33088</v>
      </c>
      <c r="D23" s="27">
        <f>D13+D11</f>
        <v>-2000</v>
      </c>
      <c r="E23" s="27">
        <f>E13+E11</f>
        <v>-300</v>
      </c>
      <c r="G23" s="20"/>
    </row>
    <row r="24" spans="1:8" x14ac:dyDescent="0.3">
      <c r="A24" s="2"/>
      <c r="B24" s="28"/>
      <c r="C24" s="29"/>
      <c r="D24" s="2"/>
      <c r="H24" s="20"/>
    </row>
    <row r="25" spans="1:8" ht="0.75" customHeight="1" x14ac:dyDescent="0.3">
      <c r="A25" s="411" t="s">
        <v>39</v>
      </c>
      <c r="B25" s="411"/>
      <c r="C25" s="411"/>
    </row>
    <row r="26" spans="1:8" x14ac:dyDescent="0.3">
      <c r="B26" s="30"/>
    </row>
    <row r="27" spans="1:8" hidden="1" x14ac:dyDescent="0.3">
      <c r="B27" s="30"/>
      <c r="C27" s="20"/>
    </row>
    <row r="28" spans="1:8" hidden="1" x14ac:dyDescent="0.3">
      <c r="A28" s="20"/>
      <c r="B28" s="412"/>
      <c r="C28" s="413"/>
    </row>
    <row r="29" spans="1:8" hidden="1" x14ac:dyDescent="0.3">
      <c r="B29" s="30"/>
    </row>
    <row r="30" spans="1:8" hidden="1" x14ac:dyDescent="0.3">
      <c r="B30" s="30"/>
    </row>
    <row r="31" spans="1:8" hidden="1" x14ac:dyDescent="0.3">
      <c r="B31" s="30"/>
    </row>
    <row r="32" spans="1:8" hidden="1" x14ac:dyDescent="0.3">
      <c r="B32" s="30"/>
    </row>
    <row r="33" spans="2:3" hidden="1" x14ac:dyDescent="0.3">
      <c r="B33" s="30"/>
      <c r="C33" s="20"/>
    </row>
    <row r="34" spans="2:3" hidden="1" x14ac:dyDescent="0.3">
      <c r="B34" s="30"/>
    </row>
    <row r="35" spans="2:3" x14ac:dyDescent="0.3">
      <c r="B35" s="30"/>
      <c r="C35" s="20"/>
    </row>
    <row r="36" spans="2:3" x14ac:dyDescent="0.3">
      <c r="B36" s="30"/>
    </row>
    <row r="37" spans="2:3" x14ac:dyDescent="0.3">
      <c r="B37" s="30"/>
    </row>
    <row r="38" spans="2:3" x14ac:dyDescent="0.3">
      <c r="B38" s="30"/>
    </row>
    <row r="39" spans="2:3" x14ac:dyDescent="0.3">
      <c r="B39" s="30"/>
    </row>
    <row r="40" spans="2:3" x14ac:dyDescent="0.3">
      <c r="B40" s="30"/>
    </row>
    <row r="41" spans="2:3" x14ac:dyDescent="0.3">
      <c r="B41" s="30"/>
    </row>
    <row r="42" spans="2:3" x14ac:dyDescent="0.3">
      <c r="B42" s="30"/>
    </row>
    <row r="43" spans="2:3" x14ac:dyDescent="0.3">
      <c r="B43" s="30"/>
    </row>
    <row r="44" spans="2:3" x14ac:dyDescent="0.3">
      <c r="B44" s="30"/>
    </row>
    <row r="45" spans="2:3" x14ac:dyDescent="0.3">
      <c r="B45" s="30"/>
    </row>
    <row r="46" spans="2:3" x14ac:dyDescent="0.3">
      <c r="B46" s="30"/>
    </row>
    <row r="47" spans="2:3" x14ac:dyDescent="0.3">
      <c r="B47" s="30"/>
    </row>
    <row r="48" spans="2:3" x14ac:dyDescent="0.3">
      <c r="B48" s="30"/>
    </row>
    <row r="49" spans="2:2" x14ac:dyDescent="0.3">
      <c r="B49" s="30"/>
    </row>
    <row r="50" spans="2:2" x14ac:dyDescent="0.3">
      <c r="B50" s="30"/>
    </row>
    <row r="51" spans="2:2" x14ac:dyDescent="0.3">
      <c r="B51" s="30"/>
    </row>
    <row r="52" spans="2:2" x14ac:dyDescent="0.3">
      <c r="B52" s="30"/>
    </row>
    <row r="53" spans="2:2" x14ac:dyDescent="0.3">
      <c r="B53" s="30"/>
    </row>
    <row r="54" spans="2:2" x14ac:dyDescent="0.3">
      <c r="B54" s="30"/>
    </row>
    <row r="55" spans="2:2" x14ac:dyDescent="0.3">
      <c r="B55" s="30"/>
    </row>
    <row r="56" spans="2:2" x14ac:dyDescent="0.3">
      <c r="B56" s="30"/>
    </row>
    <row r="57" spans="2:2" x14ac:dyDescent="0.3">
      <c r="B57" s="30"/>
    </row>
    <row r="58" spans="2:2" x14ac:dyDescent="0.3">
      <c r="B58" s="30"/>
    </row>
    <row r="59" spans="2:2" x14ac:dyDescent="0.3">
      <c r="B59" s="30"/>
    </row>
    <row r="60" spans="2:2" x14ac:dyDescent="0.3">
      <c r="B60" s="30"/>
    </row>
    <row r="61" spans="2:2" x14ac:dyDescent="0.3">
      <c r="B61" s="30"/>
    </row>
    <row r="62" spans="2:2" x14ac:dyDescent="0.3">
      <c r="B62" s="30"/>
    </row>
    <row r="63" spans="2:2" x14ac:dyDescent="0.3">
      <c r="B63" s="30"/>
    </row>
    <row r="64" spans="2:2" x14ac:dyDescent="0.3">
      <c r="B64" s="30"/>
    </row>
    <row r="65" spans="2:2" x14ac:dyDescent="0.3">
      <c r="B65" s="30"/>
    </row>
    <row r="66" spans="2:2" x14ac:dyDescent="0.3">
      <c r="B66" s="30"/>
    </row>
    <row r="67" spans="2:2" x14ac:dyDescent="0.3">
      <c r="B67" s="30"/>
    </row>
    <row r="68" spans="2:2" x14ac:dyDescent="0.3">
      <c r="B68" s="30"/>
    </row>
    <row r="69" spans="2:2" x14ac:dyDescent="0.3">
      <c r="B69" s="30"/>
    </row>
    <row r="70" spans="2:2" x14ac:dyDescent="0.3">
      <c r="B70" s="30"/>
    </row>
    <row r="71" spans="2:2" x14ac:dyDescent="0.3">
      <c r="B71" s="30"/>
    </row>
    <row r="72" spans="2:2" x14ac:dyDescent="0.3">
      <c r="B72" s="30"/>
    </row>
    <row r="73" spans="2:2" x14ac:dyDescent="0.3">
      <c r="B73" s="30"/>
    </row>
    <row r="74" spans="2:2" x14ac:dyDescent="0.3">
      <c r="B74" s="30"/>
    </row>
    <row r="75" spans="2:2" x14ac:dyDescent="0.3">
      <c r="B75" s="30"/>
    </row>
    <row r="76" spans="2:2" x14ac:dyDescent="0.3">
      <c r="B76" s="30"/>
    </row>
    <row r="77" spans="2:2" x14ac:dyDescent="0.3">
      <c r="B77" s="30"/>
    </row>
    <row r="78" spans="2:2" x14ac:dyDescent="0.3">
      <c r="B78" s="30"/>
    </row>
    <row r="79" spans="2:2" x14ac:dyDescent="0.3">
      <c r="B79" s="30"/>
    </row>
    <row r="80" spans="2:2" x14ac:dyDescent="0.3">
      <c r="B80" s="30"/>
    </row>
    <row r="81" spans="2:2" x14ac:dyDescent="0.3">
      <c r="B81" s="30"/>
    </row>
    <row r="82" spans="2:2" x14ac:dyDescent="0.3">
      <c r="B82" s="30"/>
    </row>
    <row r="83" spans="2:2" x14ac:dyDescent="0.3">
      <c r="B83" s="30"/>
    </row>
    <row r="84" spans="2:2" x14ac:dyDescent="0.3">
      <c r="B84" s="30"/>
    </row>
    <row r="85" spans="2:2" x14ac:dyDescent="0.3">
      <c r="B85" s="30"/>
    </row>
    <row r="86" spans="2:2" x14ac:dyDescent="0.3">
      <c r="B86" s="30"/>
    </row>
    <row r="87" spans="2:2" x14ac:dyDescent="0.3">
      <c r="B87" s="30"/>
    </row>
    <row r="88" spans="2:2" x14ac:dyDescent="0.3">
      <c r="B88" s="30"/>
    </row>
    <row r="89" spans="2:2" x14ac:dyDescent="0.3">
      <c r="B89" s="30"/>
    </row>
    <row r="90" spans="2:2" x14ac:dyDescent="0.3">
      <c r="B90" s="30"/>
    </row>
    <row r="91" spans="2:2" x14ac:dyDescent="0.3">
      <c r="B91" s="30"/>
    </row>
    <row r="92" spans="2:2" x14ac:dyDescent="0.3">
      <c r="B92" s="30"/>
    </row>
    <row r="93" spans="2:2" x14ac:dyDescent="0.3">
      <c r="B93" s="30"/>
    </row>
    <row r="94" spans="2:2" x14ac:dyDescent="0.3">
      <c r="B94" s="30"/>
    </row>
    <row r="95" spans="2:2" x14ac:dyDescent="0.3">
      <c r="B95" s="30"/>
    </row>
    <row r="96" spans="2:2" x14ac:dyDescent="0.3">
      <c r="B96" s="30"/>
    </row>
    <row r="97" spans="2:2" x14ac:dyDescent="0.3">
      <c r="B97" s="30"/>
    </row>
    <row r="98" spans="2:2" x14ac:dyDescent="0.3">
      <c r="B98" s="30"/>
    </row>
    <row r="99" spans="2:2" x14ac:dyDescent="0.3">
      <c r="B99" s="30"/>
    </row>
    <row r="100" spans="2:2" x14ac:dyDescent="0.3">
      <c r="B100" s="30"/>
    </row>
    <row r="101" spans="2:2" x14ac:dyDescent="0.3">
      <c r="B101" s="30"/>
    </row>
    <row r="102" spans="2:2" x14ac:dyDescent="0.3">
      <c r="B102" s="30"/>
    </row>
    <row r="103" spans="2:2" x14ac:dyDescent="0.3">
      <c r="B103" s="30"/>
    </row>
    <row r="104" spans="2:2" x14ac:dyDescent="0.3">
      <c r="B104" s="30"/>
    </row>
    <row r="105" spans="2:2" x14ac:dyDescent="0.3">
      <c r="B105" s="30"/>
    </row>
    <row r="106" spans="2:2" x14ac:dyDescent="0.3">
      <c r="B106" s="30"/>
    </row>
    <row r="107" spans="2:2" x14ac:dyDescent="0.3">
      <c r="B107" s="30"/>
    </row>
    <row r="108" spans="2:2" x14ac:dyDescent="0.3">
      <c r="B108" s="30"/>
    </row>
    <row r="109" spans="2:2" x14ac:dyDescent="0.3">
      <c r="B109" s="30"/>
    </row>
  </sheetData>
  <sheetProtection password="C281" sheet="1" formatCells="0" formatColumns="0" formatRows="0" insertColumns="0" insertRows="0" insertHyperlinks="0" deleteColumns="0" deleteRows="0" sort="0" autoFilter="0" pivotTables="0"/>
  <mergeCells count="7">
    <mergeCell ref="A25:C25"/>
    <mergeCell ref="B28:C28"/>
    <mergeCell ref="A1:E2"/>
    <mergeCell ref="A3:E3"/>
    <mergeCell ref="A5:A6"/>
    <mergeCell ref="B5:B6"/>
    <mergeCell ref="C5:E5"/>
  </mergeCells>
  <pageMargins left="0.49" right="0.17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3"/>
  <sheetViews>
    <sheetView view="pageBreakPreview" zoomScale="82" zoomScaleNormal="82" zoomScaleSheetLayoutView="82" workbookViewId="0">
      <selection activeCell="O206" sqref="O206"/>
    </sheetView>
  </sheetViews>
  <sheetFormatPr defaultColWidth="10.5703125" defaultRowHeight="15" x14ac:dyDescent="0.25"/>
  <cols>
    <col min="1" max="1" width="26.28515625" style="293" customWidth="1"/>
    <col min="2" max="2" width="76.42578125" style="293" customWidth="1"/>
    <col min="3" max="3" width="13.28515625" style="293" hidden="1" customWidth="1"/>
    <col min="4" max="4" width="13.28515625" style="293" customWidth="1"/>
    <col min="5" max="5" width="10.42578125" style="293" hidden="1" customWidth="1"/>
    <col min="6" max="6" width="15.140625" style="293" hidden="1" customWidth="1"/>
    <col min="7" max="7" width="15.140625" style="293" customWidth="1"/>
    <col min="8" max="8" width="10.28515625" style="293" hidden="1" customWidth="1"/>
    <col min="9" max="9" width="10.5703125" style="293" hidden="1" customWidth="1"/>
    <col min="10" max="10" width="10.5703125" style="293" customWidth="1"/>
    <col min="11" max="11" width="10.5703125" style="293" hidden="1" customWidth="1"/>
    <col min="12" max="14" width="10.5703125" style="293" customWidth="1"/>
    <col min="15" max="15" width="12.7109375" style="293" customWidth="1"/>
    <col min="16" max="18" width="10.5703125" style="293" customWidth="1"/>
    <col min="19" max="261" width="10.5703125" style="293"/>
    <col min="262" max="262" width="26.28515625" style="293" customWidth="1"/>
    <col min="263" max="263" width="76.42578125" style="293" customWidth="1"/>
    <col min="264" max="264" width="13.28515625" style="293" customWidth="1"/>
    <col min="265" max="517" width="10.5703125" style="293"/>
    <col min="518" max="518" width="26.28515625" style="293" customWidth="1"/>
    <col min="519" max="519" width="76.42578125" style="293" customWidth="1"/>
    <col min="520" max="520" width="13.28515625" style="293" customWidth="1"/>
    <col min="521" max="773" width="10.5703125" style="293"/>
    <col min="774" max="774" width="26.28515625" style="293" customWidth="1"/>
    <col min="775" max="775" width="76.42578125" style="293" customWidth="1"/>
    <col min="776" max="776" width="13.28515625" style="293" customWidth="1"/>
    <col min="777" max="1029" width="10.5703125" style="293"/>
    <col min="1030" max="1030" width="26.28515625" style="293" customWidth="1"/>
    <col min="1031" max="1031" width="76.42578125" style="293" customWidth="1"/>
    <col min="1032" max="1032" width="13.28515625" style="293" customWidth="1"/>
    <col min="1033" max="1285" width="10.5703125" style="293"/>
    <col min="1286" max="1286" width="26.28515625" style="293" customWidth="1"/>
    <col min="1287" max="1287" width="76.42578125" style="293" customWidth="1"/>
    <col min="1288" max="1288" width="13.28515625" style="293" customWidth="1"/>
    <col min="1289" max="1541" width="10.5703125" style="293"/>
    <col min="1542" max="1542" width="26.28515625" style="293" customWidth="1"/>
    <col min="1543" max="1543" width="76.42578125" style="293" customWidth="1"/>
    <col min="1544" max="1544" width="13.28515625" style="293" customWidth="1"/>
    <col min="1545" max="1797" width="10.5703125" style="293"/>
    <col min="1798" max="1798" width="26.28515625" style="293" customWidth="1"/>
    <col min="1799" max="1799" width="76.42578125" style="293" customWidth="1"/>
    <col min="1800" max="1800" width="13.28515625" style="293" customWidth="1"/>
    <col min="1801" max="2053" width="10.5703125" style="293"/>
    <col min="2054" max="2054" width="26.28515625" style="293" customWidth="1"/>
    <col min="2055" max="2055" width="76.42578125" style="293" customWidth="1"/>
    <col min="2056" max="2056" width="13.28515625" style="293" customWidth="1"/>
    <col min="2057" max="2309" width="10.5703125" style="293"/>
    <col min="2310" max="2310" width="26.28515625" style="293" customWidth="1"/>
    <col min="2311" max="2311" width="76.42578125" style="293" customWidth="1"/>
    <col min="2312" max="2312" width="13.28515625" style="293" customWidth="1"/>
    <col min="2313" max="2565" width="10.5703125" style="293"/>
    <col min="2566" max="2566" width="26.28515625" style="293" customWidth="1"/>
    <col min="2567" max="2567" width="76.42578125" style="293" customWidth="1"/>
    <col min="2568" max="2568" width="13.28515625" style="293" customWidth="1"/>
    <col min="2569" max="2821" width="10.5703125" style="293"/>
    <col min="2822" max="2822" width="26.28515625" style="293" customWidth="1"/>
    <col min="2823" max="2823" width="76.42578125" style="293" customWidth="1"/>
    <col min="2824" max="2824" width="13.28515625" style="293" customWidth="1"/>
    <col min="2825" max="3077" width="10.5703125" style="293"/>
    <col min="3078" max="3078" width="26.28515625" style="293" customWidth="1"/>
    <col min="3079" max="3079" width="76.42578125" style="293" customWidth="1"/>
    <col min="3080" max="3080" width="13.28515625" style="293" customWidth="1"/>
    <col min="3081" max="3333" width="10.5703125" style="293"/>
    <col min="3334" max="3334" width="26.28515625" style="293" customWidth="1"/>
    <col min="3335" max="3335" width="76.42578125" style="293" customWidth="1"/>
    <col min="3336" max="3336" width="13.28515625" style="293" customWidth="1"/>
    <col min="3337" max="3589" width="10.5703125" style="293"/>
    <col min="3590" max="3590" width="26.28515625" style="293" customWidth="1"/>
    <col min="3591" max="3591" width="76.42578125" style="293" customWidth="1"/>
    <col min="3592" max="3592" width="13.28515625" style="293" customWidth="1"/>
    <col min="3593" max="3845" width="10.5703125" style="293"/>
    <col min="3846" max="3846" width="26.28515625" style="293" customWidth="1"/>
    <col min="3847" max="3847" width="76.42578125" style="293" customWidth="1"/>
    <col min="3848" max="3848" width="13.28515625" style="293" customWidth="1"/>
    <col min="3849" max="4101" width="10.5703125" style="293"/>
    <col min="4102" max="4102" width="26.28515625" style="293" customWidth="1"/>
    <col min="4103" max="4103" width="76.42578125" style="293" customWidth="1"/>
    <col min="4104" max="4104" width="13.28515625" style="293" customWidth="1"/>
    <col min="4105" max="4357" width="10.5703125" style="293"/>
    <col min="4358" max="4358" width="26.28515625" style="293" customWidth="1"/>
    <col min="4359" max="4359" width="76.42578125" style="293" customWidth="1"/>
    <col min="4360" max="4360" width="13.28515625" style="293" customWidth="1"/>
    <col min="4361" max="4613" width="10.5703125" style="293"/>
    <col min="4614" max="4614" width="26.28515625" style="293" customWidth="1"/>
    <col min="4615" max="4615" width="76.42578125" style="293" customWidth="1"/>
    <col min="4616" max="4616" width="13.28515625" style="293" customWidth="1"/>
    <col min="4617" max="4869" width="10.5703125" style="293"/>
    <col min="4870" max="4870" width="26.28515625" style="293" customWidth="1"/>
    <col min="4871" max="4871" width="76.42578125" style="293" customWidth="1"/>
    <col min="4872" max="4872" width="13.28515625" style="293" customWidth="1"/>
    <col min="4873" max="5125" width="10.5703125" style="293"/>
    <col min="5126" max="5126" width="26.28515625" style="293" customWidth="1"/>
    <col min="5127" max="5127" width="76.42578125" style="293" customWidth="1"/>
    <col min="5128" max="5128" width="13.28515625" style="293" customWidth="1"/>
    <col min="5129" max="5381" width="10.5703125" style="293"/>
    <col min="5382" max="5382" width="26.28515625" style="293" customWidth="1"/>
    <col min="5383" max="5383" width="76.42578125" style="293" customWidth="1"/>
    <col min="5384" max="5384" width="13.28515625" style="293" customWidth="1"/>
    <col min="5385" max="5637" width="10.5703125" style="293"/>
    <col min="5638" max="5638" width="26.28515625" style="293" customWidth="1"/>
    <col min="5639" max="5639" width="76.42578125" style="293" customWidth="1"/>
    <col min="5640" max="5640" width="13.28515625" style="293" customWidth="1"/>
    <col min="5641" max="5893" width="10.5703125" style="293"/>
    <col min="5894" max="5894" width="26.28515625" style="293" customWidth="1"/>
    <col min="5895" max="5895" width="76.42578125" style="293" customWidth="1"/>
    <col min="5896" max="5896" width="13.28515625" style="293" customWidth="1"/>
    <col min="5897" max="6149" width="10.5703125" style="293"/>
    <col min="6150" max="6150" width="26.28515625" style="293" customWidth="1"/>
    <col min="6151" max="6151" width="76.42578125" style="293" customWidth="1"/>
    <col min="6152" max="6152" width="13.28515625" style="293" customWidth="1"/>
    <col min="6153" max="6405" width="10.5703125" style="293"/>
    <col min="6406" max="6406" width="26.28515625" style="293" customWidth="1"/>
    <col min="6407" max="6407" width="76.42578125" style="293" customWidth="1"/>
    <col min="6408" max="6408" width="13.28515625" style="293" customWidth="1"/>
    <col min="6409" max="6661" width="10.5703125" style="293"/>
    <col min="6662" max="6662" width="26.28515625" style="293" customWidth="1"/>
    <col min="6663" max="6663" width="76.42578125" style="293" customWidth="1"/>
    <col min="6664" max="6664" width="13.28515625" style="293" customWidth="1"/>
    <col min="6665" max="6917" width="10.5703125" style="293"/>
    <col min="6918" max="6918" width="26.28515625" style="293" customWidth="1"/>
    <col min="6919" max="6919" width="76.42578125" style="293" customWidth="1"/>
    <col min="6920" max="6920" width="13.28515625" style="293" customWidth="1"/>
    <col min="6921" max="7173" width="10.5703125" style="293"/>
    <col min="7174" max="7174" width="26.28515625" style="293" customWidth="1"/>
    <col min="7175" max="7175" width="76.42578125" style="293" customWidth="1"/>
    <col min="7176" max="7176" width="13.28515625" style="293" customWidth="1"/>
    <col min="7177" max="7429" width="10.5703125" style="293"/>
    <col min="7430" max="7430" width="26.28515625" style="293" customWidth="1"/>
    <col min="7431" max="7431" width="76.42578125" style="293" customWidth="1"/>
    <col min="7432" max="7432" width="13.28515625" style="293" customWidth="1"/>
    <col min="7433" max="7685" width="10.5703125" style="293"/>
    <col min="7686" max="7686" width="26.28515625" style="293" customWidth="1"/>
    <col min="7687" max="7687" width="76.42578125" style="293" customWidth="1"/>
    <col min="7688" max="7688" width="13.28515625" style="293" customWidth="1"/>
    <col min="7689" max="7941" width="10.5703125" style="293"/>
    <col min="7942" max="7942" width="26.28515625" style="293" customWidth="1"/>
    <col min="7943" max="7943" width="76.42578125" style="293" customWidth="1"/>
    <col min="7944" max="7944" width="13.28515625" style="293" customWidth="1"/>
    <col min="7945" max="8197" width="10.5703125" style="293"/>
    <col min="8198" max="8198" width="26.28515625" style="293" customWidth="1"/>
    <col min="8199" max="8199" width="76.42578125" style="293" customWidth="1"/>
    <col min="8200" max="8200" width="13.28515625" style="293" customWidth="1"/>
    <col min="8201" max="8453" width="10.5703125" style="293"/>
    <col min="8454" max="8454" width="26.28515625" style="293" customWidth="1"/>
    <col min="8455" max="8455" width="76.42578125" style="293" customWidth="1"/>
    <col min="8456" max="8456" width="13.28515625" style="293" customWidth="1"/>
    <col min="8457" max="8709" width="10.5703125" style="293"/>
    <col min="8710" max="8710" width="26.28515625" style="293" customWidth="1"/>
    <col min="8711" max="8711" width="76.42578125" style="293" customWidth="1"/>
    <col min="8712" max="8712" width="13.28515625" style="293" customWidth="1"/>
    <col min="8713" max="8965" width="10.5703125" style="293"/>
    <col min="8966" max="8966" width="26.28515625" style="293" customWidth="1"/>
    <col min="8967" max="8967" width="76.42578125" style="293" customWidth="1"/>
    <col min="8968" max="8968" width="13.28515625" style="293" customWidth="1"/>
    <col min="8969" max="9221" width="10.5703125" style="293"/>
    <col min="9222" max="9222" width="26.28515625" style="293" customWidth="1"/>
    <col min="9223" max="9223" width="76.42578125" style="293" customWidth="1"/>
    <col min="9224" max="9224" width="13.28515625" style="293" customWidth="1"/>
    <col min="9225" max="9477" width="10.5703125" style="293"/>
    <col min="9478" max="9478" width="26.28515625" style="293" customWidth="1"/>
    <col min="9479" max="9479" width="76.42578125" style="293" customWidth="1"/>
    <col min="9480" max="9480" width="13.28515625" style="293" customWidth="1"/>
    <col min="9481" max="9733" width="10.5703125" style="293"/>
    <col min="9734" max="9734" width="26.28515625" style="293" customWidth="1"/>
    <col min="9735" max="9735" width="76.42578125" style="293" customWidth="1"/>
    <col min="9736" max="9736" width="13.28515625" style="293" customWidth="1"/>
    <col min="9737" max="9989" width="10.5703125" style="293"/>
    <col min="9990" max="9990" width="26.28515625" style="293" customWidth="1"/>
    <col min="9991" max="9991" width="76.42578125" style="293" customWidth="1"/>
    <col min="9992" max="9992" width="13.28515625" style="293" customWidth="1"/>
    <col min="9993" max="10245" width="10.5703125" style="293"/>
    <col min="10246" max="10246" width="26.28515625" style="293" customWidth="1"/>
    <col min="10247" max="10247" width="76.42578125" style="293" customWidth="1"/>
    <col min="10248" max="10248" width="13.28515625" style="293" customWidth="1"/>
    <col min="10249" max="10501" width="10.5703125" style="293"/>
    <col min="10502" max="10502" width="26.28515625" style="293" customWidth="1"/>
    <col min="10503" max="10503" width="76.42578125" style="293" customWidth="1"/>
    <col min="10504" max="10504" width="13.28515625" style="293" customWidth="1"/>
    <col min="10505" max="10757" width="10.5703125" style="293"/>
    <col min="10758" max="10758" width="26.28515625" style="293" customWidth="1"/>
    <col min="10759" max="10759" width="76.42578125" style="293" customWidth="1"/>
    <col min="10760" max="10760" width="13.28515625" style="293" customWidth="1"/>
    <col min="10761" max="11013" width="10.5703125" style="293"/>
    <col min="11014" max="11014" width="26.28515625" style="293" customWidth="1"/>
    <col min="11015" max="11015" width="76.42578125" style="293" customWidth="1"/>
    <col min="11016" max="11016" width="13.28515625" style="293" customWidth="1"/>
    <col min="11017" max="11269" width="10.5703125" style="293"/>
    <col min="11270" max="11270" width="26.28515625" style="293" customWidth="1"/>
    <col min="11271" max="11271" width="76.42578125" style="293" customWidth="1"/>
    <col min="11272" max="11272" width="13.28515625" style="293" customWidth="1"/>
    <col min="11273" max="11525" width="10.5703125" style="293"/>
    <col min="11526" max="11526" width="26.28515625" style="293" customWidth="1"/>
    <col min="11527" max="11527" width="76.42578125" style="293" customWidth="1"/>
    <col min="11528" max="11528" width="13.28515625" style="293" customWidth="1"/>
    <col min="11529" max="11781" width="10.5703125" style="293"/>
    <col min="11782" max="11782" width="26.28515625" style="293" customWidth="1"/>
    <col min="11783" max="11783" width="76.42578125" style="293" customWidth="1"/>
    <col min="11784" max="11784" width="13.28515625" style="293" customWidth="1"/>
    <col min="11785" max="12037" width="10.5703125" style="293"/>
    <col min="12038" max="12038" width="26.28515625" style="293" customWidth="1"/>
    <col min="12039" max="12039" width="76.42578125" style="293" customWidth="1"/>
    <col min="12040" max="12040" width="13.28515625" style="293" customWidth="1"/>
    <col min="12041" max="12293" width="10.5703125" style="293"/>
    <col min="12294" max="12294" width="26.28515625" style="293" customWidth="1"/>
    <col min="12295" max="12295" width="76.42578125" style="293" customWidth="1"/>
    <col min="12296" max="12296" width="13.28515625" style="293" customWidth="1"/>
    <col min="12297" max="12549" width="10.5703125" style="293"/>
    <col min="12550" max="12550" width="26.28515625" style="293" customWidth="1"/>
    <col min="12551" max="12551" width="76.42578125" style="293" customWidth="1"/>
    <col min="12552" max="12552" width="13.28515625" style="293" customWidth="1"/>
    <col min="12553" max="12805" width="10.5703125" style="293"/>
    <col min="12806" max="12806" width="26.28515625" style="293" customWidth="1"/>
    <col min="12807" max="12807" width="76.42578125" style="293" customWidth="1"/>
    <col min="12808" max="12808" width="13.28515625" style="293" customWidth="1"/>
    <col min="12809" max="13061" width="10.5703125" style="293"/>
    <col min="13062" max="13062" width="26.28515625" style="293" customWidth="1"/>
    <col min="13063" max="13063" width="76.42578125" style="293" customWidth="1"/>
    <col min="13064" max="13064" width="13.28515625" style="293" customWidth="1"/>
    <col min="13065" max="13317" width="10.5703125" style="293"/>
    <col min="13318" max="13318" width="26.28515625" style="293" customWidth="1"/>
    <col min="13319" max="13319" width="76.42578125" style="293" customWidth="1"/>
    <col min="13320" max="13320" width="13.28515625" style="293" customWidth="1"/>
    <col min="13321" max="13573" width="10.5703125" style="293"/>
    <col min="13574" max="13574" width="26.28515625" style="293" customWidth="1"/>
    <col min="13575" max="13575" width="76.42578125" style="293" customWidth="1"/>
    <col min="13576" max="13576" width="13.28515625" style="293" customWidth="1"/>
    <col min="13577" max="13829" width="10.5703125" style="293"/>
    <col min="13830" max="13830" width="26.28515625" style="293" customWidth="1"/>
    <col min="13831" max="13831" width="76.42578125" style="293" customWidth="1"/>
    <col min="13832" max="13832" width="13.28515625" style="293" customWidth="1"/>
    <col min="13833" max="14085" width="10.5703125" style="293"/>
    <col min="14086" max="14086" width="26.28515625" style="293" customWidth="1"/>
    <col min="14087" max="14087" width="76.42578125" style="293" customWidth="1"/>
    <col min="14088" max="14088" width="13.28515625" style="293" customWidth="1"/>
    <col min="14089" max="14341" width="10.5703125" style="293"/>
    <col min="14342" max="14342" width="26.28515625" style="293" customWidth="1"/>
    <col min="14343" max="14343" width="76.42578125" style="293" customWidth="1"/>
    <col min="14344" max="14344" width="13.28515625" style="293" customWidth="1"/>
    <col min="14345" max="14597" width="10.5703125" style="293"/>
    <col min="14598" max="14598" width="26.28515625" style="293" customWidth="1"/>
    <col min="14599" max="14599" width="76.42578125" style="293" customWidth="1"/>
    <col min="14600" max="14600" width="13.28515625" style="293" customWidth="1"/>
    <col min="14601" max="14853" width="10.5703125" style="293"/>
    <col min="14854" max="14854" width="26.28515625" style="293" customWidth="1"/>
    <col min="14855" max="14855" width="76.42578125" style="293" customWidth="1"/>
    <col min="14856" max="14856" width="13.28515625" style="293" customWidth="1"/>
    <col min="14857" max="15109" width="10.5703125" style="293"/>
    <col min="15110" max="15110" width="26.28515625" style="293" customWidth="1"/>
    <col min="15111" max="15111" width="76.42578125" style="293" customWidth="1"/>
    <col min="15112" max="15112" width="13.28515625" style="293" customWidth="1"/>
    <col min="15113" max="15365" width="10.5703125" style="293"/>
    <col min="15366" max="15366" width="26.28515625" style="293" customWidth="1"/>
    <col min="15367" max="15367" width="76.42578125" style="293" customWidth="1"/>
    <col min="15368" max="15368" width="13.28515625" style="293" customWidth="1"/>
    <col min="15369" max="15621" width="10.5703125" style="293"/>
    <col min="15622" max="15622" width="26.28515625" style="293" customWidth="1"/>
    <col min="15623" max="15623" width="76.42578125" style="293" customWidth="1"/>
    <col min="15624" max="15624" width="13.28515625" style="293" customWidth="1"/>
    <col min="15625" max="15877" width="10.5703125" style="293"/>
    <col min="15878" max="15878" width="26.28515625" style="293" customWidth="1"/>
    <col min="15879" max="15879" width="76.42578125" style="293" customWidth="1"/>
    <col min="15880" max="15880" width="13.28515625" style="293" customWidth="1"/>
    <col min="15881" max="16133" width="10.5703125" style="293"/>
    <col min="16134" max="16134" width="26.28515625" style="293" customWidth="1"/>
    <col min="16135" max="16135" width="76.42578125" style="293" customWidth="1"/>
    <col min="16136" max="16136" width="13.28515625" style="293" customWidth="1"/>
    <col min="16137" max="16384" width="10.5703125" style="293"/>
  </cols>
  <sheetData>
    <row r="1" spans="1:16" ht="65.25" customHeight="1" x14ac:dyDescent="0.25">
      <c r="A1" s="419" t="s">
        <v>1127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6" ht="33" customHeight="1" x14ac:dyDescent="0.25">
      <c r="A2" s="420" t="s">
        <v>737</v>
      </c>
      <c r="B2" s="420"/>
      <c r="C2" s="420"/>
      <c r="D2" s="420"/>
      <c r="E2" s="420"/>
      <c r="F2" s="420"/>
      <c r="G2" s="420"/>
      <c r="H2" s="420"/>
      <c r="I2" s="420"/>
      <c r="J2" s="420"/>
    </row>
    <row r="3" spans="1:16" ht="12" customHeight="1" x14ac:dyDescent="0.25">
      <c r="A3" s="339"/>
      <c r="C3" s="340"/>
      <c r="D3" s="340"/>
      <c r="E3" s="340"/>
      <c r="F3" s="340"/>
      <c r="G3" s="340"/>
      <c r="H3" s="340"/>
      <c r="I3" s="340" t="s">
        <v>664</v>
      </c>
      <c r="J3" s="340" t="s">
        <v>664</v>
      </c>
    </row>
    <row r="4" spans="1:16" ht="60" customHeight="1" x14ac:dyDescent="0.25">
      <c r="A4" s="341" t="s">
        <v>738</v>
      </c>
      <c r="B4" s="342" t="s">
        <v>739</v>
      </c>
      <c r="C4" s="343" t="s">
        <v>5</v>
      </c>
      <c r="D4" s="343" t="s">
        <v>5</v>
      </c>
      <c r="E4" s="343" t="s">
        <v>740</v>
      </c>
      <c r="F4" s="343" t="s">
        <v>741</v>
      </c>
      <c r="G4" s="343" t="s">
        <v>6</v>
      </c>
      <c r="H4" s="343" t="s">
        <v>740</v>
      </c>
      <c r="I4" s="343" t="s">
        <v>7</v>
      </c>
      <c r="J4" s="343" t="s">
        <v>7</v>
      </c>
      <c r="K4" s="344" t="s">
        <v>740</v>
      </c>
      <c r="L4" s="396"/>
      <c r="M4" s="396"/>
      <c r="N4" s="396"/>
      <c r="O4" s="396"/>
      <c r="P4" s="396"/>
    </row>
    <row r="5" spans="1:16" ht="17.25" customHeight="1" x14ac:dyDescent="0.25">
      <c r="A5" s="345" t="s">
        <v>742</v>
      </c>
      <c r="B5" s="346" t="s">
        <v>743</v>
      </c>
      <c r="C5" s="294">
        <f>C6+C9+C30+C35+C46+C55+C62+C48+C12+C63+C24</f>
        <v>215379.9</v>
      </c>
      <c r="D5" s="294">
        <f>D6+D9+D30+D35+D46+D55+D62+D48+D12+D63+D24</f>
        <v>216159.9</v>
      </c>
      <c r="E5" s="294">
        <f>D5-C5</f>
        <v>780</v>
      </c>
      <c r="F5" s="294">
        <f>F6+F9+F30+F35+F46+F55+F62+F48+F12+F63+F24</f>
        <v>223746</v>
      </c>
      <c r="G5" s="294">
        <f>G6+G9+G30+G35+G46+G55+G62+G48+G12+G63+G24</f>
        <v>223746</v>
      </c>
      <c r="H5" s="294">
        <f>G5-F5</f>
        <v>0</v>
      </c>
      <c r="I5" s="294">
        <f>I6+I9+I30+I35+I46+I55+I62+I48+I12+I63+I24</f>
        <v>242247</v>
      </c>
      <c r="J5" s="294">
        <f>J6+J9+J30+J35+J46+J55+J62+J48+J12+J63+J24</f>
        <v>242247</v>
      </c>
      <c r="K5" s="338">
        <f>J5-I5</f>
        <v>0</v>
      </c>
      <c r="L5" s="397"/>
      <c r="M5" s="396"/>
      <c r="N5" s="396"/>
      <c r="O5" s="396"/>
      <c r="P5" s="396"/>
    </row>
    <row r="6" spans="1:16" ht="17.25" customHeight="1" x14ac:dyDescent="0.25">
      <c r="A6" s="347" t="s">
        <v>744</v>
      </c>
      <c r="B6" s="348" t="s">
        <v>745</v>
      </c>
      <c r="C6" s="294">
        <f>C7</f>
        <v>151936.9</v>
      </c>
      <c r="D6" s="294">
        <f>D7</f>
        <v>151936.9</v>
      </c>
      <c r="E6" s="294">
        <f t="shared" ref="E6:E71" si="0">D6-C6</f>
        <v>0</v>
      </c>
      <c r="F6" s="294">
        <f>F7</f>
        <v>160838</v>
      </c>
      <c r="G6" s="294">
        <f>G7</f>
        <v>160838</v>
      </c>
      <c r="H6" s="294">
        <f t="shared" ref="H6:H71" si="1">G6-F6</f>
        <v>0</v>
      </c>
      <c r="I6" s="294">
        <f>I7</f>
        <v>177030</v>
      </c>
      <c r="J6" s="294">
        <f>J7</f>
        <v>177030</v>
      </c>
      <c r="K6" s="338">
        <f t="shared" ref="K6:K71" si="2">J6-I6</f>
        <v>0</v>
      </c>
      <c r="L6" s="295"/>
    </row>
    <row r="7" spans="1:16" s="349" customFormat="1" ht="15.75" customHeight="1" x14ac:dyDescent="0.25">
      <c r="A7" s="347" t="s">
        <v>746</v>
      </c>
      <c r="B7" s="348" t="s">
        <v>734</v>
      </c>
      <c r="C7" s="294">
        <f>153917-2230.7+250.6</f>
        <v>151936.9</v>
      </c>
      <c r="D7" s="294">
        <f>153917-2230.7+250.6</f>
        <v>151936.9</v>
      </c>
      <c r="E7" s="294">
        <f t="shared" si="0"/>
        <v>0</v>
      </c>
      <c r="F7" s="294">
        <f>157651+3006+172+9</f>
        <v>160838</v>
      </c>
      <c r="G7" s="294">
        <f>157651+3006+172+9</f>
        <v>160838</v>
      </c>
      <c r="H7" s="294">
        <f t="shared" si="1"/>
        <v>0</v>
      </c>
      <c r="I7" s="294">
        <f>173713+3129+179+9</f>
        <v>177030</v>
      </c>
      <c r="J7" s="294">
        <f>173713+3129+179+9</f>
        <v>177030</v>
      </c>
      <c r="K7" s="338">
        <f t="shared" si="2"/>
        <v>0</v>
      </c>
      <c r="L7" s="398"/>
      <c r="M7" s="398"/>
      <c r="N7" s="398"/>
      <c r="O7" s="398"/>
    </row>
    <row r="8" spans="1:16" s="353" customFormat="1" ht="12" hidden="1" customHeight="1" x14ac:dyDescent="0.25">
      <c r="A8" s="350" t="s">
        <v>747</v>
      </c>
      <c r="B8" s="351" t="s">
        <v>748</v>
      </c>
      <c r="C8" s="352" t="e">
        <f>#REF!+#REF!</f>
        <v>#REF!</v>
      </c>
      <c r="D8" s="352" t="e">
        <f>#REF!+#REF!</f>
        <v>#REF!</v>
      </c>
      <c r="E8" s="294" t="e">
        <f t="shared" si="0"/>
        <v>#REF!</v>
      </c>
      <c r="F8" s="352"/>
      <c r="G8" s="352"/>
      <c r="H8" s="294">
        <f t="shared" si="1"/>
        <v>0</v>
      </c>
      <c r="I8" s="352"/>
      <c r="J8" s="352"/>
      <c r="K8" s="338">
        <f t="shared" si="2"/>
        <v>0</v>
      </c>
    </row>
    <row r="9" spans="1:16" ht="33.75" customHeight="1" x14ac:dyDescent="0.25">
      <c r="A9" s="345" t="s">
        <v>749</v>
      </c>
      <c r="B9" s="348" t="s">
        <v>750</v>
      </c>
      <c r="C9" s="294">
        <f>C10+C11</f>
        <v>15534</v>
      </c>
      <c r="D9" s="294">
        <f>D10+D11</f>
        <v>15534</v>
      </c>
      <c r="E9" s="294">
        <f t="shared" si="0"/>
        <v>0</v>
      </c>
      <c r="F9" s="294">
        <f>F10+F11</f>
        <v>16536</v>
      </c>
      <c r="G9" s="294">
        <f>G10+G11</f>
        <v>16536</v>
      </c>
      <c r="H9" s="294">
        <f t="shared" si="1"/>
        <v>0</v>
      </c>
      <c r="I9" s="294">
        <f>I10+I11</f>
        <v>16866</v>
      </c>
      <c r="J9" s="294">
        <f>J10+J11</f>
        <v>16866</v>
      </c>
      <c r="K9" s="338">
        <f t="shared" si="2"/>
        <v>0</v>
      </c>
      <c r="L9" s="295"/>
    </row>
    <row r="10" spans="1:16" s="353" customFormat="1" ht="33" customHeight="1" x14ac:dyDescent="0.25">
      <c r="A10" s="345" t="s">
        <v>751</v>
      </c>
      <c r="B10" s="348" t="s">
        <v>733</v>
      </c>
      <c r="C10" s="294">
        <v>15187</v>
      </c>
      <c r="D10" s="294">
        <v>15187</v>
      </c>
      <c r="E10" s="294">
        <f t="shared" si="0"/>
        <v>0</v>
      </c>
      <c r="F10" s="294">
        <v>16189</v>
      </c>
      <c r="G10" s="294">
        <v>16189</v>
      </c>
      <c r="H10" s="294">
        <f t="shared" si="1"/>
        <v>0</v>
      </c>
      <c r="I10" s="294">
        <v>16519</v>
      </c>
      <c r="J10" s="294">
        <v>16519</v>
      </c>
      <c r="K10" s="338">
        <f t="shared" si="2"/>
        <v>0</v>
      </c>
    </row>
    <row r="11" spans="1:16" s="353" customFormat="1" ht="26.25" customHeight="1" x14ac:dyDescent="0.25">
      <c r="A11" s="345" t="s">
        <v>752</v>
      </c>
      <c r="B11" s="354" t="s">
        <v>753</v>
      </c>
      <c r="C11" s="294">
        <v>347</v>
      </c>
      <c r="D11" s="294">
        <v>347</v>
      </c>
      <c r="E11" s="294">
        <f t="shared" si="0"/>
        <v>0</v>
      </c>
      <c r="F11" s="294">
        <v>347</v>
      </c>
      <c r="G11" s="294">
        <v>347</v>
      </c>
      <c r="H11" s="294">
        <f t="shared" si="1"/>
        <v>0</v>
      </c>
      <c r="I11" s="294">
        <v>347</v>
      </c>
      <c r="J11" s="294">
        <v>347</v>
      </c>
      <c r="K11" s="338">
        <f t="shared" si="2"/>
        <v>0</v>
      </c>
    </row>
    <row r="12" spans="1:16" ht="24" customHeight="1" x14ac:dyDescent="0.25">
      <c r="A12" s="345" t="s">
        <v>754</v>
      </c>
      <c r="B12" s="354" t="s">
        <v>755</v>
      </c>
      <c r="C12" s="294">
        <f>C13+C18+C20+C22</f>
        <v>29105</v>
      </c>
      <c r="D12" s="294">
        <f>D13+D18+D20+D22</f>
        <v>29105</v>
      </c>
      <c r="E12" s="294">
        <f t="shared" si="0"/>
        <v>0</v>
      </c>
      <c r="F12" s="294">
        <f>F13+F18+F20+F22</f>
        <v>31332</v>
      </c>
      <c r="G12" s="294">
        <f>G13+G18+G20+G22</f>
        <v>31332</v>
      </c>
      <c r="H12" s="294">
        <f t="shared" si="1"/>
        <v>0</v>
      </c>
      <c r="I12" s="294">
        <f>I13+I18+I20+I22</f>
        <v>33311</v>
      </c>
      <c r="J12" s="294">
        <f>J13+J18+J20+J22</f>
        <v>33311</v>
      </c>
      <c r="K12" s="338">
        <f t="shared" si="2"/>
        <v>0</v>
      </c>
    </row>
    <row r="13" spans="1:16" ht="31.5" customHeight="1" x14ac:dyDescent="0.25">
      <c r="A13" s="345" t="s">
        <v>756</v>
      </c>
      <c r="B13" s="355" t="s">
        <v>757</v>
      </c>
      <c r="C13" s="294">
        <f>C14+C16</f>
        <v>26636</v>
      </c>
      <c r="D13" s="294">
        <f>D14+D16</f>
        <v>26636</v>
      </c>
      <c r="E13" s="294">
        <f t="shared" si="0"/>
        <v>0</v>
      </c>
      <c r="F13" s="294">
        <f>F14+F16</f>
        <v>28805</v>
      </c>
      <c r="G13" s="294">
        <f>G14+G16</f>
        <v>28805</v>
      </c>
      <c r="H13" s="294">
        <f t="shared" si="1"/>
        <v>0</v>
      </c>
      <c r="I13" s="294">
        <f>I14+I16</f>
        <v>30739</v>
      </c>
      <c r="J13" s="294">
        <f>J14+J16</f>
        <v>30739</v>
      </c>
      <c r="K13" s="338">
        <f t="shared" si="2"/>
        <v>0</v>
      </c>
    </row>
    <row r="14" spans="1:16" ht="32.25" customHeight="1" x14ac:dyDescent="0.25">
      <c r="A14" s="345" t="s">
        <v>758</v>
      </c>
      <c r="B14" s="355" t="s">
        <v>759</v>
      </c>
      <c r="C14" s="294">
        <f>C15</f>
        <v>23759</v>
      </c>
      <c r="D14" s="294">
        <f>D15</f>
        <v>23759</v>
      </c>
      <c r="E14" s="294">
        <f t="shared" si="0"/>
        <v>0</v>
      </c>
      <c r="F14" s="294">
        <f>F15</f>
        <v>25699</v>
      </c>
      <c r="G14" s="294">
        <f>G15</f>
        <v>25699</v>
      </c>
      <c r="H14" s="294">
        <f t="shared" si="1"/>
        <v>0</v>
      </c>
      <c r="I14" s="294">
        <f>I15</f>
        <v>27424</v>
      </c>
      <c r="J14" s="294">
        <f>J15</f>
        <v>27424</v>
      </c>
      <c r="K14" s="338">
        <f t="shared" si="2"/>
        <v>0</v>
      </c>
    </row>
    <row r="15" spans="1:16" ht="30.75" customHeight="1" x14ac:dyDescent="0.25">
      <c r="A15" s="356" t="s">
        <v>760</v>
      </c>
      <c r="B15" s="357" t="s">
        <v>759</v>
      </c>
      <c r="C15" s="292">
        <v>23759</v>
      </c>
      <c r="D15" s="292">
        <v>23759</v>
      </c>
      <c r="E15" s="294">
        <f t="shared" si="0"/>
        <v>0</v>
      </c>
      <c r="F15" s="292">
        <v>25699</v>
      </c>
      <c r="G15" s="292">
        <v>25699</v>
      </c>
      <c r="H15" s="294">
        <f t="shared" si="1"/>
        <v>0</v>
      </c>
      <c r="I15" s="292">
        <v>27424</v>
      </c>
      <c r="J15" s="292">
        <v>27424</v>
      </c>
      <c r="K15" s="338">
        <f t="shared" si="2"/>
        <v>0</v>
      </c>
    </row>
    <row r="16" spans="1:16" ht="32.25" customHeight="1" x14ac:dyDescent="0.25">
      <c r="A16" s="345" t="s">
        <v>761</v>
      </c>
      <c r="B16" s="348" t="s">
        <v>762</v>
      </c>
      <c r="C16" s="294">
        <f>C17</f>
        <v>2877</v>
      </c>
      <c r="D16" s="294">
        <f>D17</f>
        <v>2877</v>
      </c>
      <c r="E16" s="294">
        <f t="shared" si="0"/>
        <v>0</v>
      </c>
      <c r="F16" s="294">
        <f>F17</f>
        <v>3106</v>
      </c>
      <c r="G16" s="294">
        <f>G17</f>
        <v>3106</v>
      </c>
      <c r="H16" s="294">
        <f t="shared" si="1"/>
        <v>0</v>
      </c>
      <c r="I16" s="294">
        <f>I17</f>
        <v>3315</v>
      </c>
      <c r="J16" s="294">
        <f>J17</f>
        <v>3315</v>
      </c>
      <c r="K16" s="338">
        <f t="shared" si="2"/>
        <v>0</v>
      </c>
    </row>
    <row r="17" spans="1:11" ht="47.25" customHeight="1" x14ac:dyDescent="0.25">
      <c r="A17" s="356" t="s">
        <v>763</v>
      </c>
      <c r="B17" s="357" t="s">
        <v>764</v>
      </c>
      <c r="C17" s="292">
        <v>2877</v>
      </c>
      <c r="D17" s="292">
        <v>2877</v>
      </c>
      <c r="E17" s="294">
        <f t="shared" si="0"/>
        <v>0</v>
      </c>
      <c r="F17" s="292">
        <v>3106</v>
      </c>
      <c r="G17" s="292">
        <v>3106</v>
      </c>
      <c r="H17" s="294">
        <f t="shared" si="1"/>
        <v>0</v>
      </c>
      <c r="I17" s="292">
        <v>3315</v>
      </c>
      <c r="J17" s="292">
        <v>3315</v>
      </c>
      <c r="K17" s="338">
        <f t="shared" si="2"/>
        <v>0</v>
      </c>
    </row>
    <row r="18" spans="1:11" s="353" customFormat="1" ht="17.25" hidden="1" customHeight="1" x14ac:dyDescent="0.25">
      <c r="A18" s="345" t="s">
        <v>765</v>
      </c>
      <c r="B18" s="348" t="s">
        <v>766</v>
      </c>
      <c r="C18" s="294">
        <f>SUM(C19:C19)</f>
        <v>0</v>
      </c>
      <c r="D18" s="294">
        <f>SUM(D19:D19)</f>
        <v>0</v>
      </c>
      <c r="E18" s="294">
        <f t="shared" si="0"/>
        <v>0</v>
      </c>
      <c r="F18" s="294">
        <f>SUM(F19:F19)</f>
        <v>0</v>
      </c>
      <c r="G18" s="294">
        <f>SUM(G19:G19)</f>
        <v>0</v>
      </c>
      <c r="H18" s="294">
        <f t="shared" si="1"/>
        <v>0</v>
      </c>
      <c r="I18" s="294">
        <f>SUM(I19:I19)</f>
        <v>0</v>
      </c>
      <c r="J18" s="294">
        <f>SUM(J19:J19)</f>
        <v>0</v>
      </c>
      <c r="K18" s="338">
        <f t="shared" si="2"/>
        <v>0</v>
      </c>
    </row>
    <row r="19" spans="1:11" ht="17.25" hidden="1" customHeight="1" x14ac:dyDescent="0.25">
      <c r="A19" s="356" t="s">
        <v>767</v>
      </c>
      <c r="B19" s="357" t="s">
        <v>766</v>
      </c>
      <c r="C19" s="292"/>
      <c r="D19" s="292"/>
      <c r="E19" s="294">
        <f t="shared" si="0"/>
        <v>0</v>
      </c>
      <c r="F19" s="292"/>
      <c r="G19" s="292"/>
      <c r="H19" s="294">
        <f t="shared" si="1"/>
        <v>0</v>
      </c>
      <c r="I19" s="292"/>
      <c r="J19" s="292"/>
      <c r="K19" s="338">
        <f t="shared" si="2"/>
        <v>0</v>
      </c>
    </row>
    <row r="20" spans="1:11" s="353" customFormat="1" x14ac:dyDescent="0.25">
      <c r="A20" s="345" t="s">
        <v>768</v>
      </c>
      <c r="B20" s="348" t="s">
        <v>769</v>
      </c>
      <c r="C20" s="294">
        <f>SUM(C21:C21)</f>
        <v>1200</v>
      </c>
      <c r="D20" s="294">
        <f>SUM(D21:D21)</f>
        <v>1200</v>
      </c>
      <c r="E20" s="294">
        <f t="shared" si="0"/>
        <v>0</v>
      </c>
      <c r="F20" s="294">
        <f>SUM(F21:F21)</f>
        <v>1200</v>
      </c>
      <c r="G20" s="294">
        <f>SUM(G21:G21)</f>
        <v>1200</v>
      </c>
      <c r="H20" s="294">
        <f t="shared" si="1"/>
        <v>0</v>
      </c>
      <c r="I20" s="294">
        <f>SUM(I21:I21)</f>
        <v>1200</v>
      </c>
      <c r="J20" s="294">
        <f>SUM(J21:J21)</f>
        <v>1200</v>
      </c>
      <c r="K20" s="338">
        <f t="shared" si="2"/>
        <v>0</v>
      </c>
    </row>
    <row r="21" spans="1:11" s="353" customFormat="1" x14ac:dyDescent="0.25">
      <c r="A21" s="356" t="s">
        <v>770</v>
      </c>
      <c r="B21" s="357" t="s">
        <v>769</v>
      </c>
      <c r="C21" s="292">
        <v>1200</v>
      </c>
      <c r="D21" s="292">
        <v>1200</v>
      </c>
      <c r="E21" s="294">
        <f t="shared" si="0"/>
        <v>0</v>
      </c>
      <c r="F21" s="292">
        <v>1200</v>
      </c>
      <c r="G21" s="292">
        <v>1200</v>
      </c>
      <c r="H21" s="294">
        <f t="shared" si="1"/>
        <v>0</v>
      </c>
      <c r="I21" s="292">
        <v>1200</v>
      </c>
      <c r="J21" s="292">
        <v>1200</v>
      </c>
      <c r="K21" s="338">
        <f t="shared" si="2"/>
        <v>0</v>
      </c>
    </row>
    <row r="22" spans="1:11" s="353" customFormat="1" ht="18.75" customHeight="1" x14ac:dyDescent="0.25">
      <c r="A22" s="345" t="s">
        <v>771</v>
      </c>
      <c r="B22" s="348" t="s">
        <v>772</v>
      </c>
      <c r="C22" s="294">
        <f>SUM(C23:C23)</f>
        <v>1269</v>
      </c>
      <c r="D22" s="294">
        <f>SUM(D23:D23)</f>
        <v>1269</v>
      </c>
      <c r="E22" s="294">
        <f t="shared" si="0"/>
        <v>0</v>
      </c>
      <c r="F22" s="294">
        <f>SUM(F23:F23)</f>
        <v>1327</v>
      </c>
      <c r="G22" s="294">
        <f>SUM(G23:G23)</f>
        <v>1327</v>
      </c>
      <c r="H22" s="294">
        <f t="shared" si="1"/>
        <v>0</v>
      </c>
      <c r="I22" s="294">
        <f>SUM(I23:I23)</f>
        <v>1372</v>
      </c>
      <c r="J22" s="294">
        <f>SUM(J23:J23)</f>
        <v>1372</v>
      </c>
      <c r="K22" s="338">
        <f t="shared" si="2"/>
        <v>0</v>
      </c>
    </row>
    <row r="23" spans="1:11" s="353" customFormat="1" ht="32.25" customHeight="1" x14ac:dyDescent="0.25">
      <c r="A23" s="356" t="s">
        <v>773</v>
      </c>
      <c r="B23" s="357" t="s">
        <v>774</v>
      </c>
      <c r="C23" s="292">
        <v>1269</v>
      </c>
      <c r="D23" s="292">
        <v>1269</v>
      </c>
      <c r="E23" s="294">
        <f t="shared" si="0"/>
        <v>0</v>
      </c>
      <c r="F23" s="292">
        <v>1327</v>
      </c>
      <c r="G23" s="292">
        <v>1327</v>
      </c>
      <c r="H23" s="294">
        <f t="shared" si="1"/>
        <v>0</v>
      </c>
      <c r="I23" s="292">
        <v>1372</v>
      </c>
      <c r="J23" s="292">
        <v>1372</v>
      </c>
      <c r="K23" s="338">
        <f t="shared" si="2"/>
        <v>0</v>
      </c>
    </row>
    <row r="24" spans="1:11" s="353" customFormat="1" ht="25.5" customHeight="1" x14ac:dyDescent="0.25">
      <c r="A24" s="345" t="s">
        <v>775</v>
      </c>
      <c r="B24" s="354" t="s">
        <v>776</v>
      </c>
      <c r="C24" s="294">
        <f>C25+C27</f>
        <v>5463</v>
      </c>
      <c r="D24" s="294">
        <f>D25+D27</f>
        <v>5463</v>
      </c>
      <c r="E24" s="294">
        <f t="shared" si="0"/>
        <v>0</v>
      </c>
      <c r="F24" s="294">
        <f>F25+F27</f>
        <v>5463</v>
      </c>
      <c r="G24" s="294">
        <f>G25+G27</f>
        <v>5463</v>
      </c>
      <c r="H24" s="294">
        <f t="shared" si="1"/>
        <v>0</v>
      </c>
      <c r="I24" s="294">
        <f>I25+I27</f>
        <v>5463</v>
      </c>
      <c r="J24" s="294">
        <f>J25+J27</f>
        <v>5463</v>
      </c>
      <c r="K24" s="338">
        <f t="shared" si="2"/>
        <v>0</v>
      </c>
    </row>
    <row r="25" spans="1:11" s="353" customFormat="1" ht="21.75" customHeight="1" x14ac:dyDescent="0.25">
      <c r="A25" s="345" t="s">
        <v>777</v>
      </c>
      <c r="B25" s="348" t="s">
        <v>778</v>
      </c>
      <c r="C25" s="294">
        <f>C26</f>
        <v>3953</v>
      </c>
      <c r="D25" s="294">
        <f>D26</f>
        <v>3953</v>
      </c>
      <c r="E25" s="294">
        <f t="shared" si="0"/>
        <v>0</v>
      </c>
      <c r="F25" s="294">
        <f>F26</f>
        <v>3953</v>
      </c>
      <c r="G25" s="294">
        <f>G26</f>
        <v>3953</v>
      </c>
      <c r="H25" s="294">
        <f t="shared" si="1"/>
        <v>0</v>
      </c>
      <c r="I25" s="294">
        <f>I26</f>
        <v>3953</v>
      </c>
      <c r="J25" s="294">
        <f>J26</f>
        <v>3953</v>
      </c>
      <c r="K25" s="338">
        <f t="shared" si="2"/>
        <v>0</v>
      </c>
    </row>
    <row r="26" spans="1:11" s="353" customFormat="1" ht="32.25" customHeight="1" x14ac:dyDescent="0.25">
      <c r="A26" s="356" t="s">
        <v>779</v>
      </c>
      <c r="B26" s="357" t="s">
        <v>780</v>
      </c>
      <c r="C26" s="292">
        <v>3953</v>
      </c>
      <c r="D26" s="292">
        <v>3953</v>
      </c>
      <c r="E26" s="294">
        <f t="shared" si="0"/>
        <v>0</v>
      </c>
      <c r="F26" s="292">
        <v>3953</v>
      </c>
      <c r="G26" s="292">
        <v>3953</v>
      </c>
      <c r="H26" s="294">
        <f t="shared" si="1"/>
        <v>0</v>
      </c>
      <c r="I26" s="292">
        <v>3953</v>
      </c>
      <c r="J26" s="292">
        <v>3953</v>
      </c>
      <c r="K26" s="338">
        <f t="shared" si="2"/>
        <v>0</v>
      </c>
    </row>
    <row r="27" spans="1:11" s="353" customFormat="1" ht="19.5" customHeight="1" x14ac:dyDescent="0.25">
      <c r="A27" s="345" t="s">
        <v>781</v>
      </c>
      <c r="B27" s="348" t="s">
        <v>782</v>
      </c>
      <c r="C27" s="294">
        <f>C29+C28</f>
        <v>1510</v>
      </c>
      <c r="D27" s="294">
        <f>D29+D28</f>
        <v>1510</v>
      </c>
      <c r="E27" s="294">
        <f t="shared" si="0"/>
        <v>0</v>
      </c>
      <c r="F27" s="294">
        <f>F29+F28</f>
        <v>1510</v>
      </c>
      <c r="G27" s="294">
        <f>G29+G28</f>
        <v>1510</v>
      </c>
      <c r="H27" s="294">
        <f t="shared" si="1"/>
        <v>0</v>
      </c>
      <c r="I27" s="294">
        <f>I29+I28</f>
        <v>1510</v>
      </c>
      <c r="J27" s="294">
        <f>J29+J28</f>
        <v>1510</v>
      </c>
      <c r="K27" s="338">
        <f t="shared" si="2"/>
        <v>0</v>
      </c>
    </row>
    <row r="28" spans="1:11" s="353" customFormat="1" ht="32.25" customHeight="1" x14ac:dyDescent="0.25">
      <c r="A28" s="356" t="s">
        <v>783</v>
      </c>
      <c r="B28" s="357" t="s">
        <v>784</v>
      </c>
      <c r="C28" s="292">
        <v>556</v>
      </c>
      <c r="D28" s="292">
        <v>556</v>
      </c>
      <c r="E28" s="294">
        <f t="shared" si="0"/>
        <v>0</v>
      </c>
      <c r="F28" s="292">
        <v>556</v>
      </c>
      <c r="G28" s="292">
        <v>556</v>
      </c>
      <c r="H28" s="294">
        <f t="shared" si="1"/>
        <v>0</v>
      </c>
      <c r="I28" s="292">
        <v>556</v>
      </c>
      <c r="J28" s="292">
        <v>556</v>
      </c>
      <c r="K28" s="338">
        <f t="shared" si="2"/>
        <v>0</v>
      </c>
    </row>
    <row r="29" spans="1:11" s="353" customFormat="1" ht="32.25" customHeight="1" x14ac:dyDescent="0.25">
      <c r="A29" s="356" t="s">
        <v>785</v>
      </c>
      <c r="B29" s="357" t="s">
        <v>786</v>
      </c>
      <c r="C29" s="292">
        <v>954</v>
      </c>
      <c r="D29" s="292">
        <v>954</v>
      </c>
      <c r="E29" s="294">
        <f t="shared" si="0"/>
        <v>0</v>
      </c>
      <c r="F29" s="292">
        <v>954</v>
      </c>
      <c r="G29" s="292">
        <v>954</v>
      </c>
      <c r="H29" s="294">
        <f t="shared" si="1"/>
        <v>0</v>
      </c>
      <c r="I29" s="292">
        <v>954</v>
      </c>
      <c r="J29" s="292">
        <v>954</v>
      </c>
      <c r="K29" s="338">
        <f t="shared" si="2"/>
        <v>0</v>
      </c>
    </row>
    <row r="30" spans="1:11" x14ac:dyDescent="0.25">
      <c r="A30" s="345" t="s">
        <v>787</v>
      </c>
      <c r="B30" s="348" t="s">
        <v>788</v>
      </c>
      <c r="C30" s="294">
        <f>C32+C34</f>
        <v>797</v>
      </c>
      <c r="D30" s="294">
        <f t="shared" ref="D30:E30" si="3">D32+D34</f>
        <v>1577</v>
      </c>
      <c r="E30" s="294">
        <f t="shared" si="3"/>
        <v>780</v>
      </c>
      <c r="F30" s="294">
        <f>F32</f>
        <v>797</v>
      </c>
      <c r="G30" s="294">
        <f>G32</f>
        <v>797</v>
      </c>
      <c r="H30" s="294">
        <f t="shared" si="1"/>
        <v>0</v>
      </c>
      <c r="I30" s="294">
        <f>I32</f>
        <v>797</v>
      </c>
      <c r="J30" s="294">
        <f>J32</f>
        <v>797</v>
      </c>
      <c r="K30" s="338">
        <f t="shared" si="2"/>
        <v>0</v>
      </c>
    </row>
    <row r="31" spans="1:11" s="444" customFormat="1" ht="29.25" customHeight="1" x14ac:dyDescent="0.25">
      <c r="A31" s="440" t="s">
        <v>789</v>
      </c>
      <c r="B31" s="441" t="s">
        <v>790</v>
      </c>
      <c r="C31" s="442">
        <f>C32</f>
        <v>797</v>
      </c>
      <c r="D31" s="442">
        <f>D32</f>
        <v>1572</v>
      </c>
      <c r="E31" s="442">
        <f t="shared" si="0"/>
        <v>775</v>
      </c>
      <c r="F31" s="442">
        <f>F32</f>
        <v>797</v>
      </c>
      <c r="G31" s="442">
        <f>G32</f>
        <v>797</v>
      </c>
      <c r="H31" s="442">
        <f t="shared" si="1"/>
        <v>0</v>
      </c>
      <c r="I31" s="442">
        <f>I32</f>
        <v>797</v>
      </c>
      <c r="J31" s="442">
        <f>J32</f>
        <v>797</v>
      </c>
      <c r="K31" s="443">
        <f t="shared" si="2"/>
        <v>0</v>
      </c>
    </row>
    <row r="32" spans="1:11" s="448" customFormat="1" ht="31.5" customHeight="1" x14ac:dyDescent="0.25">
      <c r="A32" s="445" t="s">
        <v>791</v>
      </c>
      <c r="B32" s="446" t="s">
        <v>792</v>
      </c>
      <c r="C32" s="447">
        <v>797</v>
      </c>
      <c r="D32" s="447">
        <f>797+780-5</f>
        <v>1572</v>
      </c>
      <c r="E32" s="442">
        <f t="shared" si="0"/>
        <v>775</v>
      </c>
      <c r="F32" s="447">
        <v>797</v>
      </c>
      <c r="G32" s="447">
        <v>797</v>
      </c>
      <c r="H32" s="442">
        <f t="shared" si="1"/>
        <v>0</v>
      </c>
      <c r="I32" s="447">
        <v>797</v>
      </c>
      <c r="J32" s="447">
        <v>797</v>
      </c>
      <c r="K32" s="443">
        <f t="shared" si="2"/>
        <v>0</v>
      </c>
    </row>
    <row r="33" spans="1:11" s="444" customFormat="1" ht="29.25" customHeight="1" x14ac:dyDescent="0.25">
      <c r="A33" s="440" t="s">
        <v>1121</v>
      </c>
      <c r="B33" s="441" t="s">
        <v>1122</v>
      </c>
      <c r="C33" s="442">
        <f>C34</f>
        <v>0</v>
      </c>
      <c r="D33" s="442">
        <f>D34</f>
        <v>5</v>
      </c>
      <c r="E33" s="442">
        <f t="shared" ref="E33:E34" si="4">D33-C33</f>
        <v>5</v>
      </c>
      <c r="F33" s="442">
        <f>F34</f>
        <v>797</v>
      </c>
      <c r="G33" s="442">
        <f>G34</f>
        <v>797</v>
      </c>
      <c r="H33" s="442">
        <f t="shared" ref="H33:H34" si="5">G33-F33</f>
        <v>0</v>
      </c>
      <c r="I33" s="442">
        <f>I34</f>
        <v>797</v>
      </c>
      <c r="J33" s="442">
        <f>J34</f>
        <v>797</v>
      </c>
      <c r="K33" s="443">
        <f t="shared" ref="K33:K34" si="6">J33-I33</f>
        <v>0</v>
      </c>
    </row>
    <row r="34" spans="1:11" s="448" customFormat="1" ht="31.5" customHeight="1" x14ac:dyDescent="0.25">
      <c r="A34" s="445" t="s">
        <v>1120</v>
      </c>
      <c r="B34" s="446" t="s">
        <v>1123</v>
      </c>
      <c r="C34" s="447">
        <v>0</v>
      </c>
      <c r="D34" s="447">
        <v>5</v>
      </c>
      <c r="E34" s="442">
        <f t="shared" si="4"/>
        <v>5</v>
      </c>
      <c r="F34" s="447">
        <v>797</v>
      </c>
      <c r="G34" s="447">
        <v>797</v>
      </c>
      <c r="H34" s="442">
        <f t="shared" si="5"/>
        <v>0</v>
      </c>
      <c r="I34" s="447">
        <v>797</v>
      </c>
      <c r="J34" s="447">
        <v>797</v>
      </c>
      <c r="K34" s="443">
        <f t="shared" si="6"/>
        <v>0</v>
      </c>
    </row>
    <row r="35" spans="1:11" s="448" customFormat="1" ht="33" customHeight="1" x14ac:dyDescent="0.25">
      <c r="A35" s="440" t="s">
        <v>793</v>
      </c>
      <c r="B35" s="441" t="s">
        <v>794</v>
      </c>
      <c r="C35" s="442">
        <f>C36+C38+C43</f>
        <v>5463</v>
      </c>
      <c r="D35" s="442">
        <f>D36+D38+D43</f>
        <v>5463</v>
      </c>
      <c r="E35" s="442">
        <f t="shared" si="0"/>
        <v>0</v>
      </c>
      <c r="F35" s="442">
        <f>F36+F38+F43</f>
        <v>5463</v>
      </c>
      <c r="G35" s="442">
        <f>G36+G38+G43</f>
        <v>5463</v>
      </c>
      <c r="H35" s="442">
        <f t="shared" si="1"/>
        <v>0</v>
      </c>
      <c r="I35" s="442">
        <f>I36+I38+I43</f>
        <v>5463</v>
      </c>
      <c r="J35" s="442">
        <f>J36+J38+J43</f>
        <v>5463</v>
      </c>
      <c r="K35" s="443">
        <f t="shared" si="2"/>
        <v>0</v>
      </c>
    </row>
    <row r="36" spans="1:11" s="353" customFormat="1" ht="80.25" hidden="1" customHeight="1" x14ac:dyDescent="0.25">
      <c r="A36" s="345" t="s">
        <v>795</v>
      </c>
      <c r="B36" s="358" t="s">
        <v>796</v>
      </c>
      <c r="C36" s="294">
        <f>C37</f>
        <v>0</v>
      </c>
      <c r="D36" s="294">
        <f>D37</f>
        <v>0</v>
      </c>
      <c r="E36" s="294">
        <f t="shared" si="0"/>
        <v>0</v>
      </c>
      <c r="F36" s="294">
        <f>F37</f>
        <v>0</v>
      </c>
      <c r="G36" s="294">
        <f>G37</f>
        <v>0</v>
      </c>
      <c r="H36" s="294">
        <f t="shared" si="1"/>
        <v>0</v>
      </c>
      <c r="I36" s="294">
        <f>I37</f>
        <v>0</v>
      </c>
      <c r="J36" s="294">
        <f>J37</f>
        <v>0</v>
      </c>
      <c r="K36" s="338">
        <f t="shared" si="2"/>
        <v>0</v>
      </c>
    </row>
    <row r="37" spans="1:11" ht="52.5" hidden="1" customHeight="1" x14ac:dyDescent="0.25">
      <c r="A37" s="356" t="s">
        <v>797</v>
      </c>
      <c r="B37" s="357" t="s">
        <v>798</v>
      </c>
      <c r="C37" s="292">
        <v>0</v>
      </c>
      <c r="D37" s="292">
        <v>0</v>
      </c>
      <c r="E37" s="294">
        <f t="shared" si="0"/>
        <v>0</v>
      </c>
      <c r="F37" s="292">
        <v>0</v>
      </c>
      <c r="G37" s="292">
        <v>0</v>
      </c>
      <c r="H37" s="294">
        <f t="shared" si="1"/>
        <v>0</v>
      </c>
      <c r="I37" s="292">
        <v>0</v>
      </c>
      <c r="J37" s="292">
        <v>0</v>
      </c>
      <c r="K37" s="338">
        <f t="shared" si="2"/>
        <v>0</v>
      </c>
    </row>
    <row r="38" spans="1:11" s="353" customFormat="1" ht="78" customHeight="1" x14ac:dyDescent="0.25">
      <c r="A38" s="345" t="s">
        <v>799</v>
      </c>
      <c r="B38" s="358" t="s">
        <v>800</v>
      </c>
      <c r="C38" s="294">
        <f>C39+C41</f>
        <v>4015</v>
      </c>
      <c r="D38" s="294">
        <f>D39+D41</f>
        <v>4015</v>
      </c>
      <c r="E38" s="294">
        <f t="shared" si="0"/>
        <v>0</v>
      </c>
      <c r="F38" s="294">
        <f>F39+F41</f>
        <v>4015</v>
      </c>
      <c r="G38" s="294">
        <f>G39+G41</f>
        <v>4015</v>
      </c>
      <c r="H38" s="294">
        <f t="shared" si="1"/>
        <v>0</v>
      </c>
      <c r="I38" s="294">
        <f>I39+I41</f>
        <v>4015</v>
      </c>
      <c r="J38" s="294">
        <f>J39+J41</f>
        <v>4015</v>
      </c>
      <c r="K38" s="338">
        <f t="shared" si="2"/>
        <v>0</v>
      </c>
    </row>
    <row r="39" spans="1:11" s="353" customFormat="1" ht="62.25" customHeight="1" x14ac:dyDescent="0.25">
      <c r="A39" s="345" t="s">
        <v>801</v>
      </c>
      <c r="B39" s="358" t="s">
        <v>802</v>
      </c>
      <c r="C39" s="294">
        <f>C40</f>
        <v>3100</v>
      </c>
      <c r="D39" s="294">
        <f>D40</f>
        <v>3100</v>
      </c>
      <c r="E39" s="294">
        <f t="shared" si="0"/>
        <v>0</v>
      </c>
      <c r="F39" s="294">
        <f>F40</f>
        <v>3100</v>
      </c>
      <c r="G39" s="294">
        <f>G40</f>
        <v>3100</v>
      </c>
      <c r="H39" s="294">
        <f t="shared" si="1"/>
        <v>0</v>
      </c>
      <c r="I39" s="294">
        <f>I40</f>
        <v>3100</v>
      </c>
      <c r="J39" s="294">
        <f>J40</f>
        <v>3100</v>
      </c>
      <c r="K39" s="338">
        <f t="shared" si="2"/>
        <v>0</v>
      </c>
    </row>
    <row r="40" spans="1:11" ht="57.75" customHeight="1" x14ac:dyDescent="0.25">
      <c r="A40" s="356" t="s">
        <v>803</v>
      </c>
      <c r="B40" s="359" t="s">
        <v>804</v>
      </c>
      <c r="C40" s="292">
        <f>3100</f>
        <v>3100</v>
      </c>
      <c r="D40" s="292">
        <f>3100</f>
        <v>3100</v>
      </c>
      <c r="E40" s="294">
        <f t="shared" si="0"/>
        <v>0</v>
      </c>
      <c r="F40" s="292">
        <f>3100</f>
        <v>3100</v>
      </c>
      <c r="G40" s="292">
        <f>3100</f>
        <v>3100</v>
      </c>
      <c r="H40" s="294">
        <f t="shared" si="1"/>
        <v>0</v>
      </c>
      <c r="I40" s="292">
        <v>3100</v>
      </c>
      <c r="J40" s="292">
        <v>3100</v>
      </c>
      <c r="K40" s="338">
        <f t="shared" si="2"/>
        <v>0</v>
      </c>
    </row>
    <row r="41" spans="1:11" ht="33" customHeight="1" x14ac:dyDescent="0.25">
      <c r="A41" s="345" t="s">
        <v>805</v>
      </c>
      <c r="B41" s="348" t="s">
        <v>806</v>
      </c>
      <c r="C41" s="294">
        <f>C42</f>
        <v>915</v>
      </c>
      <c r="D41" s="294">
        <f>D42</f>
        <v>915</v>
      </c>
      <c r="E41" s="294">
        <f t="shared" si="0"/>
        <v>0</v>
      </c>
      <c r="F41" s="294">
        <f>F42</f>
        <v>915</v>
      </c>
      <c r="G41" s="294">
        <f>G42</f>
        <v>915</v>
      </c>
      <c r="H41" s="294">
        <f t="shared" si="1"/>
        <v>0</v>
      </c>
      <c r="I41" s="294">
        <f>I42</f>
        <v>915</v>
      </c>
      <c r="J41" s="294">
        <f>J42</f>
        <v>915</v>
      </c>
      <c r="K41" s="338">
        <f t="shared" si="2"/>
        <v>0</v>
      </c>
    </row>
    <row r="42" spans="1:11" ht="27" customHeight="1" x14ac:dyDescent="0.25">
      <c r="A42" s="356" t="s">
        <v>807</v>
      </c>
      <c r="B42" s="291" t="s">
        <v>808</v>
      </c>
      <c r="C42" s="292">
        <v>915</v>
      </c>
      <c r="D42" s="292">
        <v>915</v>
      </c>
      <c r="E42" s="294">
        <f t="shared" si="0"/>
        <v>0</v>
      </c>
      <c r="F42" s="292">
        <v>915</v>
      </c>
      <c r="G42" s="292">
        <v>915</v>
      </c>
      <c r="H42" s="294">
        <f t="shared" si="1"/>
        <v>0</v>
      </c>
      <c r="I42" s="292">
        <v>915</v>
      </c>
      <c r="J42" s="292">
        <v>915</v>
      </c>
      <c r="K42" s="338">
        <f t="shared" si="2"/>
        <v>0</v>
      </c>
    </row>
    <row r="43" spans="1:11" s="353" customFormat="1" ht="59.25" customHeight="1" x14ac:dyDescent="0.25">
      <c r="A43" s="347" t="s">
        <v>809</v>
      </c>
      <c r="B43" s="358" t="s">
        <v>810</v>
      </c>
      <c r="C43" s="294">
        <f t="shared" ref="C43:J44" si="7">C44</f>
        <v>1448</v>
      </c>
      <c r="D43" s="294">
        <f t="shared" si="7"/>
        <v>1448</v>
      </c>
      <c r="E43" s="294">
        <f t="shared" si="0"/>
        <v>0</v>
      </c>
      <c r="F43" s="294">
        <f t="shared" si="7"/>
        <v>1448</v>
      </c>
      <c r="G43" s="294">
        <f t="shared" si="7"/>
        <v>1448</v>
      </c>
      <c r="H43" s="294">
        <f t="shared" si="1"/>
        <v>0</v>
      </c>
      <c r="I43" s="294">
        <f t="shared" si="7"/>
        <v>1448</v>
      </c>
      <c r="J43" s="294">
        <f t="shared" si="7"/>
        <v>1448</v>
      </c>
      <c r="K43" s="338">
        <f t="shared" si="2"/>
        <v>0</v>
      </c>
    </row>
    <row r="44" spans="1:11" ht="63.75" customHeight="1" x14ac:dyDescent="0.25">
      <c r="A44" s="360" t="s">
        <v>811</v>
      </c>
      <c r="B44" s="361" t="s">
        <v>812</v>
      </c>
      <c r="C44" s="292">
        <f t="shared" si="7"/>
        <v>1448</v>
      </c>
      <c r="D44" s="292">
        <f t="shared" si="7"/>
        <v>1448</v>
      </c>
      <c r="E44" s="294">
        <f t="shared" si="0"/>
        <v>0</v>
      </c>
      <c r="F44" s="292">
        <f t="shared" si="7"/>
        <v>1448</v>
      </c>
      <c r="G44" s="292">
        <f t="shared" si="7"/>
        <v>1448</v>
      </c>
      <c r="H44" s="294">
        <f t="shared" si="1"/>
        <v>0</v>
      </c>
      <c r="I44" s="292">
        <f t="shared" si="7"/>
        <v>1448</v>
      </c>
      <c r="J44" s="292">
        <f t="shared" si="7"/>
        <v>1448</v>
      </c>
      <c r="K44" s="338">
        <f t="shared" si="2"/>
        <v>0</v>
      </c>
    </row>
    <row r="45" spans="1:11" ht="63.75" customHeight="1" x14ac:dyDescent="0.25">
      <c r="A45" s="360" t="s">
        <v>813</v>
      </c>
      <c r="B45" s="362" t="s">
        <v>814</v>
      </c>
      <c r="C45" s="292">
        <v>1448</v>
      </c>
      <c r="D45" s="292">
        <v>1448</v>
      </c>
      <c r="E45" s="294">
        <f t="shared" si="0"/>
        <v>0</v>
      </c>
      <c r="F45" s="292">
        <v>1448</v>
      </c>
      <c r="G45" s="292">
        <v>1448</v>
      </c>
      <c r="H45" s="294">
        <f t="shared" si="1"/>
        <v>0</v>
      </c>
      <c r="I45" s="292">
        <v>1448</v>
      </c>
      <c r="J45" s="292">
        <v>1448</v>
      </c>
      <c r="K45" s="338">
        <f t="shared" si="2"/>
        <v>0</v>
      </c>
    </row>
    <row r="46" spans="1:11" ht="19.5" customHeight="1" x14ac:dyDescent="0.25">
      <c r="A46" s="345" t="s">
        <v>815</v>
      </c>
      <c r="B46" s="354" t="s">
        <v>816</v>
      </c>
      <c r="C46" s="294">
        <f>C47</f>
        <v>860</v>
      </c>
      <c r="D46" s="294">
        <f>D47</f>
        <v>860</v>
      </c>
      <c r="E46" s="294">
        <f t="shared" si="0"/>
        <v>0</v>
      </c>
      <c r="F46" s="294">
        <f>F47</f>
        <v>0</v>
      </c>
      <c r="G46" s="294">
        <f>G47</f>
        <v>0</v>
      </c>
      <c r="H46" s="294">
        <f t="shared" si="1"/>
        <v>0</v>
      </c>
      <c r="I46" s="294">
        <f>I47</f>
        <v>0</v>
      </c>
      <c r="J46" s="294">
        <f>J47</f>
        <v>0</v>
      </c>
      <c r="K46" s="338">
        <f t="shared" si="2"/>
        <v>0</v>
      </c>
    </row>
    <row r="47" spans="1:11" ht="19.5" customHeight="1" x14ac:dyDescent="0.25">
      <c r="A47" s="356" t="s">
        <v>817</v>
      </c>
      <c r="B47" s="363" t="s">
        <v>818</v>
      </c>
      <c r="C47" s="292">
        <v>860</v>
      </c>
      <c r="D47" s="292">
        <v>860</v>
      </c>
      <c r="E47" s="294">
        <f t="shared" si="0"/>
        <v>0</v>
      </c>
      <c r="F47" s="292">
        <v>0</v>
      </c>
      <c r="G47" s="292">
        <v>0</v>
      </c>
      <c r="H47" s="294">
        <f t="shared" si="1"/>
        <v>0</v>
      </c>
      <c r="I47" s="292">
        <v>0</v>
      </c>
      <c r="J47" s="292">
        <v>0</v>
      </c>
      <c r="K47" s="338">
        <f t="shared" si="2"/>
        <v>0</v>
      </c>
    </row>
    <row r="48" spans="1:11" ht="40.5" customHeight="1" x14ac:dyDescent="0.25">
      <c r="A48" s="345" t="s">
        <v>819</v>
      </c>
      <c r="B48" s="355" t="s">
        <v>820</v>
      </c>
      <c r="C48" s="294">
        <f>C49+C52</f>
        <v>1683</v>
      </c>
      <c r="D48" s="294">
        <f>D49+D52</f>
        <v>1683</v>
      </c>
      <c r="E48" s="294">
        <f t="shared" si="0"/>
        <v>0</v>
      </c>
      <c r="F48" s="294">
        <f>F49+F52</f>
        <v>1683</v>
      </c>
      <c r="G48" s="294">
        <f>G49+G52</f>
        <v>1683</v>
      </c>
      <c r="H48" s="294">
        <f t="shared" si="1"/>
        <v>0</v>
      </c>
      <c r="I48" s="294">
        <f>I49+I52</f>
        <v>1683</v>
      </c>
      <c r="J48" s="294">
        <f>J49+J52</f>
        <v>1683</v>
      </c>
      <c r="K48" s="338">
        <f t="shared" si="2"/>
        <v>0</v>
      </c>
    </row>
    <row r="49" spans="1:11" s="353" customFormat="1" ht="21.75" customHeight="1" x14ac:dyDescent="0.25">
      <c r="A49" s="345" t="s">
        <v>821</v>
      </c>
      <c r="B49" s="355" t="s">
        <v>822</v>
      </c>
      <c r="C49" s="294">
        <f>C51</f>
        <v>726.8</v>
      </c>
      <c r="D49" s="294">
        <f>D51</f>
        <v>726.8</v>
      </c>
      <c r="E49" s="294">
        <f t="shared" si="0"/>
        <v>0</v>
      </c>
      <c r="F49" s="294">
        <f>F51</f>
        <v>726.8</v>
      </c>
      <c r="G49" s="294">
        <f>G51</f>
        <v>726.8</v>
      </c>
      <c r="H49" s="294">
        <f t="shared" si="1"/>
        <v>0</v>
      </c>
      <c r="I49" s="294">
        <f>I51</f>
        <v>726.8</v>
      </c>
      <c r="J49" s="294">
        <f>J51</f>
        <v>726.8</v>
      </c>
      <c r="K49" s="338">
        <f t="shared" si="2"/>
        <v>0</v>
      </c>
    </row>
    <row r="50" spans="1:11" ht="23.25" customHeight="1" x14ac:dyDescent="0.25">
      <c r="A50" s="356" t="s">
        <v>823</v>
      </c>
      <c r="B50" s="296" t="s">
        <v>824</v>
      </c>
      <c r="C50" s="292">
        <f>C51</f>
        <v>726.8</v>
      </c>
      <c r="D50" s="292">
        <f>D51</f>
        <v>726.8</v>
      </c>
      <c r="E50" s="294">
        <f t="shared" si="0"/>
        <v>0</v>
      </c>
      <c r="F50" s="292">
        <f>F51</f>
        <v>726.8</v>
      </c>
      <c r="G50" s="292">
        <f>G51</f>
        <v>726.8</v>
      </c>
      <c r="H50" s="294">
        <f t="shared" si="1"/>
        <v>0</v>
      </c>
      <c r="I50" s="292">
        <f>I51</f>
        <v>726.8</v>
      </c>
      <c r="J50" s="292">
        <f>J51</f>
        <v>726.8</v>
      </c>
      <c r="K50" s="338">
        <f t="shared" si="2"/>
        <v>0</v>
      </c>
    </row>
    <row r="51" spans="1:11" ht="32.25" customHeight="1" x14ac:dyDescent="0.25">
      <c r="A51" s="356" t="s">
        <v>825</v>
      </c>
      <c r="B51" s="364" t="s">
        <v>826</v>
      </c>
      <c r="C51" s="292">
        <v>726.8</v>
      </c>
      <c r="D51" s="292">
        <v>726.8</v>
      </c>
      <c r="E51" s="294">
        <f t="shared" si="0"/>
        <v>0</v>
      </c>
      <c r="F51" s="292">
        <v>726.8</v>
      </c>
      <c r="G51" s="292">
        <v>726.8</v>
      </c>
      <c r="H51" s="294">
        <f t="shared" si="1"/>
        <v>0</v>
      </c>
      <c r="I51" s="292">
        <v>726.8</v>
      </c>
      <c r="J51" s="292">
        <v>726.8</v>
      </c>
      <c r="K51" s="338">
        <f t="shared" si="2"/>
        <v>0</v>
      </c>
    </row>
    <row r="52" spans="1:11" s="353" customFormat="1" ht="22.5" customHeight="1" x14ac:dyDescent="0.25">
      <c r="A52" s="345" t="s">
        <v>827</v>
      </c>
      <c r="B52" s="355" t="s">
        <v>828</v>
      </c>
      <c r="C52" s="294">
        <f t="shared" ref="C52:J53" si="8">C53</f>
        <v>956.2</v>
      </c>
      <c r="D52" s="294">
        <f t="shared" si="8"/>
        <v>956.2</v>
      </c>
      <c r="E52" s="294">
        <f t="shared" si="0"/>
        <v>0</v>
      </c>
      <c r="F52" s="294">
        <f t="shared" si="8"/>
        <v>956.2</v>
      </c>
      <c r="G52" s="294">
        <f t="shared" si="8"/>
        <v>956.2</v>
      </c>
      <c r="H52" s="294">
        <f t="shared" si="1"/>
        <v>0</v>
      </c>
      <c r="I52" s="294">
        <f t="shared" si="8"/>
        <v>956.2</v>
      </c>
      <c r="J52" s="294">
        <f t="shared" si="8"/>
        <v>956.2</v>
      </c>
      <c r="K52" s="338">
        <f t="shared" si="2"/>
        <v>0</v>
      </c>
    </row>
    <row r="53" spans="1:11" ht="22.5" customHeight="1" x14ac:dyDescent="0.25">
      <c r="A53" s="356" t="s">
        <v>829</v>
      </c>
      <c r="B53" s="364" t="s">
        <v>830</v>
      </c>
      <c r="C53" s="292">
        <f t="shared" si="8"/>
        <v>956.2</v>
      </c>
      <c r="D53" s="292">
        <f t="shared" si="8"/>
        <v>956.2</v>
      </c>
      <c r="E53" s="294">
        <f t="shared" si="0"/>
        <v>0</v>
      </c>
      <c r="F53" s="292">
        <f t="shared" si="8"/>
        <v>956.2</v>
      </c>
      <c r="G53" s="292">
        <f t="shared" si="8"/>
        <v>956.2</v>
      </c>
      <c r="H53" s="294">
        <f t="shared" si="1"/>
        <v>0</v>
      </c>
      <c r="I53" s="292">
        <f t="shared" si="8"/>
        <v>956.2</v>
      </c>
      <c r="J53" s="292">
        <f t="shared" si="8"/>
        <v>956.2</v>
      </c>
      <c r="K53" s="338">
        <f t="shared" si="2"/>
        <v>0</v>
      </c>
    </row>
    <row r="54" spans="1:11" ht="31.5" customHeight="1" x14ac:dyDescent="0.25">
      <c r="A54" s="356" t="s">
        <v>831</v>
      </c>
      <c r="B54" s="296" t="s">
        <v>832</v>
      </c>
      <c r="C54" s="292">
        <f>1683-C51</f>
        <v>956.2</v>
      </c>
      <c r="D54" s="292">
        <f>1683-D51</f>
        <v>956.2</v>
      </c>
      <c r="E54" s="294">
        <f t="shared" si="0"/>
        <v>0</v>
      </c>
      <c r="F54" s="292">
        <f>1683-F51</f>
        <v>956.2</v>
      </c>
      <c r="G54" s="292">
        <f>1683-G51</f>
        <v>956.2</v>
      </c>
      <c r="H54" s="294">
        <f t="shared" si="1"/>
        <v>0</v>
      </c>
      <c r="I54" s="292">
        <f>1683-I51</f>
        <v>956.2</v>
      </c>
      <c r="J54" s="292">
        <f>1683-J51</f>
        <v>956.2</v>
      </c>
      <c r="K54" s="338">
        <f t="shared" si="2"/>
        <v>0</v>
      </c>
    </row>
    <row r="55" spans="1:11" ht="22.5" customHeight="1" x14ac:dyDescent="0.25">
      <c r="A55" s="345" t="s">
        <v>833</v>
      </c>
      <c r="B55" s="348" t="s">
        <v>834</v>
      </c>
      <c r="C55" s="294">
        <f>C56+C59</f>
        <v>4007.4</v>
      </c>
      <c r="D55" s="294">
        <f>D56+D59</f>
        <v>4007.4</v>
      </c>
      <c r="E55" s="294">
        <f t="shared" si="0"/>
        <v>0</v>
      </c>
      <c r="F55" s="294">
        <f>F56+F59</f>
        <v>1354</v>
      </c>
      <c r="G55" s="294">
        <f>G56+G59</f>
        <v>1354</v>
      </c>
      <c r="H55" s="294">
        <f t="shared" si="1"/>
        <v>0</v>
      </c>
      <c r="I55" s="294">
        <f>I56+I59</f>
        <v>1354</v>
      </c>
      <c r="J55" s="294">
        <f>J56+J59</f>
        <v>1354</v>
      </c>
      <c r="K55" s="338">
        <f t="shared" si="2"/>
        <v>0</v>
      </c>
    </row>
    <row r="56" spans="1:11" s="353" customFormat="1" ht="59.25" customHeight="1" x14ac:dyDescent="0.25">
      <c r="A56" s="365" t="s">
        <v>835</v>
      </c>
      <c r="B56" s="358" t="s">
        <v>836</v>
      </c>
      <c r="C56" s="294">
        <f t="shared" ref="C56:J57" si="9">C57</f>
        <v>3153.4</v>
      </c>
      <c r="D56" s="294">
        <f t="shared" si="9"/>
        <v>3153.4</v>
      </c>
      <c r="E56" s="294">
        <f t="shared" si="0"/>
        <v>0</v>
      </c>
      <c r="F56" s="294">
        <f t="shared" si="9"/>
        <v>500</v>
      </c>
      <c r="G56" s="294">
        <f t="shared" si="9"/>
        <v>500</v>
      </c>
      <c r="H56" s="294">
        <f t="shared" si="1"/>
        <v>0</v>
      </c>
      <c r="I56" s="294">
        <f t="shared" si="9"/>
        <v>500</v>
      </c>
      <c r="J56" s="294">
        <f t="shared" si="9"/>
        <v>500</v>
      </c>
      <c r="K56" s="338">
        <f t="shared" si="2"/>
        <v>0</v>
      </c>
    </row>
    <row r="57" spans="1:11" ht="78.75" customHeight="1" x14ac:dyDescent="0.25">
      <c r="A57" s="356" t="s">
        <v>837</v>
      </c>
      <c r="B57" s="366" t="s">
        <v>838</v>
      </c>
      <c r="C57" s="292">
        <f t="shared" si="9"/>
        <v>3153.4</v>
      </c>
      <c r="D57" s="292">
        <f t="shared" si="9"/>
        <v>3153.4</v>
      </c>
      <c r="E57" s="294">
        <f t="shared" si="0"/>
        <v>0</v>
      </c>
      <c r="F57" s="292">
        <f t="shared" si="9"/>
        <v>500</v>
      </c>
      <c r="G57" s="292">
        <f t="shared" si="9"/>
        <v>500</v>
      </c>
      <c r="H57" s="294">
        <f t="shared" si="1"/>
        <v>0</v>
      </c>
      <c r="I57" s="292">
        <f t="shared" si="9"/>
        <v>500</v>
      </c>
      <c r="J57" s="292">
        <f t="shared" si="9"/>
        <v>500</v>
      </c>
      <c r="K57" s="338">
        <f t="shared" si="2"/>
        <v>0</v>
      </c>
    </row>
    <row r="58" spans="1:11" ht="72.75" customHeight="1" x14ac:dyDescent="0.25">
      <c r="A58" s="360" t="s">
        <v>839</v>
      </c>
      <c r="B58" s="367" t="s">
        <v>840</v>
      </c>
      <c r="C58" s="292">
        <v>3153.4</v>
      </c>
      <c r="D58" s="292">
        <v>3153.4</v>
      </c>
      <c r="E58" s="294">
        <f t="shared" si="0"/>
        <v>0</v>
      </c>
      <c r="F58" s="292">
        <v>500</v>
      </c>
      <c r="G58" s="292">
        <v>500</v>
      </c>
      <c r="H58" s="294">
        <f t="shared" si="1"/>
        <v>0</v>
      </c>
      <c r="I58" s="292">
        <v>500</v>
      </c>
      <c r="J58" s="292">
        <v>500</v>
      </c>
      <c r="K58" s="338">
        <f t="shared" si="2"/>
        <v>0</v>
      </c>
    </row>
    <row r="59" spans="1:11" s="353" customFormat="1" ht="32.25" customHeight="1" x14ac:dyDescent="0.25">
      <c r="A59" s="345" t="s">
        <v>841</v>
      </c>
      <c r="B59" s="358" t="s">
        <v>842</v>
      </c>
      <c r="C59" s="294">
        <f t="shared" ref="C59:J60" si="10">C60</f>
        <v>854</v>
      </c>
      <c r="D59" s="294">
        <f t="shared" si="10"/>
        <v>854</v>
      </c>
      <c r="E59" s="294">
        <f t="shared" si="0"/>
        <v>0</v>
      </c>
      <c r="F59" s="294">
        <f t="shared" si="10"/>
        <v>854</v>
      </c>
      <c r="G59" s="294">
        <f t="shared" si="10"/>
        <v>854</v>
      </c>
      <c r="H59" s="294">
        <f t="shared" si="1"/>
        <v>0</v>
      </c>
      <c r="I59" s="294">
        <f t="shared" si="10"/>
        <v>854</v>
      </c>
      <c r="J59" s="294">
        <f t="shared" si="10"/>
        <v>854</v>
      </c>
      <c r="K59" s="338">
        <f t="shared" si="2"/>
        <v>0</v>
      </c>
    </row>
    <row r="60" spans="1:11" ht="28.5" customHeight="1" x14ac:dyDescent="0.25">
      <c r="A60" s="356" t="s">
        <v>843</v>
      </c>
      <c r="B60" s="361" t="s">
        <v>844</v>
      </c>
      <c r="C60" s="292">
        <f t="shared" si="10"/>
        <v>854</v>
      </c>
      <c r="D60" s="292">
        <f t="shared" si="10"/>
        <v>854</v>
      </c>
      <c r="E60" s="294">
        <f t="shared" si="0"/>
        <v>0</v>
      </c>
      <c r="F60" s="292">
        <f t="shared" si="10"/>
        <v>854</v>
      </c>
      <c r="G60" s="292">
        <f t="shared" si="10"/>
        <v>854</v>
      </c>
      <c r="H60" s="294">
        <f t="shared" si="1"/>
        <v>0</v>
      </c>
      <c r="I60" s="292">
        <f t="shared" si="10"/>
        <v>854</v>
      </c>
      <c r="J60" s="292">
        <f t="shared" si="10"/>
        <v>854</v>
      </c>
      <c r="K60" s="338">
        <f t="shared" si="2"/>
        <v>0</v>
      </c>
    </row>
    <row r="61" spans="1:11" ht="30.75" customHeight="1" x14ac:dyDescent="0.25">
      <c r="A61" s="356" t="s">
        <v>845</v>
      </c>
      <c r="B61" s="357" t="s">
        <v>846</v>
      </c>
      <c r="C61" s="292">
        <f>572+282</f>
        <v>854</v>
      </c>
      <c r="D61" s="292">
        <f>572+282</f>
        <v>854</v>
      </c>
      <c r="E61" s="294">
        <f t="shared" si="0"/>
        <v>0</v>
      </c>
      <c r="F61" s="292">
        <f>572+282</f>
        <v>854</v>
      </c>
      <c r="G61" s="292">
        <f>572+282</f>
        <v>854</v>
      </c>
      <c r="H61" s="294">
        <f t="shared" si="1"/>
        <v>0</v>
      </c>
      <c r="I61" s="292">
        <v>854</v>
      </c>
      <c r="J61" s="292">
        <v>854</v>
      </c>
      <c r="K61" s="338">
        <f t="shared" si="2"/>
        <v>0</v>
      </c>
    </row>
    <row r="62" spans="1:11" ht="17.25" customHeight="1" x14ac:dyDescent="0.25">
      <c r="A62" s="345" t="s">
        <v>847</v>
      </c>
      <c r="B62" s="348" t="s">
        <v>848</v>
      </c>
      <c r="C62" s="294">
        <v>240</v>
      </c>
      <c r="D62" s="294">
        <v>240</v>
      </c>
      <c r="E62" s="294">
        <f t="shared" si="0"/>
        <v>0</v>
      </c>
      <c r="F62" s="294">
        <v>240</v>
      </c>
      <c r="G62" s="294">
        <v>240</v>
      </c>
      <c r="H62" s="294">
        <f t="shared" si="1"/>
        <v>0</v>
      </c>
      <c r="I62" s="294">
        <v>240</v>
      </c>
      <c r="J62" s="294">
        <v>240</v>
      </c>
      <c r="K62" s="338">
        <f t="shared" si="2"/>
        <v>0</v>
      </c>
    </row>
    <row r="63" spans="1:11" ht="17.25" customHeight="1" x14ac:dyDescent="0.25">
      <c r="A63" s="345" t="s">
        <v>849</v>
      </c>
      <c r="B63" s="348" t="s">
        <v>850</v>
      </c>
      <c r="C63" s="294">
        <f>C64+C66</f>
        <v>290.60000000000002</v>
      </c>
      <c r="D63" s="294">
        <f>D64+D66</f>
        <v>290.60000000000002</v>
      </c>
      <c r="E63" s="294">
        <f t="shared" si="0"/>
        <v>0</v>
      </c>
      <c r="F63" s="294">
        <f>F64+F66</f>
        <v>40</v>
      </c>
      <c r="G63" s="294">
        <f>G64+G66</f>
        <v>40</v>
      </c>
      <c r="H63" s="294">
        <f t="shared" si="1"/>
        <v>0</v>
      </c>
      <c r="I63" s="294">
        <f>I64+I66</f>
        <v>40</v>
      </c>
      <c r="J63" s="294">
        <f>J64+J66</f>
        <v>40</v>
      </c>
      <c r="K63" s="338">
        <f t="shared" si="2"/>
        <v>0</v>
      </c>
    </row>
    <row r="64" spans="1:11" ht="17.25" customHeight="1" x14ac:dyDescent="0.25">
      <c r="A64" s="345" t="s">
        <v>851</v>
      </c>
      <c r="B64" s="348" t="s">
        <v>852</v>
      </c>
      <c r="C64" s="294">
        <f>C65</f>
        <v>40</v>
      </c>
      <c r="D64" s="294">
        <f>D65</f>
        <v>40</v>
      </c>
      <c r="E64" s="294">
        <f t="shared" si="0"/>
        <v>0</v>
      </c>
      <c r="F64" s="294">
        <f>F65</f>
        <v>40</v>
      </c>
      <c r="G64" s="294">
        <f>G65</f>
        <v>40</v>
      </c>
      <c r="H64" s="294">
        <f t="shared" si="1"/>
        <v>0</v>
      </c>
      <c r="I64" s="294">
        <f>I65</f>
        <v>40</v>
      </c>
      <c r="J64" s="294">
        <f>J65</f>
        <v>40</v>
      </c>
      <c r="K64" s="338">
        <f t="shared" si="2"/>
        <v>0</v>
      </c>
    </row>
    <row r="65" spans="1:16" ht="17.25" customHeight="1" x14ac:dyDescent="0.25">
      <c r="A65" s="356" t="s">
        <v>853</v>
      </c>
      <c r="B65" s="357" t="s">
        <v>854</v>
      </c>
      <c r="C65" s="292">
        <v>40</v>
      </c>
      <c r="D65" s="292">
        <v>40</v>
      </c>
      <c r="E65" s="294">
        <f t="shared" si="0"/>
        <v>0</v>
      </c>
      <c r="F65" s="292">
        <v>40</v>
      </c>
      <c r="G65" s="292">
        <v>40</v>
      </c>
      <c r="H65" s="294">
        <f t="shared" si="1"/>
        <v>0</v>
      </c>
      <c r="I65" s="292">
        <v>40</v>
      </c>
      <c r="J65" s="292">
        <v>40</v>
      </c>
      <c r="K65" s="338">
        <f t="shared" si="2"/>
        <v>0</v>
      </c>
    </row>
    <row r="66" spans="1:16" ht="17.25" customHeight="1" x14ac:dyDescent="0.25">
      <c r="A66" s="345" t="s">
        <v>855</v>
      </c>
      <c r="B66" s="348" t="s">
        <v>856</v>
      </c>
      <c r="C66" s="294">
        <f>C67</f>
        <v>250.6</v>
      </c>
      <c r="D66" s="294">
        <f>D67</f>
        <v>250.6</v>
      </c>
      <c r="E66" s="294">
        <f t="shared" si="0"/>
        <v>0</v>
      </c>
      <c r="F66" s="294">
        <f>F67</f>
        <v>0</v>
      </c>
      <c r="G66" s="294">
        <f>G67</f>
        <v>0</v>
      </c>
      <c r="H66" s="294">
        <f t="shared" si="1"/>
        <v>0</v>
      </c>
      <c r="I66" s="294">
        <f>I67</f>
        <v>0</v>
      </c>
      <c r="J66" s="294">
        <f>J67</f>
        <v>0</v>
      </c>
      <c r="K66" s="338">
        <f t="shared" si="2"/>
        <v>0</v>
      </c>
    </row>
    <row r="67" spans="1:16" ht="17.25" customHeight="1" x14ac:dyDescent="0.25">
      <c r="A67" s="356" t="s">
        <v>857</v>
      </c>
      <c r="B67" s="357" t="s">
        <v>858</v>
      </c>
      <c r="C67" s="292">
        <v>250.6</v>
      </c>
      <c r="D67" s="292">
        <v>250.6</v>
      </c>
      <c r="E67" s="294">
        <f t="shared" si="0"/>
        <v>0</v>
      </c>
      <c r="F67" s="292">
        <v>0</v>
      </c>
      <c r="G67" s="292">
        <v>0</v>
      </c>
      <c r="H67" s="294">
        <f t="shared" si="1"/>
        <v>0</v>
      </c>
      <c r="I67" s="292">
        <v>0</v>
      </c>
      <c r="J67" s="292">
        <v>0</v>
      </c>
      <c r="K67" s="338">
        <f t="shared" si="2"/>
        <v>0</v>
      </c>
    </row>
    <row r="68" spans="1:16" ht="26.25" customHeight="1" x14ac:dyDescent="0.25">
      <c r="A68" s="368" t="s">
        <v>859</v>
      </c>
      <c r="B68" s="354" t="s">
        <v>860</v>
      </c>
      <c r="C68" s="294">
        <f>C69+C203+C200</f>
        <v>986241.60000000021</v>
      </c>
      <c r="D68" s="294">
        <f>D69+D203+D200</f>
        <v>1029458.7000000001</v>
      </c>
      <c r="E68" s="294">
        <f t="shared" si="0"/>
        <v>43217.09999999986</v>
      </c>
      <c r="F68" s="294">
        <f>F69+F203+F200</f>
        <v>453492.80000000005</v>
      </c>
      <c r="G68" s="294">
        <f>G69+G203+G200</f>
        <v>441565.80000000005</v>
      </c>
      <c r="H68" s="294">
        <f t="shared" si="1"/>
        <v>-11927</v>
      </c>
      <c r="I68" s="294">
        <f>I69+I203+I200</f>
        <v>516337.10000000009</v>
      </c>
      <c r="J68" s="294">
        <f>J69+J203+J200</f>
        <v>504410.10000000009</v>
      </c>
      <c r="K68" s="338">
        <f t="shared" si="2"/>
        <v>-11927</v>
      </c>
    </row>
    <row r="69" spans="1:16" ht="31.5" customHeight="1" x14ac:dyDescent="0.25">
      <c r="A69" s="368" t="s">
        <v>861</v>
      </c>
      <c r="B69" s="348" t="s">
        <v>862</v>
      </c>
      <c r="C69" s="294">
        <f>C77+C168+C193+C70</f>
        <v>976731.20000000019</v>
      </c>
      <c r="D69" s="294">
        <f>D77+D168+D193+D70</f>
        <v>1019248.3</v>
      </c>
      <c r="E69" s="294">
        <f t="shared" si="0"/>
        <v>42517.09999999986</v>
      </c>
      <c r="F69" s="294">
        <f>F77+F168+F193+F70</f>
        <v>453492.80000000005</v>
      </c>
      <c r="G69" s="294">
        <f>G77+G168+G193+G70</f>
        <v>441565.80000000005</v>
      </c>
      <c r="H69" s="294">
        <f t="shared" si="1"/>
        <v>-11927</v>
      </c>
      <c r="I69" s="294">
        <f>I77+I168+I193+I70</f>
        <v>516337.10000000009</v>
      </c>
      <c r="J69" s="294">
        <f>J77+J168+J193+J70</f>
        <v>504410.10000000009</v>
      </c>
      <c r="K69" s="338">
        <f t="shared" si="2"/>
        <v>-11927</v>
      </c>
    </row>
    <row r="70" spans="1:16" ht="20.25" customHeight="1" x14ac:dyDescent="0.25">
      <c r="A70" s="368" t="s">
        <v>863</v>
      </c>
      <c r="B70" s="369" t="s">
        <v>864</v>
      </c>
      <c r="C70" s="294">
        <f>C71+C75+C73</f>
        <v>172165.7</v>
      </c>
      <c r="D70" s="294">
        <f>D71+D75+D73</f>
        <v>172305.7</v>
      </c>
      <c r="E70" s="294">
        <f t="shared" si="0"/>
        <v>140</v>
      </c>
      <c r="F70" s="294">
        <f>F71+F75</f>
        <v>160224.20000000001</v>
      </c>
      <c r="G70" s="294">
        <f>G71+G75</f>
        <v>160224.20000000001</v>
      </c>
      <c r="H70" s="294">
        <f t="shared" si="1"/>
        <v>0</v>
      </c>
      <c r="I70" s="294">
        <f>I71+I75</f>
        <v>156368.4</v>
      </c>
      <c r="J70" s="294">
        <f>J71+J75</f>
        <v>156368.4</v>
      </c>
      <c r="K70" s="338">
        <f t="shared" si="2"/>
        <v>0</v>
      </c>
    </row>
    <row r="71" spans="1:16" ht="20.25" customHeight="1" x14ac:dyDescent="0.25">
      <c r="A71" s="370" t="s">
        <v>865</v>
      </c>
      <c r="B71" s="371" t="s">
        <v>866</v>
      </c>
      <c r="C71" s="294">
        <f>C72</f>
        <v>79716.3</v>
      </c>
      <c r="D71" s="294">
        <f>D72</f>
        <v>79716.3</v>
      </c>
      <c r="E71" s="294">
        <f t="shared" si="0"/>
        <v>0</v>
      </c>
      <c r="F71" s="294">
        <f>F72</f>
        <v>67720.399999999994</v>
      </c>
      <c r="G71" s="294">
        <f>G72</f>
        <v>67720.399999999994</v>
      </c>
      <c r="H71" s="294">
        <f t="shared" si="1"/>
        <v>0</v>
      </c>
      <c r="I71" s="294">
        <f>I72</f>
        <v>63864.6</v>
      </c>
      <c r="J71" s="294">
        <f>J72</f>
        <v>63864.6</v>
      </c>
      <c r="K71" s="338">
        <f t="shared" si="2"/>
        <v>0</v>
      </c>
    </row>
    <row r="72" spans="1:16" ht="33.75" customHeight="1" x14ac:dyDescent="0.25">
      <c r="A72" s="370" t="s">
        <v>867</v>
      </c>
      <c r="B72" s="371" t="s">
        <v>868</v>
      </c>
      <c r="C72" s="292">
        <v>79716.3</v>
      </c>
      <c r="D72" s="292">
        <v>79716.3</v>
      </c>
      <c r="E72" s="294">
        <f t="shared" ref="E72:E135" si="11">D72-C72</f>
        <v>0</v>
      </c>
      <c r="F72" s="292">
        <v>67720.399999999994</v>
      </c>
      <c r="G72" s="292">
        <v>67720.399999999994</v>
      </c>
      <c r="H72" s="294">
        <f t="shared" ref="H72:H135" si="12">G72-F72</f>
        <v>0</v>
      </c>
      <c r="I72" s="292">
        <v>63864.6</v>
      </c>
      <c r="J72" s="292">
        <v>63864.6</v>
      </c>
      <c r="K72" s="338">
        <f t="shared" ref="K72:K135" si="13">J72-I72</f>
        <v>0</v>
      </c>
      <c r="M72" s="295"/>
    </row>
    <row r="73" spans="1:16" ht="29.25" customHeight="1" x14ac:dyDescent="0.25">
      <c r="A73" s="370" t="s">
        <v>869</v>
      </c>
      <c r="B73" s="371" t="s">
        <v>870</v>
      </c>
      <c r="C73" s="294">
        <f>C74</f>
        <v>0</v>
      </c>
      <c r="D73" s="294">
        <f>D74</f>
        <v>140</v>
      </c>
      <c r="E73" s="294">
        <f t="shared" si="11"/>
        <v>140</v>
      </c>
      <c r="F73" s="294">
        <f>F74</f>
        <v>0</v>
      </c>
      <c r="G73" s="294">
        <f>G74</f>
        <v>0</v>
      </c>
      <c r="H73" s="294">
        <f t="shared" si="12"/>
        <v>0</v>
      </c>
      <c r="I73" s="294">
        <f>I74</f>
        <v>0</v>
      </c>
      <c r="J73" s="294">
        <f>J74</f>
        <v>0</v>
      </c>
      <c r="K73" s="338">
        <f t="shared" si="13"/>
        <v>0</v>
      </c>
      <c r="N73" s="295"/>
    </row>
    <row r="74" spans="1:16" s="448" customFormat="1" ht="33.75" customHeight="1" x14ac:dyDescent="0.25">
      <c r="A74" s="449" t="s">
        <v>871</v>
      </c>
      <c r="B74" s="450" t="s">
        <v>872</v>
      </c>
      <c r="C74" s="447">
        <v>0</v>
      </c>
      <c r="D74" s="447">
        <v>140</v>
      </c>
      <c r="E74" s="442">
        <f t="shared" si="11"/>
        <v>140</v>
      </c>
      <c r="F74" s="447">
        <v>0</v>
      </c>
      <c r="G74" s="447">
        <v>0</v>
      </c>
      <c r="H74" s="442">
        <f t="shared" si="12"/>
        <v>0</v>
      </c>
      <c r="I74" s="447">
        <v>0</v>
      </c>
      <c r="J74" s="447">
        <v>0</v>
      </c>
      <c r="K74" s="443">
        <f t="shared" si="13"/>
        <v>0</v>
      </c>
    </row>
    <row r="75" spans="1:16" ht="33.75" customHeight="1" x14ac:dyDescent="0.25">
      <c r="A75" s="370" t="s">
        <v>873</v>
      </c>
      <c r="B75" s="372" t="s">
        <v>874</v>
      </c>
      <c r="C75" s="294">
        <f>C76</f>
        <v>92449.4</v>
      </c>
      <c r="D75" s="294">
        <f>D76</f>
        <v>92449.4</v>
      </c>
      <c r="E75" s="294">
        <f t="shared" si="11"/>
        <v>0</v>
      </c>
      <c r="F75" s="294">
        <f>F76</f>
        <v>92503.8</v>
      </c>
      <c r="G75" s="294">
        <f>G76</f>
        <v>92503.8</v>
      </c>
      <c r="H75" s="294">
        <f t="shared" si="12"/>
        <v>0</v>
      </c>
      <c r="I75" s="294">
        <f>I76</f>
        <v>92503.8</v>
      </c>
      <c r="J75" s="294">
        <f>J76</f>
        <v>92503.8</v>
      </c>
      <c r="K75" s="338">
        <f t="shared" si="13"/>
        <v>0</v>
      </c>
    </row>
    <row r="76" spans="1:16" ht="44.25" customHeight="1" x14ac:dyDescent="0.25">
      <c r="A76" s="370" t="s">
        <v>875</v>
      </c>
      <c r="B76" s="372" t="s">
        <v>876</v>
      </c>
      <c r="C76" s="292">
        <v>92449.4</v>
      </c>
      <c r="D76" s="292">
        <v>92449.4</v>
      </c>
      <c r="E76" s="294">
        <f t="shared" si="11"/>
        <v>0</v>
      </c>
      <c r="F76" s="292">
        <v>92503.8</v>
      </c>
      <c r="G76" s="292">
        <v>92503.8</v>
      </c>
      <c r="H76" s="294">
        <f t="shared" si="12"/>
        <v>0</v>
      </c>
      <c r="I76" s="292">
        <v>92503.8</v>
      </c>
      <c r="J76" s="292">
        <v>92503.8</v>
      </c>
      <c r="K76" s="338">
        <f t="shared" si="13"/>
        <v>0</v>
      </c>
    </row>
    <row r="77" spans="1:16" ht="30.75" customHeight="1" x14ac:dyDescent="0.25">
      <c r="A77" s="368" t="s">
        <v>877</v>
      </c>
      <c r="B77" s="351" t="s">
        <v>878</v>
      </c>
      <c r="C77" s="294">
        <f>C114+C102+C96+C84+C88+C90+C94+C106+C80+C92+C78+C100+C112+C82+C86+C104+C98+C108+C110</f>
        <v>577144.90000000014</v>
      </c>
      <c r="D77" s="294">
        <f>D114+D102+D96+D84+D88+D90+D94+D106+D80+D92+D78+D100+D112+D82+D86+D104+D98+D108+D110</f>
        <v>620711.70000000007</v>
      </c>
      <c r="E77" s="294">
        <f t="shared" si="11"/>
        <v>43566.79999999993</v>
      </c>
      <c r="F77" s="294">
        <f t="shared" ref="F77:J77" si="14">F114+F102+F96+F84+F88+F90+F94+F106+F80+F92+F78+F100+F112+F82+F86+F104+F98+F108</f>
        <v>71031.899999999994</v>
      </c>
      <c r="G77" s="294">
        <f t="shared" si="14"/>
        <v>59104.9</v>
      </c>
      <c r="H77" s="294">
        <f t="shared" si="12"/>
        <v>-11926.999999999993</v>
      </c>
      <c r="I77" s="294">
        <f t="shared" ref="I77" si="15">I114+I102+I96+I84+I88+I90+I94+I106+I80+I92+I78+I100+I112+I82+I86+I104+I98+I108</f>
        <v>137233.20000000001</v>
      </c>
      <c r="J77" s="294">
        <f t="shared" si="14"/>
        <v>125306.20000000001</v>
      </c>
      <c r="K77" s="338">
        <f t="shared" si="13"/>
        <v>-11927</v>
      </c>
    </row>
    <row r="78" spans="1:16" ht="27.75" customHeight="1" x14ac:dyDescent="0.25">
      <c r="A78" s="290" t="s">
        <v>879</v>
      </c>
      <c r="B78" s="291" t="s">
        <v>880</v>
      </c>
      <c r="C78" s="294">
        <f>C79</f>
        <v>338801.8</v>
      </c>
      <c r="D78" s="294">
        <f>D79</f>
        <v>338801.8</v>
      </c>
      <c r="E78" s="294">
        <f t="shared" si="11"/>
        <v>0</v>
      </c>
      <c r="F78" s="294">
        <f>F79</f>
        <v>0</v>
      </c>
      <c r="G78" s="294">
        <f>G79</f>
        <v>0</v>
      </c>
      <c r="H78" s="294">
        <f t="shared" si="12"/>
        <v>0</v>
      </c>
      <c r="I78" s="294">
        <f>I79</f>
        <v>0</v>
      </c>
      <c r="J78" s="294">
        <f>J79</f>
        <v>0</v>
      </c>
      <c r="K78" s="338">
        <f t="shared" si="13"/>
        <v>0</v>
      </c>
      <c r="L78" s="295"/>
      <c r="M78" s="295"/>
    </row>
    <row r="79" spans="1:16" ht="30.75" customHeight="1" x14ac:dyDescent="0.25">
      <c r="A79" s="290" t="s">
        <v>881</v>
      </c>
      <c r="B79" s="291" t="s">
        <v>882</v>
      </c>
      <c r="C79" s="292">
        <f>67800+17844.3+30900+137159+85098.5</f>
        <v>338801.8</v>
      </c>
      <c r="D79" s="292">
        <f>67800+17844.3+30900+137159+85098.5</f>
        <v>338801.8</v>
      </c>
      <c r="E79" s="294">
        <f t="shared" si="11"/>
        <v>0</v>
      </c>
      <c r="F79" s="292">
        <v>0</v>
      </c>
      <c r="G79" s="292">
        <v>0</v>
      </c>
      <c r="H79" s="294">
        <f t="shared" si="12"/>
        <v>0</v>
      </c>
      <c r="I79" s="292">
        <v>0</v>
      </c>
      <c r="J79" s="292">
        <v>0</v>
      </c>
      <c r="K79" s="338">
        <f t="shared" si="13"/>
        <v>0</v>
      </c>
    </row>
    <row r="80" spans="1:16" ht="88.5" customHeight="1" x14ac:dyDescent="0.25">
      <c r="A80" s="290" t="s">
        <v>883</v>
      </c>
      <c r="B80" s="373" t="s">
        <v>884</v>
      </c>
      <c r="C80" s="294">
        <f>C81</f>
        <v>3350.7</v>
      </c>
      <c r="D80" s="294">
        <f>D81</f>
        <v>0</v>
      </c>
      <c r="E80" s="294">
        <f t="shared" si="11"/>
        <v>-3350.7</v>
      </c>
      <c r="F80" s="294">
        <f>F81</f>
        <v>4884.1000000000004</v>
      </c>
      <c r="G80" s="294">
        <f>G81</f>
        <v>0</v>
      </c>
      <c r="H80" s="294">
        <f t="shared" si="12"/>
        <v>-4884.1000000000004</v>
      </c>
      <c r="I80" s="294">
        <f>I81</f>
        <v>4884.1000000000004</v>
      </c>
      <c r="J80" s="294">
        <f>J81</f>
        <v>0</v>
      </c>
      <c r="K80" s="338">
        <f t="shared" si="13"/>
        <v>-4884.1000000000004</v>
      </c>
      <c r="M80" s="295"/>
      <c r="N80" s="295"/>
      <c r="O80" s="295"/>
      <c r="P80" s="295"/>
    </row>
    <row r="81" spans="1:13" s="448" customFormat="1" ht="89.25" customHeight="1" x14ac:dyDescent="0.25">
      <c r="A81" s="451" t="s">
        <v>885</v>
      </c>
      <c r="B81" s="452" t="s">
        <v>886</v>
      </c>
      <c r="C81" s="447">
        <v>3350.7</v>
      </c>
      <c r="D81" s="447">
        <v>0</v>
      </c>
      <c r="E81" s="442">
        <f t="shared" si="11"/>
        <v>-3350.7</v>
      </c>
      <c r="F81" s="447">
        <v>4884.1000000000004</v>
      </c>
      <c r="G81" s="447">
        <v>0</v>
      </c>
      <c r="H81" s="442">
        <f t="shared" si="12"/>
        <v>-4884.1000000000004</v>
      </c>
      <c r="I81" s="447">
        <v>4884.1000000000004</v>
      </c>
      <c r="J81" s="447">
        <v>0</v>
      </c>
      <c r="K81" s="443">
        <f t="shared" si="13"/>
        <v>-4884.1000000000004</v>
      </c>
      <c r="L81" s="453"/>
      <c r="M81" s="453"/>
    </row>
    <row r="82" spans="1:13" s="448" customFormat="1" ht="51.75" hidden="1" customHeight="1" x14ac:dyDescent="0.25">
      <c r="A82" s="451" t="s">
        <v>887</v>
      </c>
      <c r="B82" s="452" t="s">
        <v>888</v>
      </c>
      <c r="C82" s="442">
        <f>C83</f>
        <v>0</v>
      </c>
      <c r="D82" s="442">
        <f>D83</f>
        <v>0</v>
      </c>
      <c r="E82" s="442">
        <f t="shared" si="11"/>
        <v>0</v>
      </c>
      <c r="F82" s="442">
        <f>F83</f>
        <v>0</v>
      </c>
      <c r="G82" s="442">
        <f>G83</f>
        <v>0</v>
      </c>
      <c r="H82" s="442">
        <f t="shared" si="12"/>
        <v>0</v>
      </c>
      <c r="I82" s="442">
        <f>I83</f>
        <v>0</v>
      </c>
      <c r="J82" s="442">
        <f>J83</f>
        <v>0</v>
      </c>
      <c r="K82" s="443">
        <f t="shared" si="13"/>
        <v>0</v>
      </c>
    </row>
    <row r="83" spans="1:13" s="448" customFormat="1" ht="48" hidden="1" customHeight="1" x14ac:dyDescent="0.25">
      <c r="A83" s="451" t="s">
        <v>889</v>
      </c>
      <c r="B83" s="452" t="s">
        <v>890</v>
      </c>
      <c r="C83" s="447">
        <v>0</v>
      </c>
      <c r="D83" s="447">
        <v>0</v>
      </c>
      <c r="E83" s="442">
        <f t="shared" si="11"/>
        <v>0</v>
      </c>
      <c r="F83" s="447">
        <v>0</v>
      </c>
      <c r="G83" s="447">
        <v>0</v>
      </c>
      <c r="H83" s="442">
        <f t="shared" si="12"/>
        <v>0</v>
      </c>
      <c r="I83" s="447">
        <v>0</v>
      </c>
      <c r="J83" s="447">
        <v>0</v>
      </c>
      <c r="K83" s="443">
        <f t="shared" si="13"/>
        <v>0</v>
      </c>
    </row>
    <row r="84" spans="1:13" s="448" customFormat="1" ht="63.75" customHeight="1" x14ac:dyDescent="0.25">
      <c r="A84" s="451" t="s">
        <v>891</v>
      </c>
      <c r="B84" s="454" t="s">
        <v>892</v>
      </c>
      <c r="C84" s="442">
        <f>C85</f>
        <v>4831.6000000000004</v>
      </c>
      <c r="D84" s="442">
        <f>D85</f>
        <v>0</v>
      </c>
      <c r="E84" s="442">
        <f t="shared" si="11"/>
        <v>-4831.6000000000004</v>
      </c>
      <c r="F84" s="442">
        <f>F85</f>
        <v>7042.9</v>
      </c>
      <c r="G84" s="442">
        <f>G85</f>
        <v>0</v>
      </c>
      <c r="H84" s="442">
        <f t="shared" si="12"/>
        <v>-7042.9</v>
      </c>
      <c r="I84" s="442">
        <f>I85</f>
        <v>7042.9</v>
      </c>
      <c r="J84" s="442">
        <f>J85</f>
        <v>0</v>
      </c>
      <c r="K84" s="443">
        <f t="shared" si="13"/>
        <v>-7042.9</v>
      </c>
    </row>
    <row r="85" spans="1:13" s="448" customFormat="1" ht="61.5" customHeight="1" x14ac:dyDescent="0.25">
      <c r="A85" s="451" t="s">
        <v>893</v>
      </c>
      <c r="B85" s="452" t="s">
        <v>894</v>
      </c>
      <c r="C85" s="447">
        <v>4831.6000000000004</v>
      </c>
      <c r="D85" s="447">
        <v>0</v>
      </c>
      <c r="E85" s="442">
        <f t="shared" si="11"/>
        <v>-4831.6000000000004</v>
      </c>
      <c r="F85" s="447">
        <v>7042.9</v>
      </c>
      <c r="G85" s="447">
        <v>0</v>
      </c>
      <c r="H85" s="442">
        <f t="shared" si="12"/>
        <v>-7042.9</v>
      </c>
      <c r="I85" s="447">
        <v>7042.9</v>
      </c>
      <c r="J85" s="447">
        <v>0</v>
      </c>
      <c r="K85" s="443">
        <f t="shared" si="13"/>
        <v>-7042.9</v>
      </c>
    </row>
    <row r="86" spans="1:13" s="448" customFormat="1" ht="29.25" hidden="1" customHeight="1" x14ac:dyDescent="0.25">
      <c r="A86" s="451" t="s">
        <v>895</v>
      </c>
      <c r="B86" s="452" t="s">
        <v>896</v>
      </c>
      <c r="C86" s="442">
        <f>C87</f>
        <v>0</v>
      </c>
      <c r="D86" s="442">
        <f>D87</f>
        <v>0</v>
      </c>
      <c r="E86" s="442">
        <f t="shared" si="11"/>
        <v>0</v>
      </c>
      <c r="F86" s="442">
        <f>F87</f>
        <v>0</v>
      </c>
      <c r="G86" s="442">
        <f>G87</f>
        <v>0</v>
      </c>
      <c r="H86" s="442">
        <f t="shared" si="12"/>
        <v>0</v>
      </c>
      <c r="I86" s="442">
        <v>0</v>
      </c>
      <c r="J86" s="442">
        <v>0</v>
      </c>
      <c r="K86" s="443">
        <f t="shared" si="13"/>
        <v>0</v>
      </c>
    </row>
    <row r="87" spans="1:13" s="448" customFormat="1" ht="31.5" hidden="1" customHeight="1" x14ac:dyDescent="0.25">
      <c r="A87" s="451" t="s">
        <v>897</v>
      </c>
      <c r="B87" s="452" t="s">
        <v>898</v>
      </c>
      <c r="C87" s="447"/>
      <c r="D87" s="447"/>
      <c r="E87" s="442">
        <f t="shared" si="11"/>
        <v>0</v>
      </c>
      <c r="F87" s="447"/>
      <c r="G87" s="447"/>
      <c r="H87" s="442">
        <f t="shared" si="12"/>
        <v>0</v>
      </c>
      <c r="I87" s="447"/>
      <c r="J87" s="447"/>
      <c r="K87" s="443">
        <f t="shared" si="13"/>
        <v>0</v>
      </c>
    </row>
    <row r="88" spans="1:13" s="448" customFormat="1" ht="63" hidden="1" customHeight="1" x14ac:dyDescent="0.25">
      <c r="A88" s="451" t="s">
        <v>899</v>
      </c>
      <c r="B88" s="455" t="s">
        <v>900</v>
      </c>
      <c r="C88" s="442">
        <f>C89</f>
        <v>0</v>
      </c>
      <c r="D88" s="442">
        <f>D89</f>
        <v>0</v>
      </c>
      <c r="E88" s="442">
        <f t="shared" si="11"/>
        <v>0</v>
      </c>
      <c r="F88" s="442">
        <f>F89</f>
        <v>0</v>
      </c>
      <c r="G88" s="442">
        <f>G89</f>
        <v>0</v>
      </c>
      <c r="H88" s="442">
        <f t="shared" si="12"/>
        <v>0</v>
      </c>
      <c r="I88" s="442">
        <f>I89</f>
        <v>0</v>
      </c>
      <c r="J88" s="442">
        <f>J89</f>
        <v>0</v>
      </c>
      <c r="K88" s="443">
        <f t="shared" si="13"/>
        <v>0</v>
      </c>
    </row>
    <row r="89" spans="1:13" s="448" customFormat="1" ht="63.75" hidden="1" customHeight="1" x14ac:dyDescent="0.25">
      <c r="A89" s="451" t="s">
        <v>901</v>
      </c>
      <c r="B89" s="455" t="s">
        <v>902</v>
      </c>
      <c r="C89" s="447">
        <v>0</v>
      </c>
      <c r="D89" s="447">
        <v>0</v>
      </c>
      <c r="E89" s="442">
        <f t="shared" si="11"/>
        <v>0</v>
      </c>
      <c r="F89" s="447">
        <v>0</v>
      </c>
      <c r="G89" s="447">
        <v>0</v>
      </c>
      <c r="H89" s="442">
        <f t="shared" si="12"/>
        <v>0</v>
      </c>
      <c r="I89" s="447">
        <v>0</v>
      </c>
      <c r="J89" s="447">
        <v>0</v>
      </c>
      <c r="K89" s="443">
        <f t="shared" si="13"/>
        <v>0</v>
      </c>
    </row>
    <row r="90" spans="1:13" s="448" customFormat="1" ht="45.75" hidden="1" customHeight="1" x14ac:dyDescent="0.25">
      <c r="A90" s="451" t="s">
        <v>903</v>
      </c>
      <c r="B90" s="456" t="s">
        <v>904</v>
      </c>
      <c r="C90" s="442">
        <f>C91</f>
        <v>0</v>
      </c>
      <c r="D90" s="442">
        <f>D91</f>
        <v>0</v>
      </c>
      <c r="E90" s="442">
        <f t="shared" si="11"/>
        <v>0</v>
      </c>
      <c r="F90" s="442">
        <f>F91</f>
        <v>0</v>
      </c>
      <c r="G90" s="442">
        <f>G91</f>
        <v>0</v>
      </c>
      <c r="H90" s="442">
        <f t="shared" si="12"/>
        <v>0</v>
      </c>
      <c r="I90" s="442">
        <f>I91</f>
        <v>0</v>
      </c>
      <c r="J90" s="442">
        <f>J91</f>
        <v>0</v>
      </c>
      <c r="K90" s="443">
        <f t="shared" si="13"/>
        <v>0</v>
      </c>
    </row>
    <row r="91" spans="1:13" s="448" customFormat="1" ht="49.5" hidden="1" customHeight="1" x14ac:dyDescent="0.25">
      <c r="A91" s="451" t="s">
        <v>905</v>
      </c>
      <c r="B91" s="456" t="s">
        <v>906</v>
      </c>
      <c r="C91" s="447">
        <v>0</v>
      </c>
      <c r="D91" s="447">
        <v>0</v>
      </c>
      <c r="E91" s="442">
        <f t="shared" si="11"/>
        <v>0</v>
      </c>
      <c r="F91" s="447"/>
      <c r="G91" s="447"/>
      <c r="H91" s="442">
        <f t="shared" si="12"/>
        <v>0</v>
      </c>
      <c r="I91" s="447"/>
      <c r="J91" s="447"/>
      <c r="K91" s="443">
        <f t="shared" si="13"/>
        <v>0</v>
      </c>
    </row>
    <row r="92" spans="1:13" s="448" customFormat="1" ht="33" hidden="1" customHeight="1" x14ac:dyDescent="0.25">
      <c r="A92" s="451" t="s">
        <v>907</v>
      </c>
      <c r="B92" s="454" t="s">
        <v>908</v>
      </c>
      <c r="C92" s="442">
        <f>C93</f>
        <v>0</v>
      </c>
      <c r="D92" s="442">
        <f>D93</f>
        <v>0</v>
      </c>
      <c r="E92" s="442">
        <f t="shared" si="11"/>
        <v>0</v>
      </c>
      <c r="F92" s="442">
        <f>F93</f>
        <v>0</v>
      </c>
      <c r="G92" s="442">
        <f>G93</f>
        <v>0</v>
      </c>
      <c r="H92" s="442">
        <f t="shared" si="12"/>
        <v>0</v>
      </c>
      <c r="I92" s="442">
        <f>I93</f>
        <v>0</v>
      </c>
      <c r="J92" s="442">
        <f>J93</f>
        <v>0</v>
      </c>
      <c r="K92" s="443">
        <f t="shared" si="13"/>
        <v>0</v>
      </c>
    </row>
    <row r="93" spans="1:13" s="448" customFormat="1" ht="32.25" hidden="1" customHeight="1" x14ac:dyDescent="0.25">
      <c r="A93" s="451" t="s">
        <v>909</v>
      </c>
      <c r="B93" s="454" t="s">
        <v>910</v>
      </c>
      <c r="C93" s="447">
        <v>0</v>
      </c>
      <c r="D93" s="447">
        <v>0</v>
      </c>
      <c r="E93" s="442">
        <f t="shared" si="11"/>
        <v>0</v>
      </c>
      <c r="F93" s="447">
        <v>0</v>
      </c>
      <c r="G93" s="447">
        <v>0</v>
      </c>
      <c r="H93" s="442">
        <f t="shared" si="12"/>
        <v>0</v>
      </c>
      <c r="I93" s="447">
        <v>0</v>
      </c>
      <c r="J93" s="447">
        <v>0</v>
      </c>
      <c r="K93" s="443">
        <f t="shared" si="13"/>
        <v>0</v>
      </c>
    </row>
    <row r="94" spans="1:13" s="448" customFormat="1" ht="47.25" customHeight="1" x14ac:dyDescent="0.25">
      <c r="A94" s="451" t="s">
        <v>911</v>
      </c>
      <c r="B94" s="454" t="s">
        <v>912</v>
      </c>
      <c r="C94" s="442">
        <f>C95</f>
        <v>5711.6</v>
      </c>
      <c r="D94" s="442">
        <f>D95</f>
        <v>5711.6</v>
      </c>
      <c r="E94" s="442">
        <f t="shared" si="11"/>
        <v>0</v>
      </c>
      <c r="F94" s="442">
        <f>F95</f>
        <v>5041.1000000000004</v>
      </c>
      <c r="G94" s="442">
        <f>G95</f>
        <v>5041.1000000000004</v>
      </c>
      <c r="H94" s="442">
        <f t="shared" si="12"/>
        <v>0</v>
      </c>
      <c r="I94" s="442">
        <f>I95</f>
        <v>4745.6000000000004</v>
      </c>
      <c r="J94" s="442">
        <f>J95</f>
        <v>4745.6000000000004</v>
      </c>
      <c r="K94" s="443">
        <f t="shared" si="13"/>
        <v>0</v>
      </c>
    </row>
    <row r="95" spans="1:13" s="448" customFormat="1" ht="48.75" customHeight="1" x14ac:dyDescent="0.25">
      <c r="A95" s="451" t="s">
        <v>913</v>
      </c>
      <c r="B95" s="454" t="s">
        <v>914</v>
      </c>
      <c r="C95" s="447">
        <f>1466.9+4244.7</f>
        <v>5711.6</v>
      </c>
      <c r="D95" s="447">
        <f>1466.9+4244.7</f>
        <v>5711.6</v>
      </c>
      <c r="E95" s="442">
        <f t="shared" si="11"/>
        <v>0</v>
      </c>
      <c r="F95" s="447">
        <f>1995.3+3045.8</f>
        <v>5041.1000000000004</v>
      </c>
      <c r="G95" s="447">
        <f>1995.3+3045.8</f>
        <v>5041.1000000000004</v>
      </c>
      <c r="H95" s="442">
        <f t="shared" si="12"/>
        <v>0</v>
      </c>
      <c r="I95" s="447">
        <f>1995.3+2750.3</f>
        <v>4745.6000000000004</v>
      </c>
      <c r="J95" s="447">
        <f>1995.3+2750.3</f>
        <v>4745.6000000000004</v>
      </c>
      <c r="K95" s="443">
        <f t="shared" si="13"/>
        <v>0</v>
      </c>
    </row>
    <row r="96" spans="1:13" s="448" customFormat="1" ht="33" customHeight="1" x14ac:dyDescent="0.25">
      <c r="A96" s="451" t="s">
        <v>915</v>
      </c>
      <c r="B96" s="454" t="s">
        <v>916</v>
      </c>
      <c r="C96" s="442">
        <f>C97</f>
        <v>340.2</v>
      </c>
      <c r="D96" s="442">
        <f>D97</f>
        <v>396.9</v>
      </c>
      <c r="E96" s="442">
        <f t="shared" si="11"/>
        <v>56.699999999999989</v>
      </c>
      <c r="F96" s="442">
        <f>F97</f>
        <v>894.90000000000009</v>
      </c>
      <c r="G96" s="442">
        <f>G97</f>
        <v>894.90000000000009</v>
      </c>
      <c r="H96" s="442">
        <f t="shared" si="12"/>
        <v>0</v>
      </c>
      <c r="I96" s="442">
        <f>I97</f>
        <v>894.90000000000009</v>
      </c>
      <c r="J96" s="442">
        <f>J97</f>
        <v>894.90000000000009</v>
      </c>
      <c r="K96" s="443">
        <f t="shared" si="13"/>
        <v>0</v>
      </c>
    </row>
    <row r="97" spans="1:12" s="448" customFormat="1" ht="33" customHeight="1" x14ac:dyDescent="0.25">
      <c r="A97" s="451" t="s">
        <v>917</v>
      </c>
      <c r="B97" s="460" t="s">
        <v>918</v>
      </c>
      <c r="C97" s="447">
        <f>174+166.2</f>
        <v>340.2</v>
      </c>
      <c r="D97" s="447">
        <f>340.2+56.7</f>
        <v>396.9</v>
      </c>
      <c r="E97" s="442">
        <f t="shared" si="11"/>
        <v>56.699999999999989</v>
      </c>
      <c r="F97" s="447">
        <f>519.6+375.3</f>
        <v>894.90000000000009</v>
      </c>
      <c r="G97" s="447">
        <f>519.6+375.3</f>
        <v>894.90000000000009</v>
      </c>
      <c r="H97" s="442">
        <f t="shared" si="12"/>
        <v>0</v>
      </c>
      <c r="I97" s="447">
        <f>519.6+375.3</f>
        <v>894.90000000000009</v>
      </c>
      <c r="J97" s="447">
        <f>519.6+375.3</f>
        <v>894.90000000000009</v>
      </c>
      <c r="K97" s="443">
        <f t="shared" si="13"/>
        <v>0</v>
      </c>
    </row>
    <row r="98" spans="1:12" s="448" customFormat="1" ht="33" hidden="1" customHeight="1" x14ac:dyDescent="0.25">
      <c r="A98" s="451" t="s">
        <v>919</v>
      </c>
      <c r="B98" s="460" t="s">
        <v>920</v>
      </c>
      <c r="C98" s="447">
        <f>C99</f>
        <v>0</v>
      </c>
      <c r="D98" s="447">
        <f>D99</f>
        <v>0</v>
      </c>
      <c r="E98" s="442">
        <f t="shared" si="11"/>
        <v>0</v>
      </c>
      <c r="F98" s="447">
        <f>F99</f>
        <v>0</v>
      </c>
      <c r="G98" s="447">
        <f>G99</f>
        <v>0</v>
      </c>
      <c r="H98" s="442">
        <f t="shared" si="12"/>
        <v>0</v>
      </c>
      <c r="I98" s="447">
        <f>I99</f>
        <v>0</v>
      </c>
      <c r="J98" s="447">
        <f>J99</f>
        <v>0</v>
      </c>
      <c r="K98" s="443">
        <f t="shared" si="13"/>
        <v>0</v>
      </c>
    </row>
    <row r="99" spans="1:12" s="448" customFormat="1" ht="33" hidden="1" customHeight="1" x14ac:dyDescent="0.25">
      <c r="A99" s="451" t="s">
        <v>921</v>
      </c>
      <c r="B99" s="460" t="s">
        <v>922</v>
      </c>
      <c r="C99" s="447">
        <v>0</v>
      </c>
      <c r="D99" s="447">
        <v>0</v>
      </c>
      <c r="E99" s="442">
        <f t="shared" si="11"/>
        <v>0</v>
      </c>
      <c r="F99" s="447">
        <v>0</v>
      </c>
      <c r="G99" s="447">
        <v>0</v>
      </c>
      <c r="H99" s="442">
        <f t="shared" si="12"/>
        <v>0</v>
      </c>
      <c r="I99" s="447">
        <v>0</v>
      </c>
      <c r="J99" s="447">
        <v>0</v>
      </c>
      <c r="K99" s="443">
        <f t="shared" si="13"/>
        <v>0</v>
      </c>
    </row>
    <row r="100" spans="1:12" s="448" customFormat="1" ht="33" hidden="1" customHeight="1" x14ac:dyDescent="0.25">
      <c r="A100" s="451" t="s">
        <v>923</v>
      </c>
      <c r="B100" s="460" t="s">
        <v>924</v>
      </c>
      <c r="C100" s="447">
        <f>C101</f>
        <v>0</v>
      </c>
      <c r="D100" s="447">
        <f>D101</f>
        <v>0</v>
      </c>
      <c r="E100" s="442">
        <f t="shared" si="11"/>
        <v>0</v>
      </c>
      <c r="F100" s="447">
        <f>F101</f>
        <v>0</v>
      </c>
      <c r="G100" s="447">
        <f>G101</f>
        <v>0</v>
      </c>
      <c r="H100" s="442">
        <f t="shared" si="12"/>
        <v>0</v>
      </c>
      <c r="I100" s="447">
        <f>I101</f>
        <v>0</v>
      </c>
      <c r="J100" s="447">
        <f>J101</f>
        <v>0</v>
      </c>
      <c r="K100" s="443">
        <f t="shared" si="13"/>
        <v>0</v>
      </c>
    </row>
    <row r="101" spans="1:12" s="448" customFormat="1" ht="33" hidden="1" customHeight="1" x14ac:dyDescent="0.25">
      <c r="A101" s="451" t="s">
        <v>925</v>
      </c>
      <c r="B101" s="461" t="s">
        <v>926</v>
      </c>
      <c r="C101" s="447">
        <v>0</v>
      </c>
      <c r="D101" s="447">
        <v>0</v>
      </c>
      <c r="E101" s="442">
        <f t="shared" si="11"/>
        <v>0</v>
      </c>
      <c r="F101" s="447">
        <v>0</v>
      </c>
      <c r="G101" s="447">
        <v>0</v>
      </c>
      <c r="H101" s="442">
        <f t="shared" si="12"/>
        <v>0</v>
      </c>
      <c r="I101" s="447">
        <v>0</v>
      </c>
      <c r="J101" s="447">
        <v>0</v>
      </c>
      <c r="K101" s="443">
        <f t="shared" si="13"/>
        <v>0</v>
      </c>
    </row>
    <row r="102" spans="1:12" s="448" customFormat="1" ht="36.75" customHeight="1" x14ac:dyDescent="0.25">
      <c r="A102" s="451" t="s">
        <v>927</v>
      </c>
      <c r="B102" s="462" t="s">
        <v>928</v>
      </c>
      <c r="C102" s="442">
        <f>C103</f>
        <v>1296.3</v>
      </c>
      <c r="D102" s="442">
        <f>D103</f>
        <v>1296.3</v>
      </c>
      <c r="E102" s="442">
        <f t="shared" si="11"/>
        <v>0</v>
      </c>
      <c r="F102" s="442">
        <f>F103</f>
        <v>1245.5999999999999</v>
      </c>
      <c r="G102" s="442">
        <f>G103</f>
        <v>1245.5999999999999</v>
      </c>
      <c r="H102" s="442">
        <f t="shared" si="12"/>
        <v>0</v>
      </c>
      <c r="I102" s="442">
        <f>I103</f>
        <v>1195.9000000000001</v>
      </c>
      <c r="J102" s="442">
        <f>J103</f>
        <v>1195.9000000000001</v>
      </c>
      <c r="K102" s="443">
        <f t="shared" si="13"/>
        <v>0</v>
      </c>
    </row>
    <row r="103" spans="1:12" s="448" customFormat="1" ht="33.75" customHeight="1" x14ac:dyDescent="0.25">
      <c r="A103" s="451" t="s">
        <v>929</v>
      </c>
      <c r="B103" s="462" t="s">
        <v>930</v>
      </c>
      <c r="C103" s="447">
        <f>1296.3</f>
        <v>1296.3</v>
      </c>
      <c r="D103" s="447">
        <f>1296.3</f>
        <v>1296.3</v>
      </c>
      <c r="E103" s="442">
        <f t="shared" si="11"/>
        <v>0</v>
      </c>
      <c r="F103" s="447">
        <v>1245.5999999999999</v>
      </c>
      <c r="G103" s="447">
        <v>1245.5999999999999</v>
      </c>
      <c r="H103" s="442">
        <f t="shared" si="12"/>
        <v>0</v>
      </c>
      <c r="I103" s="447">
        <v>1195.9000000000001</v>
      </c>
      <c r="J103" s="447">
        <v>1195.9000000000001</v>
      </c>
      <c r="K103" s="443">
        <f t="shared" si="13"/>
        <v>0</v>
      </c>
    </row>
    <row r="104" spans="1:12" s="448" customFormat="1" ht="33.75" hidden="1" customHeight="1" x14ac:dyDescent="0.25">
      <c r="A104" s="451" t="s">
        <v>931</v>
      </c>
      <c r="B104" s="462" t="s">
        <v>932</v>
      </c>
      <c r="C104" s="447">
        <f>C105</f>
        <v>0</v>
      </c>
      <c r="D104" s="447">
        <f>D105</f>
        <v>0</v>
      </c>
      <c r="E104" s="442">
        <f t="shared" si="11"/>
        <v>0</v>
      </c>
      <c r="F104" s="447">
        <f>F105</f>
        <v>0</v>
      </c>
      <c r="G104" s="447">
        <f>G105</f>
        <v>0</v>
      </c>
      <c r="H104" s="442">
        <f t="shared" si="12"/>
        <v>0</v>
      </c>
      <c r="I104" s="447">
        <f>I105</f>
        <v>0</v>
      </c>
      <c r="J104" s="447">
        <f>J105</f>
        <v>0</v>
      </c>
      <c r="K104" s="443">
        <f t="shared" si="13"/>
        <v>0</v>
      </c>
    </row>
    <row r="105" spans="1:12" s="448" customFormat="1" ht="33.75" hidden="1" customHeight="1" x14ac:dyDescent="0.25">
      <c r="A105" s="451" t="s">
        <v>933</v>
      </c>
      <c r="B105" s="462" t="s">
        <v>934</v>
      </c>
      <c r="C105" s="447">
        <v>0</v>
      </c>
      <c r="D105" s="447">
        <v>0</v>
      </c>
      <c r="E105" s="442">
        <f t="shared" si="11"/>
        <v>0</v>
      </c>
      <c r="F105" s="447">
        <v>0</v>
      </c>
      <c r="G105" s="447">
        <v>0</v>
      </c>
      <c r="H105" s="442">
        <f t="shared" si="12"/>
        <v>0</v>
      </c>
      <c r="I105" s="447">
        <v>0</v>
      </c>
      <c r="J105" s="447">
        <v>0</v>
      </c>
      <c r="K105" s="443">
        <f t="shared" si="13"/>
        <v>0</v>
      </c>
    </row>
    <row r="106" spans="1:12" s="448" customFormat="1" ht="33.75" hidden="1" customHeight="1" x14ac:dyDescent="0.25">
      <c r="A106" s="451" t="s">
        <v>935</v>
      </c>
      <c r="B106" s="462" t="s">
        <v>936</v>
      </c>
      <c r="C106" s="442">
        <f>C107</f>
        <v>0</v>
      </c>
      <c r="D106" s="442">
        <f>D107</f>
        <v>0</v>
      </c>
      <c r="E106" s="442">
        <f t="shared" si="11"/>
        <v>0</v>
      </c>
      <c r="F106" s="442">
        <f>F107</f>
        <v>0</v>
      </c>
      <c r="G106" s="442">
        <f>G107</f>
        <v>0</v>
      </c>
      <c r="H106" s="442">
        <f t="shared" si="12"/>
        <v>0</v>
      </c>
      <c r="I106" s="442">
        <f>I107</f>
        <v>0</v>
      </c>
      <c r="J106" s="442">
        <f>J107</f>
        <v>0</v>
      </c>
      <c r="K106" s="443">
        <f t="shared" si="13"/>
        <v>0</v>
      </c>
    </row>
    <row r="107" spans="1:12" s="448" customFormat="1" ht="33.75" hidden="1" customHeight="1" x14ac:dyDescent="0.25">
      <c r="A107" s="451" t="s">
        <v>937</v>
      </c>
      <c r="B107" s="462" t="s">
        <v>938</v>
      </c>
      <c r="C107" s="447">
        <v>0</v>
      </c>
      <c r="D107" s="447">
        <v>0</v>
      </c>
      <c r="E107" s="442">
        <f t="shared" si="11"/>
        <v>0</v>
      </c>
      <c r="F107" s="447">
        <v>0</v>
      </c>
      <c r="G107" s="447">
        <v>0</v>
      </c>
      <c r="H107" s="442">
        <f t="shared" si="12"/>
        <v>0</v>
      </c>
      <c r="I107" s="447">
        <v>0</v>
      </c>
      <c r="J107" s="447">
        <v>0</v>
      </c>
      <c r="K107" s="443">
        <f t="shared" si="13"/>
        <v>0</v>
      </c>
    </row>
    <row r="108" spans="1:12" s="448" customFormat="1" ht="27.75" customHeight="1" x14ac:dyDescent="0.25">
      <c r="A108" s="451" t="s">
        <v>939</v>
      </c>
      <c r="B108" s="462" t="s">
        <v>940</v>
      </c>
      <c r="C108" s="442">
        <f>C109</f>
        <v>184.8</v>
      </c>
      <c r="D108" s="442">
        <f>D109</f>
        <v>184.8</v>
      </c>
      <c r="E108" s="442">
        <f t="shared" si="11"/>
        <v>0</v>
      </c>
      <c r="F108" s="442">
        <f>F109</f>
        <v>0</v>
      </c>
      <c r="G108" s="442">
        <f>G109</f>
        <v>0</v>
      </c>
      <c r="H108" s="442">
        <f t="shared" si="12"/>
        <v>0</v>
      </c>
      <c r="I108" s="442">
        <f>I109</f>
        <v>0</v>
      </c>
      <c r="J108" s="442">
        <f>J109</f>
        <v>0</v>
      </c>
      <c r="K108" s="443">
        <f t="shared" si="13"/>
        <v>0</v>
      </c>
    </row>
    <row r="109" spans="1:12" s="448" customFormat="1" ht="33.75" customHeight="1" x14ac:dyDescent="0.25">
      <c r="A109" s="451" t="s">
        <v>941</v>
      </c>
      <c r="B109" s="462" t="s">
        <v>942</v>
      </c>
      <c r="C109" s="447">
        <v>184.8</v>
      </c>
      <c r="D109" s="447">
        <v>184.8</v>
      </c>
      <c r="E109" s="442">
        <f t="shared" si="11"/>
        <v>0</v>
      </c>
      <c r="F109" s="447">
        <v>0</v>
      </c>
      <c r="G109" s="447">
        <v>0</v>
      </c>
      <c r="H109" s="442">
        <f t="shared" si="12"/>
        <v>0</v>
      </c>
      <c r="I109" s="447">
        <v>0</v>
      </c>
      <c r="J109" s="447">
        <v>0</v>
      </c>
      <c r="K109" s="443">
        <f t="shared" si="13"/>
        <v>0</v>
      </c>
      <c r="L109" s="453"/>
    </row>
    <row r="110" spans="1:12" s="448" customFormat="1" ht="33.75" customHeight="1" x14ac:dyDescent="0.25">
      <c r="A110" s="451" t="s">
        <v>935</v>
      </c>
      <c r="B110" s="462" t="s">
        <v>936</v>
      </c>
      <c r="C110" s="447">
        <f>C111</f>
        <v>6676.3</v>
      </c>
      <c r="D110" s="447">
        <f>D111</f>
        <v>6840</v>
      </c>
      <c r="E110" s="442">
        <f t="shared" si="11"/>
        <v>163.69999999999982</v>
      </c>
      <c r="F110" s="447">
        <f t="shared" ref="F110:J110" si="16">F111</f>
        <v>0</v>
      </c>
      <c r="G110" s="447">
        <f t="shared" si="16"/>
        <v>0</v>
      </c>
      <c r="H110" s="442">
        <f t="shared" si="12"/>
        <v>0</v>
      </c>
      <c r="I110" s="447">
        <f t="shared" si="16"/>
        <v>0</v>
      </c>
      <c r="J110" s="447">
        <f t="shared" si="16"/>
        <v>0</v>
      </c>
      <c r="K110" s="443">
        <f t="shared" si="13"/>
        <v>0</v>
      </c>
      <c r="L110" s="453"/>
    </row>
    <row r="111" spans="1:12" s="448" customFormat="1" ht="33.75" customHeight="1" x14ac:dyDescent="0.25">
      <c r="A111" s="451" t="s">
        <v>937</v>
      </c>
      <c r="B111" s="462" t="s">
        <v>938</v>
      </c>
      <c r="C111" s="447">
        <v>6676.3</v>
      </c>
      <c r="D111" s="447">
        <v>6840</v>
      </c>
      <c r="E111" s="459">
        <f t="shared" si="11"/>
        <v>163.69999999999982</v>
      </c>
      <c r="F111" s="447">
        <v>0</v>
      </c>
      <c r="G111" s="447">
        <v>0</v>
      </c>
      <c r="H111" s="442">
        <f t="shared" si="12"/>
        <v>0</v>
      </c>
      <c r="I111" s="447">
        <v>0</v>
      </c>
      <c r="J111" s="447">
        <v>0</v>
      </c>
      <c r="K111" s="443">
        <f t="shared" si="13"/>
        <v>0</v>
      </c>
      <c r="L111" s="453"/>
    </row>
    <row r="112" spans="1:12" ht="33.75" customHeight="1" x14ac:dyDescent="0.25">
      <c r="A112" s="290" t="s">
        <v>943</v>
      </c>
      <c r="B112" s="361" t="s">
        <v>944</v>
      </c>
      <c r="C112" s="292">
        <f>C113</f>
        <v>60511.3</v>
      </c>
      <c r="D112" s="292">
        <f>D113</f>
        <v>60511.3</v>
      </c>
      <c r="E112" s="294">
        <f t="shared" si="11"/>
        <v>0</v>
      </c>
      <c r="F112" s="292">
        <f>F113</f>
        <v>25371.1</v>
      </c>
      <c r="G112" s="292">
        <f>G113</f>
        <v>25371.1</v>
      </c>
      <c r="H112" s="294">
        <f t="shared" si="12"/>
        <v>0</v>
      </c>
      <c r="I112" s="292">
        <f>I113</f>
        <v>98691.5</v>
      </c>
      <c r="J112" s="292">
        <f>J113</f>
        <v>98691.5</v>
      </c>
      <c r="K112" s="338">
        <f t="shared" si="13"/>
        <v>0</v>
      </c>
    </row>
    <row r="113" spans="1:13" ht="33.75" customHeight="1" x14ac:dyDescent="0.25">
      <c r="A113" s="290" t="s">
        <v>945</v>
      </c>
      <c r="B113" s="296" t="s">
        <v>946</v>
      </c>
      <c r="C113" s="292">
        <f>49177.9+(4833.3+8500.1-2000)</f>
        <v>60511.3</v>
      </c>
      <c r="D113" s="292">
        <f>49177.9+11333.4</f>
        <v>60511.3</v>
      </c>
      <c r="E113" s="294">
        <f t="shared" si="11"/>
        <v>0</v>
      </c>
      <c r="F113" s="292">
        <f>12294.3+(4576.9+8499.9)</f>
        <v>25371.1</v>
      </c>
      <c r="G113" s="292">
        <f>12294.3+(4576.9+8499.9)</f>
        <v>25371.1</v>
      </c>
      <c r="H113" s="294">
        <f t="shared" si="12"/>
        <v>0</v>
      </c>
      <c r="I113" s="292">
        <f>85410.2+13281.3</f>
        <v>98691.5</v>
      </c>
      <c r="J113" s="292">
        <f>85410.2+13281.3</f>
        <v>98691.5</v>
      </c>
      <c r="K113" s="338">
        <f t="shared" si="13"/>
        <v>0</v>
      </c>
    </row>
    <row r="114" spans="1:13" x14ac:dyDescent="0.25">
      <c r="A114" s="368" t="s">
        <v>947</v>
      </c>
      <c r="B114" s="374" t="s">
        <v>948</v>
      </c>
      <c r="C114" s="294">
        <f>C115</f>
        <v>155440.30000000002</v>
      </c>
      <c r="D114" s="294">
        <f>D115</f>
        <v>206969</v>
      </c>
      <c r="E114" s="294">
        <f t="shared" si="11"/>
        <v>51528.699999999983</v>
      </c>
      <c r="F114" s="294">
        <f>F115</f>
        <v>26552.2</v>
      </c>
      <c r="G114" s="294">
        <f>G115</f>
        <v>26552.2</v>
      </c>
      <c r="H114" s="294">
        <f t="shared" si="12"/>
        <v>0</v>
      </c>
      <c r="I114" s="294">
        <f>I115</f>
        <v>19778.3</v>
      </c>
      <c r="J114" s="294">
        <f>J115</f>
        <v>19778.3</v>
      </c>
      <c r="K114" s="338">
        <f t="shared" si="13"/>
        <v>0</v>
      </c>
    </row>
    <row r="115" spans="1:13" x14ac:dyDescent="0.25">
      <c r="A115" s="368" t="s">
        <v>949</v>
      </c>
      <c r="B115" s="374" t="s">
        <v>950</v>
      </c>
      <c r="C115" s="375">
        <f>SUM(C116:C167)</f>
        <v>155440.30000000002</v>
      </c>
      <c r="D115" s="375">
        <f>SUM(D116:D167)</f>
        <v>206969</v>
      </c>
      <c r="E115" s="294">
        <f t="shared" si="11"/>
        <v>51528.699999999983</v>
      </c>
      <c r="F115" s="375">
        <f>SUM(F116:F167)</f>
        <v>26552.2</v>
      </c>
      <c r="G115" s="375">
        <f>SUM(G116:G167)</f>
        <v>26552.2</v>
      </c>
      <c r="H115" s="294">
        <f t="shared" si="12"/>
        <v>0</v>
      </c>
      <c r="I115" s="375">
        <f>SUM(I116:I167)</f>
        <v>19778.3</v>
      </c>
      <c r="J115" s="375">
        <f>SUM(J116:J167)</f>
        <v>19778.3</v>
      </c>
      <c r="K115" s="338">
        <f t="shared" si="13"/>
        <v>0</v>
      </c>
    </row>
    <row r="116" spans="1:13" ht="61.5" hidden="1" customHeight="1" x14ac:dyDescent="0.25">
      <c r="A116" s="290" t="s">
        <v>949</v>
      </c>
      <c r="B116" s="291" t="s">
        <v>951</v>
      </c>
      <c r="C116" s="292">
        <v>0</v>
      </c>
      <c r="D116" s="292">
        <v>0</v>
      </c>
      <c r="E116" s="294">
        <f t="shared" si="11"/>
        <v>0</v>
      </c>
      <c r="F116" s="292">
        <v>0</v>
      </c>
      <c r="G116" s="292">
        <v>0</v>
      </c>
      <c r="H116" s="294">
        <f t="shared" si="12"/>
        <v>0</v>
      </c>
      <c r="I116" s="292">
        <v>0</v>
      </c>
      <c r="J116" s="292">
        <v>0</v>
      </c>
      <c r="K116" s="338">
        <f t="shared" si="13"/>
        <v>0</v>
      </c>
    </row>
    <row r="117" spans="1:13" ht="64.5" hidden="1" customHeight="1" x14ac:dyDescent="0.25">
      <c r="A117" s="290" t="s">
        <v>949</v>
      </c>
      <c r="B117" s="376" t="s">
        <v>736</v>
      </c>
      <c r="C117" s="292">
        <v>0</v>
      </c>
      <c r="D117" s="292">
        <v>0</v>
      </c>
      <c r="E117" s="294">
        <f t="shared" si="11"/>
        <v>0</v>
      </c>
      <c r="F117" s="292">
        <v>0</v>
      </c>
      <c r="G117" s="292">
        <v>0</v>
      </c>
      <c r="H117" s="294">
        <f t="shared" si="12"/>
        <v>0</v>
      </c>
      <c r="I117" s="292">
        <v>0</v>
      </c>
      <c r="J117" s="292">
        <v>0</v>
      </c>
      <c r="K117" s="338">
        <f t="shared" si="13"/>
        <v>0</v>
      </c>
    </row>
    <row r="118" spans="1:13" ht="64.5" customHeight="1" x14ac:dyDescent="0.25">
      <c r="A118" s="290" t="s">
        <v>949</v>
      </c>
      <c r="B118" s="291" t="s">
        <v>952</v>
      </c>
      <c r="C118" s="292">
        <f>745+2194</f>
        <v>2939</v>
      </c>
      <c r="D118" s="292">
        <f>745+2194</f>
        <v>2939</v>
      </c>
      <c r="E118" s="294">
        <f t="shared" si="11"/>
        <v>0</v>
      </c>
      <c r="F118" s="292">
        <v>0</v>
      </c>
      <c r="G118" s="292">
        <v>0</v>
      </c>
      <c r="H118" s="294">
        <f t="shared" si="12"/>
        <v>0</v>
      </c>
      <c r="I118" s="292">
        <v>0</v>
      </c>
      <c r="J118" s="292">
        <v>0</v>
      </c>
      <c r="K118" s="338">
        <f t="shared" si="13"/>
        <v>0</v>
      </c>
      <c r="M118" s="295"/>
    </row>
    <row r="119" spans="1:13" ht="76.5" customHeight="1" x14ac:dyDescent="0.25">
      <c r="A119" s="290" t="s">
        <v>949</v>
      </c>
      <c r="B119" s="291" t="s">
        <v>953</v>
      </c>
      <c r="C119" s="292">
        <v>2183.5</v>
      </c>
      <c r="D119" s="292">
        <v>2183.5</v>
      </c>
      <c r="E119" s="294">
        <f t="shared" si="11"/>
        <v>0</v>
      </c>
      <c r="F119" s="292">
        <v>992.5</v>
      </c>
      <c r="G119" s="292">
        <v>992.5</v>
      </c>
      <c r="H119" s="294">
        <f t="shared" si="12"/>
        <v>0</v>
      </c>
      <c r="I119" s="292">
        <v>0</v>
      </c>
      <c r="J119" s="292">
        <v>0</v>
      </c>
      <c r="K119" s="338">
        <f t="shared" si="13"/>
        <v>0</v>
      </c>
    </row>
    <row r="120" spans="1:13" ht="57.75" customHeight="1" x14ac:dyDescent="0.25">
      <c r="A120" s="290" t="s">
        <v>949</v>
      </c>
      <c r="B120" s="291" t="s">
        <v>954</v>
      </c>
      <c r="C120" s="292">
        <v>836.8</v>
      </c>
      <c r="D120" s="292">
        <v>836.8</v>
      </c>
      <c r="E120" s="294">
        <f t="shared" si="11"/>
        <v>0</v>
      </c>
      <c r="F120" s="292">
        <v>2510.3000000000002</v>
      </c>
      <c r="G120" s="292">
        <v>2510.3000000000002</v>
      </c>
      <c r="H120" s="294">
        <f t="shared" si="12"/>
        <v>0</v>
      </c>
      <c r="I120" s="292">
        <v>1673.5</v>
      </c>
      <c r="J120" s="292">
        <v>1673.5</v>
      </c>
      <c r="K120" s="338">
        <f t="shared" si="13"/>
        <v>0</v>
      </c>
    </row>
    <row r="121" spans="1:13" ht="63" customHeight="1" x14ac:dyDescent="0.25">
      <c r="A121" s="290" t="s">
        <v>949</v>
      </c>
      <c r="B121" s="291" t="s">
        <v>955</v>
      </c>
      <c r="C121" s="292">
        <v>4591.8999999999996</v>
      </c>
      <c r="D121" s="292">
        <v>4591.8999999999996</v>
      </c>
      <c r="E121" s="294">
        <f t="shared" si="11"/>
        <v>0</v>
      </c>
      <c r="F121" s="292">
        <v>5560.2</v>
      </c>
      <c r="G121" s="292">
        <v>5560.2</v>
      </c>
      <c r="H121" s="294">
        <f t="shared" si="12"/>
        <v>0</v>
      </c>
      <c r="I121" s="292">
        <v>3615.6</v>
      </c>
      <c r="J121" s="292">
        <v>3615.6</v>
      </c>
      <c r="K121" s="338">
        <f t="shared" si="13"/>
        <v>0</v>
      </c>
    </row>
    <row r="122" spans="1:13" ht="60" customHeight="1" x14ac:dyDescent="0.25">
      <c r="A122" s="290" t="s">
        <v>949</v>
      </c>
      <c r="B122" s="291" t="s">
        <v>956</v>
      </c>
      <c r="C122" s="292">
        <v>598.29999999999995</v>
      </c>
      <c r="D122" s="292">
        <v>598.29999999999995</v>
      </c>
      <c r="E122" s="294">
        <f t="shared" si="11"/>
        <v>0</v>
      </c>
      <c r="F122" s="292">
        <v>280.89999999999998</v>
      </c>
      <c r="G122" s="292">
        <v>280.89999999999998</v>
      </c>
      <c r="H122" s="294">
        <f t="shared" si="12"/>
        <v>0</v>
      </c>
      <c r="I122" s="292">
        <v>280.89999999999998</v>
      </c>
      <c r="J122" s="292">
        <v>280.89999999999998</v>
      </c>
      <c r="K122" s="338">
        <f t="shared" si="13"/>
        <v>0</v>
      </c>
    </row>
    <row r="123" spans="1:13" ht="64.5" hidden="1" customHeight="1" x14ac:dyDescent="0.25">
      <c r="A123" s="290" t="s">
        <v>949</v>
      </c>
      <c r="B123" s="291" t="s">
        <v>957</v>
      </c>
      <c r="C123" s="292">
        <v>0</v>
      </c>
      <c r="D123" s="292">
        <v>0</v>
      </c>
      <c r="E123" s="294">
        <f t="shared" si="11"/>
        <v>0</v>
      </c>
      <c r="F123" s="292">
        <v>0</v>
      </c>
      <c r="G123" s="292">
        <v>0</v>
      </c>
      <c r="H123" s="294">
        <f t="shared" si="12"/>
        <v>0</v>
      </c>
      <c r="I123" s="292">
        <v>0</v>
      </c>
      <c r="J123" s="292">
        <v>0</v>
      </c>
      <c r="K123" s="338">
        <f t="shared" si="13"/>
        <v>0</v>
      </c>
    </row>
    <row r="124" spans="1:13" ht="74.25" customHeight="1" x14ac:dyDescent="0.25">
      <c r="A124" s="290" t="s">
        <v>949</v>
      </c>
      <c r="B124" s="291" t="s">
        <v>958</v>
      </c>
      <c r="C124" s="292">
        <v>418</v>
      </c>
      <c r="D124" s="292">
        <v>418</v>
      </c>
      <c r="E124" s="294">
        <f t="shared" si="11"/>
        <v>0</v>
      </c>
      <c r="F124" s="292">
        <v>418</v>
      </c>
      <c r="G124" s="292">
        <v>418</v>
      </c>
      <c r="H124" s="294">
        <f t="shared" si="12"/>
        <v>0</v>
      </c>
      <c r="I124" s="292">
        <v>418</v>
      </c>
      <c r="J124" s="292">
        <v>418</v>
      </c>
      <c r="K124" s="338">
        <f t="shared" si="13"/>
        <v>0</v>
      </c>
    </row>
    <row r="125" spans="1:13" ht="76.5" customHeight="1" x14ac:dyDescent="0.25">
      <c r="A125" s="290" t="s">
        <v>949</v>
      </c>
      <c r="B125" s="291" t="s">
        <v>959</v>
      </c>
      <c r="C125" s="292">
        <v>2100</v>
      </c>
      <c r="D125" s="292">
        <v>2100</v>
      </c>
      <c r="E125" s="294">
        <f t="shared" si="11"/>
        <v>0</v>
      </c>
      <c r="F125" s="292">
        <v>1000</v>
      </c>
      <c r="G125" s="292">
        <v>1000</v>
      </c>
      <c r="H125" s="294">
        <f t="shared" si="12"/>
        <v>0</v>
      </c>
      <c r="I125" s="292">
        <v>0</v>
      </c>
      <c r="J125" s="292">
        <v>0</v>
      </c>
      <c r="K125" s="338">
        <f t="shared" si="13"/>
        <v>0</v>
      </c>
    </row>
    <row r="126" spans="1:13" ht="90" hidden="1" customHeight="1" x14ac:dyDescent="0.25">
      <c r="A126" s="290" t="s">
        <v>949</v>
      </c>
      <c r="B126" s="291" t="s">
        <v>960</v>
      </c>
      <c r="C126" s="292">
        <v>0</v>
      </c>
      <c r="D126" s="292">
        <v>0</v>
      </c>
      <c r="E126" s="294">
        <f t="shared" si="11"/>
        <v>0</v>
      </c>
      <c r="F126" s="292">
        <v>0</v>
      </c>
      <c r="G126" s="292">
        <v>0</v>
      </c>
      <c r="H126" s="294">
        <f t="shared" si="12"/>
        <v>0</v>
      </c>
      <c r="I126" s="292">
        <v>0</v>
      </c>
      <c r="J126" s="292">
        <v>0</v>
      </c>
      <c r="K126" s="338">
        <f t="shared" si="13"/>
        <v>0</v>
      </c>
    </row>
    <row r="127" spans="1:13" ht="69" hidden="1" customHeight="1" x14ac:dyDescent="0.25">
      <c r="A127" s="290" t="s">
        <v>949</v>
      </c>
      <c r="B127" s="291" t="s">
        <v>961</v>
      </c>
      <c r="C127" s="292">
        <v>0</v>
      </c>
      <c r="D127" s="292">
        <v>0</v>
      </c>
      <c r="E127" s="294">
        <f t="shared" si="11"/>
        <v>0</v>
      </c>
      <c r="F127" s="292">
        <v>0</v>
      </c>
      <c r="G127" s="292">
        <v>0</v>
      </c>
      <c r="H127" s="294">
        <f t="shared" si="12"/>
        <v>0</v>
      </c>
      <c r="I127" s="292">
        <v>0</v>
      </c>
      <c r="J127" s="292">
        <v>0</v>
      </c>
      <c r="K127" s="338">
        <f t="shared" si="13"/>
        <v>0</v>
      </c>
    </row>
    <row r="128" spans="1:13" ht="3.75" hidden="1" customHeight="1" x14ac:dyDescent="0.25">
      <c r="A128" s="290" t="s">
        <v>949</v>
      </c>
      <c r="B128" s="291" t="s">
        <v>962</v>
      </c>
      <c r="C128" s="292">
        <v>0</v>
      </c>
      <c r="D128" s="292">
        <v>0</v>
      </c>
      <c r="E128" s="294">
        <f t="shared" si="11"/>
        <v>0</v>
      </c>
      <c r="F128" s="292">
        <v>0</v>
      </c>
      <c r="G128" s="292">
        <v>0</v>
      </c>
      <c r="H128" s="294">
        <f t="shared" si="12"/>
        <v>0</v>
      </c>
      <c r="I128" s="292">
        <v>0</v>
      </c>
      <c r="J128" s="292">
        <v>0</v>
      </c>
      <c r="K128" s="338">
        <f t="shared" si="13"/>
        <v>0</v>
      </c>
    </row>
    <row r="129" spans="1:11" ht="78" customHeight="1" x14ac:dyDescent="0.25">
      <c r="A129" s="290" t="s">
        <v>949</v>
      </c>
      <c r="B129" s="291" t="s">
        <v>963</v>
      </c>
      <c r="C129" s="292">
        <v>9840</v>
      </c>
      <c r="D129" s="292">
        <v>9840</v>
      </c>
      <c r="E129" s="294">
        <f t="shared" si="11"/>
        <v>0</v>
      </c>
      <c r="F129" s="292">
        <v>2000</v>
      </c>
      <c r="G129" s="292">
        <v>2000</v>
      </c>
      <c r="H129" s="294">
        <f t="shared" si="12"/>
        <v>0</v>
      </c>
      <c r="I129" s="292">
        <v>0</v>
      </c>
      <c r="J129" s="292">
        <v>0</v>
      </c>
      <c r="K129" s="338">
        <f t="shared" si="13"/>
        <v>0</v>
      </c>
    </row>
    <row r="130" spans="1:11" ht="99.75" customHeight="1" x14ac:dyDescent="0.25">
      <c r="A130" s="290" t="s">
        <v>949</v>
      </c>
      <c r="B130" s="291" t="s">
        <v>964</v>
      </c>
      <c r="C130" s="292">
        <v>245</v>
      </c>
      <c r="D130" s="292">
        <v>245</v>
      </c>
      <c r="E130" s="294">
        <f t="shared" si="11"/>
        <v>0</v>
      </c>
      <c r="F130" s="292">
        <v>0</v>
      </c>
      <c r="G130" s="292">
        <v>0</v>
      </c>
      <c r="H130" s="294">
        <f t="shared" si="12"/>
        <v>0</v>
      </c>
      <c r="I130" s="292">
        <v>0</v>
      </c>
      <c r="J130" s="292">
        <v>0</v>
      </c>
      <c r="K130" s="338">
        <f t="shared" si="13"/>
        <v>0</v>
      </c>
    </row>
    <row r="131" spans="1:11" ht="84.75" customHeight="1" x14ac:dyDescent="0.25">
      <c r="A131" s="290" t="s">
        <v>949</v>
      </c>
      <c r="B131" s="291" t="s">
        <v>965</v>
      </c>
      <c r="C131" s="292">
        <v>470</v>
      </c>
      <c r="D131" s="292">
        <v>470</v>
      </c>
      <c r="E131" s="294">
        <f t="shared" si="11"/>
        <v>0</v>
      </c>
      <c r="F131" s="292">
        <v>470</v>
      </c>
      <c r="G131" s="292">
        <v>470</v>
      </c>
      <c r="H131" s="294">
        <f t="shared" si="12"/>
        <v>0</v>
      </c>
      <c r="I131" s="292">
        <v>470</v>
      </c>
      <c r="J131" s="292">
        <v>470</v>
      </c>
      <c r="K131" s="338">
        <f t="shared" si="13"/>
        <v>0</v>
      </c>
    </row>
    <row r="132" spans="1:11" ht="90" customHeight="1" x14ac:dyDescent="0.25">
      <c r="A132" s="290" t="s">
        <v>949</v>
      </c>
      <c r="B132" s="291" t="s">
        <v>735</v>
      </c>
      <c r="C132" s="292">
        <v>612.9</v>
      </c>
      <c r="D132" s="292">
        <v>612.9</v>
      </c>
      <c r="E132" s="294">
        <f t="shared" si="11"/>
        <v>0</v>
      </c>
      <c r="F132" s="292">
        <v>612.9</v>
      </c>
      <c r="G132" s="292">
        <v>612.9</v>
      </c>
      <c r="H132" s="294">
        <f t="shared" si="12"/>
        <v>0</v>
      </c>
      <c r="I132" s="292">
        <v>612.9</v>
      </c>
      <c r="J132" s="292">
        <v>612.9</v>
      </c>
      <c r="K132" s="338">
        <f t="shared" si="13"/>
        <v>0</v>
      </c>
    </row>
    <row r="133" spans="1:11" ht="74.25" customHeight="1" x14ac:dyDescent="0.25">
      <c r="A133" s="290" t="s">
        <v>949</v>
      </c>
      <c r="B133" s="291" t="s">
        <v>966</v>
      </c>
      <c r="C133" s="292">
        <v>569.6</v>
      </c>
      <c r="D133" s="292">
        <v>569.6</v>
      </c>
      <c r="E133" s="294">
        <f t="shared" si="11"/>
        <v>0</v>
      </c>
      <c r="F133" s="292">
        <v>569.6</v>
      </c>
      <c r="G133" s="292">
        <v>569.6</v>
      </c>
      <c r="H133" s="294">
        <f t="shared" si="12"/>
        <v>0</v>
      </c>
      <c r="I133" s="292">
        <v>569.6</v>
      </c>
      <c r="J133" s="292">
        <v>569.6</v>
      </c>
      <c r="K133" s="338">
        <f t="shared" si="13"/>
        <v>0</v>
      </c>
    </row>
    <row r="134" spans="1:11" ht="87" customHeight="1" x14ac:dyDescent="0.25">
      <c r="A134" s="290" t="s">
        <v>949</v>
      </c>
      <c r="B134" s="291" t="s">
        <v>967</v>
      </c>
      <c r="C134" s="292">
        <v>900</v>
      </c>
      <c r="D134" s="292">
        <v>900</v>
      </c>
      <c r="E134" s="294">
        <f t="shared" si="11"/>
        <v>0</v>
      </c>
      <c r="F134" s="292">
        <v>900</v>
      </c>
      <c r="G134" s="292">
        <v>900</v>
      </c>
      <c r="H134" s="294">
        <f t="shared" si="12"/>
        <v>0</v>
      </c>
      <c r="I134" s="292">
        <v>900</v>
      </c>
      <c r="J134" s="292">
        <v>900</v>
      </c>
      <c r="K134" s="338">
        <f t="shared" si="13"/>
        <v>0</v>
      </c>
    </row>
    <row r="135" spans="1:11" ht="75" x14ac:dyDescent="0.25">
      <c r="A135" s="290" t="s">
        <v>949</v>
      </c>
      <c r="B135" s="291" t="s">
        <v>968</v>
      </c>
      <c r="C135" s="292">
        <v>177.9</v>
      </c>
      <c r="D135" s="292">
        <v>177.9</v>
      </c>
      <c r="E135" s="294">
        <f t="shared" si="11"/>
        <v>0</v>
      </c>
      <c r="F135" s="292">
        <v>57.2</v>
      </c>
      <c r="G135" s="292">
        <v>57.2</v>
      </c>
      <c r="H135" s="294">
        <f t="shared" si="12"/>
        <v>0</v>
      </c>
      <c r="I135" s="292">
        <v>57.2</v>
      </c>
      <c r="J135" s="292">
        <v>57.2</v>
      </c>
      <c r="K135" s="338">
        <f t="shared" si="13"/>
        <v>0</v>
      </c>
    </row>
    <row r="136" spans="1:11" ht="47.25" customHeight="1" x14ac:dyDescent="0.25">
      <c r="A136" s="290" t="s">
        <v>949</v>
      </c>
      <c r="B136" s="291" t="s">
        <v>969</v>
      </c>
      <c r="C136" s="292">
        <v>380.5</v>
      </c>
      <c r="D136" s="292">
        <v>380.5</v>
      </c>
      <c r="E136" s="294">
        <f t="shared" ref="E136:E204" si="17">D136-C136</f>
        <v>0</v>
      </c>
      <c r="F136" s="292">
        <f>1048.9-602.1</f>
        <v>446.80000000000007</v>
      </c>
      <c r="G136" s="292">
        <f>1048.9-602.1</f>
        <v>446.80000000000007</v>
      </c>
      <c r="H136" s="294">
        <f t="shared" ref="H136:H202" si="18">G136-F136</f>
        <v>0</v>
      </c>
      <c r="I136" s="292">
        <f>1048.9-602.1</f>
        <v>446.80000000000007</v>
      </c>
      <c r="J136" s="292">
        <f>1048.9-602.1</f>
        <v>446.80000000000007</v>
      </c>
      <c r="K136" s="338">
        <f t="shared" ref="K136:K202" si="19">J136-I136</f>
        <v>0</v>
      </c>
    </row>
    <row r="137" spans="1:11" ht="109.5" hidden="1" customHeight="1" x14ac:dyDescent="0.25">
      <c r="A137" s="290" t="s">
        <v>949</v>
      </c>
      <c r="B137" s="291" t="s">
        <v>970</v>
      </c>
      <c r="C137" s="292">
        <v>0</v>
      </c>
      <c r="D137" s="292">
        <v>0</v>
      </c>
      <c r="E137" s="294">
        <f t="shared" si="17"/>
        <v>0</v>
      </c>
      <c r="F137" s="292">
        <v>0</v>
      </c>
      <c r="G137" s="292">
        <v>0</v>
      </c>
      <c r="H137" s="294">
        <f t="shared" si="18"/>
        <v>0</v>
      </c>
      <c r="I137" s="292">
        <v>0</v>
      </c>
      <c r="J137" s="292">
        <v>0</v>
      </c>
      <c r="K137" s="338">
        <f t="shared" si="19"/>
        <v>0</v>
      </c>
    </row>
    <row r="138" spans="1:11" ht="78.75" customHeight="1" x14ac:dyDescent="0.25">
      <c r="A138" s="290" t="s">
        <v>949</v>
      </c>
      <c r="B138" s="291" t="s">
        <v>971</v>
      </c>
      <c r="C138" s="292">
        <v>3929.5</v>
      </c>
      <c r="D138" s="292">
        <v>3929.5</v>
      </c>
      <c r="E138" s="294">
        <f t="shared" si="17"/>
        <v>0</v>
      </c>
      <c r="F138" s="292">
        <v>3818.8</v>
      </c>
      <c r="G138" s="292">
        <v>3818.8</v>
      </c>
      <c r="H138" s="294">
        <f t="shared" si="18"/>
        <v>0</v>
      </c>
      <c r="I138" s="292">
        <v>3818.8</v>
      </c>
      <c r="J138" s="292">
        <v>3818.8</v>
      </c>
      <c r="K138" s="338">
        <f t="shared" si="19"/>
        <v>0</v>
      </c>
    </row>
    <row r="139" spans="1:11" ht="87" hidden="1" customHeight="1" x14ac:dyDescent="0.25">
      <c r="A139" s="290" t="s">
        <v>949</v>
      </c>
      <c r="B139" s="291" t="s">
        <v>972</v>
      </c>
      <c r="C139" s="292">
        <v>0</v>
      </c>
      <c r="D139" s="292">
        <v>0</v>
      </c>
      <c r="E139" s="294">
        <f t="shared" si="17"/>
        <v>0</v>
      </c>
      <c r="F139" s="292">
        <v>0</v>
      </c>
      <c r="G139" s="292">
        <v>0</v>
      </c>
      <c r="H139" s="294">
        <f t="shared" si="18"/>
        <v>0</v>
      </c>
      <c r="I139" s="292">
        <v>0</v>
      </c>
      <c r="J139" s="292">
        <v>0</v>
      </c>
      <c r="K139" s="338">
        <f t="shared" si="19"/>
        <v>0</v>
      </c>
    </row>
    <row r="140" spans="1:11" ht="99.75" hidden="1" customHeight="1" x14ac:dyDescent="0.25">
      <c r="A140" s="290" t="s">
        <v>949</v>
      </c>
      <c r="B140" s="291" t="s">
        <v>973</v>
      </c>
      <c r="C140" s="292">
        <v>0</v>
      </c>
      <c r="D140" s="292">
        <v>0</v>
      </c>
      <c r="E140" s="294">
        <f t="shared" si="17"/>
        <v>0</v>
      </c>
      <c r="F140" s="292">
        <v>0</v>
      </c>
      <c r="G140" s="292">
        <v>0</v>
      </c>
      <c r="H140" s="294">
        <f t="shared" si="18"/>
        <v>0</v>
      </c>
      <c r="I140" s="292">
        <v>0</v>
      </c>
      <c r="J140" s="292">
        <v>0</v>
      </c>
      <c r="K140" s="338">
        <f t="shared" si="19"/>
        <v>0</v>
      </c>
    </row>
    <row r="141" spans="1:11" ht="89.25" hidden="1" customHeight="1" x14ac:dyDescent="0.25">
      <c r="A141" s="290" t="s">
        <v>949</v>
      </c>
      <c r="B141" s="291" t="s">
        <v>974</v>
      </c>
      <c r="C141" s="292">
        <v>0</v>
      </c>
      <c r="D141" s="292">
        <v>0</v>
      </c>
      <c r="E141" s="294">
        <f t="shared" si="17"/>
        <v>0</v>
      </c>
      <c r="F141" s="292">
        <v>0</v>
      </c>
      <c r="G141" s="292">
        <v>0</v>
      </c>
      <c r="H141" s="294">
        <f t="shared" si="18"/>
        <v>0</v>
      </c>
      <c r="I141" s="292">
        <v>0</v>
      </c>
      <c r="J141" s="292">
        <v>0</v>
      </c>
      <c r="K141" s="338">
        <f t="shared" si="19"/>
        <v>0</v>
      </c>
    </row>
    <row r="142" spans="1:11" ht="84.75" customHeight="1" x14ac:dyDescent="0.25">
      <c r="A142" s="290" t="s">
        <v>949</v>
      </c>
      <c r="B142" s="376" t="s">
        <v>975</v>
      </c>
      <c r="C142" s="292">
        <v>0</v>
      </c>
      <c r="D142" s="292">
        <v>0</v>
      </c>
      <c r="E142" s="294">
        <f t="shared" si="17"/>
        <v>0</v>
      </c>
      <c r="F142" s="292">
        <v>0</v>
      </c>
      <c r="G142" s="292">
        <v>0</v>
      </c>
      <c r="H142" s="294">
        <f t="shared" si="18"/>
        <v>0</v>
      </c>
      <c r="I142" s="292">
        <v>0</v>
      </c>
      <c r="J142" s="292">
        <v>0</v>
      </c>
      <c r="K142" s="338">
        <f t="shared" si="19"/>
        <v>0</v>
      </c>
    </row>
    <row r="143" spans="1:11" ht="98.25" hidden="1" customHeight="1" x14ac:dyDescent="0.25">
      <c r="A143" s="290" t="s">
        <v>949</v>
      </c>
      <c r="B143" s="291" t="s">
        <v>976</v>
      </c>
      <c r="C143" s="292">
        <v>0</v>
      </c>
      <c r="D143" s="292">
        <v>0</v>
      </c>
      <c r="E143" s="294">
        <f t="shared" si="17"/>
        <v>0</v>
      </c>
      <c r="F143" s="292">
        <v>0</v>
      </c>
      <c r="G143" s="292">
        <v>0</v>
      </c>
      <c r="H143" s="294">
        <f t="shared" si="18"/>
        <v>0</v>
      </c>
      <c r="I143" s="292">
        <v>0</v>
      </c>
      <c r="J143" s="292">
        <v>0</v>
      </c>
      <c r="K143" s="338">
        <f t="shared" si="19"/>
        <v>0</v>
      </c>
    </row>
    <row r="144" spans="1:11" ht="92.25" hidden="1" customHeight="1" x14ac:dyDescent="0.25">
      <c r="A144" s="290" t="s">
        <v>949</v>
      </c>
      <c r="B144" s="291" t="s">
        <v>977</v>
      </c>
      <c r="C144" s="292">
        <v>0</v>
      </c>
      <c r="D144" s="292">
        <v>0</v>
      </c>
      <c r="E144" s="294">
        <f t="shared" si="17"/>
        <v>0</v>
      </c>
      <c r="F144" s="292">
        <v>0</v>
      </c>
      <c r="G144" s="292">
        <v>0</v>
      </c>
      <c r="H144" s="294">
        <f t="shared" si="18"/>
        <v>0</v>
      </c>
      <c r="I144" s="292">
        <v>0</v>
      </c>
      <c r="J144" s="292">
        <v>0</v>
      </c>
      <c r="K144" s="338">
        <f t="shared" si="19"/>
        <v>0</v>
      </c>
    </row>
    <row r="145" spans="1:11" ht="69.75" customHeight="1" x14ac:dyDescent="0.25">
      <c r="A145" s="290" t="s">
        <v>949</v>
      </c>
      <c r="B145" s="376" t="s">
        <v>978</v>
      </c>
      <c r="C145" s="292">
        <v>600</v>
      </c>
      <c r="D145" s="292">
        <v>600</v>
      </c>
      <c r="E145" s="294">
        <f t="shared" si="17"/>
        <v>0</v>
      </c>
      <c r="F145" s="292">
        <v>0</v>
      </c>
      <c r="G145" s="292">
        <v>0</v>
      </c>
      <c r="H145" s="294">
        <f t="shared" si="18"/>
        <v>0</v>
      </c>
      <c r="I145" s="292">
        <v>0</v>
      </c>
      <c r="J145" s="292">
        <v>0</v>
      </c>
      <c r="K145" s="338">
        <f t="shared" si="19"/>
        <v>0</v>
      </c>
    </row>
    <row r="146" spans="1:11" ht="57.75" customHeight="1" x14ac:dyDescent="0.25">
      <c r="A146" s="290" t="s">
        <v>949</v>
      </c>
      <c r="B146" s="291" t="s">
        <v>979</v>
      </c>
      <c r="C146" s="292">
        <v>5729.5</v>
      </c>
      <c r="D146" s="292">
        <v>5729.5</v>
      </c>
      <c r="E146" s="294">
        <f t="shared" si="17"/>
        <v>0</v>
      </c>
      <c r="F146" s="292">
        <v>5729.5</v>
      </c>
      <c r="G146" s="292">
        <v>5729.5</v>
      </c>
      <c r="H146" s="294">
        <f t="shared" si="18"/>
        <v>0</v>
      </c>
      <c r="I146" s="292">
        <v>5729.5</v>
      </c>
      <c r="J146" s="292">
        <v>5729.5</v>
      </c>
      <c r="K146" s="338">
        <f t="shared" si="19"/>
        <v>0</v>
      </c>
    </row>
    <row r="147" spans="1:11" ht="89.25" customHeight="1" x14ac:dyDescent="0.25">
      <c r="A147" s="290" t="s">
        <v>949</v>
      </c>
      <c r="B147" s="291" t="s">
        <v>1111</v>
      </c>
      <c r="C147" s="292">
        <v>4101.8</v>
      </c>
      <c r="D147" s="292">
        <v>4101.8</v>
      </c>
      <c r="E147" s="294">
        <f t="shared" si="17"/>
        <v>0</v>
      </c>
      <c r="F147" s="292">
        <v>0</v>
      </c>
      <c r="G147" s="292">
        <v>0</v>
      </c>
      <c r="H147" s="294">
        <f t="shared" si="18"/>
        <v>0</v>
      </c>
      <c r="I147" s="292">
        <v>0</v>
      </c>
      <c r="J147" s="292">
        <v>0</v>
      </c>
      <c r="K147" s="338">
        <f t="shared" si="19"/>
        <v>0</v>
      </c>
    </row>
    <row r="148" spans="1:11" ht="27" customHeight="1" x14ac:dyDescent="0.25">
      <c r="A148" s="290" t="s">
        <v>949</v>
      </c>
      <c r="B148" s="361" t="s">
        <v>980</v>
      </c>
      <c r="C148" s="292">
        <v>2844.8</v>
      </c>
      <c r="D148" s="292">
        <v>2844.8</v>
      </c>
      <c r="E148" s="294">
        <f t="shared" si="17"/>
        <v>0</v>
      </c>
      <c r="F148" s="292">
        <v>0</v>
      </c>
      <c r="G148" s="292">
        <v>0</v>
      </c>
      <c r="H148" s="294">
        <f t="shared" si="18"/>
        <v>0</v>
      </c>
      <c r="I148" s="292">
        <v>0</v>
      </c>
      <c r="J148" s="292">
        <v>0</v>
      </c>
      <c r="K148" s="338">
        <f t="shared" si="19"/>
        <v>0</v>
      </c>
    </row>
    <row r="149" spans="1:11" s="448" customFormat="1" ht="60.75" customHeight="1" x14ac:dyDescent="0.25">
      <c r="A149" s="451" t="s">
        <v>949</v>
      </c>
      <c r="B149" s="462" t="s">
        <v>1112</v>
      </c>
      <c r="C149" s="447">
        <v>0</v>
      </c>
      <c r="D149" s="447">
        <v>1923</v>
      </c>
      <c r="E149" s="442">
        <f t="shared" si="17"/>
        <v>1923</v>
      </c>
      <c r="F149" s="447">
        <v>0</v>
      </c>
      <c r="G149" s="447">
        <v>0</v>
      </c>
      <c r="H149" s="442">
        <f t="shared" si="18"/>
        <v>0</v>
      </c>
      <c r="I149" s="447">
        <v>0</v>
      </c>
      <c r="J149" s="447">
        <v>0</v>
      </c>
      <c r="K149" s="443">
        <f t="shared" si="19"/>
        <v>0</v>
      </c>
    </row>
    <row r="150" spans="1:11" ht="90.75" customHeight="1" x14ac:dyDescent="0.25">
      <c r="A150" s="290" t="s">
        <v>949</v>
      </c>
      <c r="B150" s="291" t="s">
        <v>981</v>
      </c>
      <c r="C150" s="292">
        <v>1185.5</v>
      </c>
      <c r="D150" s="292">
        <v>1185.5</v>
      </c>
      <c r="E150" s="294">
        <f t="shared" si="17"/>
        <v>0</v>
      </c>
      <c r="F150" s="292">
        <v>1185.5</v>
      </c>
      <c r="G150" s="292">
        <v>1185.5</v>
      </c>
      <c r="H150" s="294">
        <f t="shared" si="18"/>
        <v>0</v>
      </c>
      <c r="I150" s="292">
        <v>1185.5</v>
      </c>
      <c r="J150" s="292">
        <v>1185.5</v>
      </c>
      <c r="K150" s="338">
        <f t="shared" si="19"/>
        <v>0</v>
      </c>
    </row>
    <row r="151" spans="1:11" ht="83.25" hidden="1" customHeight="1" x14ac:dyDescent="0.25">
      <c r="A151" s="290" t="s">
        <v>949</v>
      </c>
      <c r="B151" s="291" t="s">
        <v>982</v>
      </c>
      <c r="C151" s="292">
        <v>0</v>
      </c>
      <c r="D151" s="292">
        <v>0</v>
      </c>
      <c r="E151" s="294">
        <f t="shared" si="17"/>
        <v>0</v>
      </c>
      <c r="F151" s="292">
        <v>0</v>
      </c>
      <c r="G151" s="292">
        <v>0</v>
      </c>
      <c r="H151" s="294">
        <f t="shared" si="18"/>
        <v>0</v>
      </c>
      <c r="I151" s="292">
        <v>0</v>
      </c>
      <c r="J151" s="292">
        <v>0</v>
      </c>
      <c r="K151" s="338">
        <f t="shared" si="19"/>
        <v>0</v>
      </c>
    </row>
    <row r="152" spans="1:11" ht="76.5" hidden="1" customHeight="1" x14ac:dyDescent="0.25">
      <c r="A152" s="290" t="s">
        <v>949</v>
      </c>
      <c r="B152" s="291" t="s">
        <v>983</v>
      </c>
      <c r="C152" s="292">
        <v>0</v>
      </c>
      <c r="D152" s="292">
        <v>0</v>
      </c>
      <c r="E152" s="294">
        <f t="shared" si="17"/>
        <v>0</v>
      </c>
      <c r="F152" s="292">
        <v>0</v>
      </c>
      <c r="G152" s="292">
        <v>0</v>
      </c>
      <c r="H152" s="294">
        <f t="shared" si="18"/>
        <v>0</v>
      </c>
      <c r="I152" s="292">
        <v>0</v>
      </c>
      <c r="J152" s="292">
        <v>0</v>
      </c>
      <c r="K152" s="338">
        <f t="shared" si="19"/>
        <v>0</v>
      </c>
    </row>
    <row r="153" spans="1:11" ht="46.5" customHeight="1" x14ac:dyDescent="0.25">
      <c r="A153" s="290" t="s">
        <v>949</v>
      </c>
      <c r="B153" s="291" t="s">
        <v>984</v>
      </c>
      <c r="C153" s="292">
        <v>1000</v>
      </c>
      <c r="D153" s="292">
        <v>1000</v>
      </c>
      <c r="E153" s="294">
        <f t="shared" si="17"/>
        <v>0</v>
      </c>
      <c r="F153" s="292">
        <v>0</v>
      </c>
      <c r="G153" s="292">
        <v>0</v>
      </c>
      <c r="H153" s="294">
        <f t="shared" si="18"/>
        <v>0</v>
      </c>
      <c r="I153" s="292">
        <v>0</v>
      </c>
      <c r="J153" s="292">
        <v>0</v>
      </c>
      <c r="K153" s="338">
        <f t="shared" si="19"/>
        <v>0</v>
      </c>
    </row>
    <row r="154" spans="1:11" s="448" customFormat="1" ht="87" customHeight="1" x14ac:dyDescent="0.25">
      <c r="A154" s="451" t="s">
        <v>949</v>
      </c>
      <c r="B154" s="457" t="s">
        <v>985</v>
      </c>
      <c r="C154" s="447">
        <f>109124.6-18424</f>
        <v>90700.6</v>
      </c>
      <c r="D154" s="447">
        <f>109124.6-18424+49605.7</f>
        <v>140306.29999999999</v>
      </c>
      <c r="E154" s="442">
        <f t="shared" si="17"/>
        <v>49605.699999999983</v>
      </c>
      <c r="F154" s="447">
        <v>0</v>
      </c>
      <c r="G154" s="447">
        <v>0</v>
      </c>
      <c r="H154" s="442">
        <f t="shared" si="18"/>
        <v>0</v>
      </c>
      <c r="I154" s="447">
        <v>0</v>
      </c>
      <c r="J154" s="447">
        <v>0</v>
      </c>
      <c r="K154" s="443">
        <f t="shared" si="19"/>
        <v>0</v>
      </c>
    </row>
    <row r="155" spans="1:11" ht="75" customHeight="1" x14ac:dyDescent="0.25">
      <c r="A155" s="290" t="s">
        <v>949</v>
      </c>
      <c r="B155" s="291" t="s">
        <v>986</v>
      </c>
      <c r="C155" s="292">
        <v>855</v>
      </c>
      <c r="D155" s="292">
        <v>855</v>
      </c>
      <c r="E155" s="294">
        <f t="shared" si="17"/>
        <v>0</v>
      </c>
      <c r="F155" s="292">
        <v>0</v>
      </c>
      <c r="G155" s="292">
        <v>0</v>
      </c>
      <c r="H155" s="294">
        <f t="shared" si="18"/>
        <v>0</v>
      </c>
      <c r="I155" s="292">
        <v>0</v>
      </c>
      <c r="J155" s="292">
        <v>0</v>
      </c>
      <c r="K155" s="338">
        <f t="shared" si="19"/>
        <v>0</v>
      </c>
    </row>
    <row r="156" spans="1:11" ht="76.5" customHeight="1" x14ac:dyDescent="0.25">
      <c r="A156" s="290" t="s">
        <v>949</v>
      </c>
      <c r="B156" s="291" t="s">
        <v>987</v>
      </c>
      <c r="C156" s="292">
        <f>2866.3-1724.3</f>
        <v>1142.0000000000002</v>
      </c>
      <c r="D156" s="292">
        <f>2866.3-1724.3</f>
        <v>1142.0000000000002</v>
      </c>
      <c r="E156" s="294">
        <f t="shared" si="17"/>
        <v>0</v>
      </c>
      <c r="F156" s="292">
        <v>0</v>
      </c>
      <c r="G156" s="292">
        <v>0</v>
      </c>
      <c r="H156" s="294">
        <f t="shared" si="18"/>
        <v>0</v>
      </c>
      <c r="I156" s="292">
        <v>0</v>
      </c>
      <c r="J156" s="292">
        <v>0</v>
      </c>
      <c r="K156" s="338">
        <f t="shared" si="19"/>
        <v>0</v>
      </c>
    </row>
    <row r="157" spans="1:11" ht="76.5" customHeight="1" x14ac:dyDescent="0.25">
      <c r="A157" s="290" t="s">
        <v>949</v>
      </c>
      <c r="B157" s="291" t="s">
        <v>988</v>
      </c>
      <c r="C157" s="292">
        <v>0</v>
      </c>
      <c r="D157" s="292">
        <v>0</v>
      </c>
      <c r="E157" s="294">
        <f t="shared" si="17"/>
        <v>0</v>
      </c>
      <c r="F157" s="292">
        <v>0</v>
      </c>
      <c r="G157" s="292">
        <v>0</v>
      </c>
      <c r="H157" s="294">
        <f t="shared" si="18"/>
        <v>0</v>
      </c>
      <c r="I157" s="292">
        <v>0</v>
      </c>
      <c r="J157" s="292">
        <v>0</v>
      </c>
      <c r="K157" s="338">
        <f t="shared" si="19"/>
        <v>0</v>
      </c>
    </row>
    <row r="158" spans="1:11" ht="76.5" customHeight="1" x14ac:dyDescent="0.25">
      <c r="A158" s="290" t="s">
        <v>949</v>
      </c>
      <c r="B158" s="291" t="s">
        <v>989</v>
      </c>
      <c r="C158" s="292">
        <v>2000</v>
      </c>
      <c r="D158" s="292">
        <v>2000</v>
      </c>
      <c r="E158" s="294">
        <f t="shared" si="17"/>
        <v>0</v>
      </c>
      <c r="F158" s="292">
        <v>0</v>
      </c>
      <c r="G158" s="292">
        <v>0</v>
      </c>
      <c r="H158" s="294">
        <f t="shared" si="18"/>
        <v>0</v>
      </c>
      <c r="I158" s="292">
        <v>0</v>
      </c>
      <c r="J158" s="292">
        <v>0</v>
      </c>
      <c r="K158" s="338">
        <f t="shared" si="19"/>
        <v>0</v>
      </c>
    </row>
    <row r="159" spans="1:11" ht="76.5" customHeight="1" x14ac:dyDescent="0.25">
      <c r="A159" s="290" t="s">
        <v>949</v>
      </c>
      <c r="B159" s="291" t="s">
        <v>990</v>
      </c>
      <c r="C159" s="292">
        <v>365</v>
      </c>
      <c r="D159" s="292">
        <v>365</v>
      </c>
      <c r="E159" s="294">
        <f t="shared" si="17"/>
        <v>0</v>
      </c>
      <c r="F159" s="292">
        <v>0</v>
      </c>
      <c r="G159" s="292">
        <v>0</v>
      </c>
      <c r="H159" s="294">
        <f t="shared" si="18"/>
        <v>0</v>
      </c>
      <c r="I159" s="292">
        <v>0</v>
      </c>
      <c r="J159" s="292">
        <v>0</v>
      </c>
      <c r="K159" s="338">
        <f t="shared" si="19"/>
        <v>0</v>
      </c>
    </row>
    <row r="160" spans="1:11" ht="57.75" customHeight="1" x14ac:dyDescent="0.25">
      <c r="A160" s="290" t="s">
        <v>949</v>
      </c>
      <c r="B160" s="291" t="s">
        <v>991</v>
      </c>
      <c r="C160" s="292">
        <v>1540.5</v>
      </c>
      <c r="D160" s="292">
        <v>1540.5</v>
      </c>
      <c r="E160" s="294">
        <f t="shared" si="17"/>
        <v>0</v>
      </c>
      <c r="F160" s="292">
        <v>0</v>
      </c>
      <c r="G160" s="292">
        <v>0</v>
      </c>
      <c r="H160" s="294">
        <f t="shared" si="18"/>
        <v>0</v>
      </c>
      <c r="I160" s="292">
        <v>0</v>
      </c>
      <c r="J160" s="292">
        <v>0</v>
      </c>
      <c r="K160" s="338">
        <f t="shared" si="19"/>
        <v>0</v>
      </c>
    </row>
    <row r="161" spans="1:17" ht="57" customHeight="1" x14ac:dyDescent="0.25">
      <c r="A161" s="290" t="s">
        <v>949</v>
      </c>
      <c r="B161" s="291" t="s">
        <v>1113</v>
      </c>
      <c r="C161" s="292">
        <v>1636.6</v>
      </c>
      <c r="D161" s="292">
        <v>1636.6</v>
      </c>
      <c r="E161" s="294">
        <f t="shared" si="17"/>
        <v>0</v>
      </c>
      <c r="F161" s="292">
        <v>0</v>
      </c>
      <c r="G161" s="292">
        <v>0</v>
      </c>
      <c r="H161" s="294">
        <f t="shared" si="18"/>
        <v>0</v>
      </c>
      <c r="I161" s="292">
        <v>0</v>
      </c>
      <c r="J161" s="292">
        <v>0</v>
      </c>
      <c r="K161" s="338">
        <f t="shared" si="19"/>
        <v>0</v>
      </c>
    </row>
    <row r="162" spans="1:17" ht="84.75" customHeight="1" x14ac:dyDescent="0.25">
      <c r="A162" s="290" t="s">
        <v>949</v>
      </c>
      <c r="B162" s="291" t="s">
        <v>1114</v>
      </c>
      <c r="C162" s="292">
        <v>7914.3</v>
      </c>
      <c r="D162" s="292">
        <v>7914.3</v>
      </c>
      <c r="E162" s="294">
        <f t="shared" si="17"/>
        <v>0</v>
      </c>
      <c r="F162" s="292">
        <v>0</v>
      </c>
      <c r="G162" s="292">
        <v>0</v>
      </c>
      <c r="H162" s="294">
        <f t="shared" si="18"/>
        <v>0</v>
      </c>
      <c r="I162" s="292">
        <v>0</v>
      </c>
      <c r="J162" s="292">
        <v>0</v>
      </c>
      <c r="K162" s="338">
        <f t="shared" si="19"/>
        <v>0</v>
      </c>
    </row>
    <row r="163" spans="1:17" ht="48" customHeight="1" x14ac:dyDescent="0.25">
      <c r="A163" s="290" t="s">
        <v>949</v>
      </c>
      <c r="B163" s="291" t="s">
        <v>992</v>
      </c>
      <c r="C163" s="292">
        <v>74.099999999999994</v>
      </c>
      <c r="D163" s="292">
        <v>74.099999999999994</v>
      </c>
      <c r="E163" s="294">
        <f t="shared" si="17"/>
        <v>0</v>
      </c>
      <c r="F163" s="292">
        <v>0</v>
      </c>
      <c r="G163" s="292">
        <v>0</v>
      </c>
      <c r="H163" s="294">
        <f t="shared" si="18"/>
        <v>0</v>
      </c>
      <c r="I163" s="292">
        <v>0</v>
      </c>
      <c r="J163" s="292">
        <v>0</v>
      </c>
      <c r="K163" s="338">
        <f t="shared" si="19"/>
        <v>0</v>
      </c>
    </row>
    <row r="164" spans="1:17" ht="62.25" customHeight="1" x14ac:dyDescent="0.25">
      <c r="A164" s="290" t="s">
        <v>949</v>
      </c>
      <c r="B164" s="291" t="s">
        <v>993</v>
      </c>
      <c r="C164" s="292">
        <v>2957.7</v>
      </c>
      <c r="D164" s="292">
        <v>2957.7</v>
      </c>
      <c r="E164" s="294">
        <f t="shared" si="17"/>
        <v>0</v>
      </c>
      <c r="F164" s="292">
        <v>0</v>
      </c>
      <c r="G164" s="292">
        <v>0</v>
      </c>
      <c r="H164" s="294">
        <f t="shared" si="18"/>
        <v>0</v>
      </c>
      <c r="I164" s="292">
        <v>0</v>
      </c>
      <c r="J164" s="292">
        <v>0</v>
      </c>
      <c r="K164" s="338">
        <f t="shared" si="19"/>
        <v>0</v>
      </c>
      <c r="M164" s="295"/>
    </row>
    <row r="165" spans="1:17" ht="65.25" hidden="1" customHeight="1" x14ac:dyDescent="0.25">
      <c r="A165" s="290" t="s">
        <v>949</v>
      </c>
      <c r="B165" s="291" t="s">
        <v>994</v>
      </c>
      <c r="C165" s="292">
        <v>0</v>
      </c>
      <c r="D165" s="292">
        <v>0</v>
      </c>
      <c r="E165" s="294">
        <f t="shared" si="17"/>
        <v>0</v>
      </c>
      <c r="F165" s="292">
        <v>0</v>
      </c>
      <c r="G165" s="292">
        <v>0</v>
      </c>
      <c r="H165" s="294">
        <f t="shared" si="18"/>
        <v>0</v>
      </c>
      <c r="I165" s="292">
        <v>0</v>
      </c>
      <c r="J165" s="292">
        <v>0</v>
      </c>
      <c r="K165" s="338">
        <f t="shared" si="19"/>
        <v>0</v>
      </c>
    </row>
    <row r="166" spans="1:17" ht="72" hidden="1" customHeight="1" x14ac:dyDescent="0.25">
      <c r="A166" s="290" t="s">
        <v>949</v>
      </c>
      <c r="B166" s="291" t="s">
        <v>995</v>
      </c>
      <c r="E166" s="294">
        <f t="shared" si="17"/>
        <v>0</v>
      </c>
      <c r="F166" s="292"/>
      <c r="G166" s="292"/>
      <c r="H166" s="294">
        <f t="shared" si="18"/>
        <v>0</v>
      </c>
      <c r="I166" s="292"/>
      <c r="J166" s="292"/>
      <c r="K166" s="338">
        <f t="shared" si="19"/>
        <v>0</v>
      </c>
    </row>
    <row r="167" spans="1:17" ht="77.25" hidden="1" customHeight="1" x14ac:dyDescent="0.25">
      <c r="A167" s="290" t="s">
        <v>949</v>
      </c>
      <c r="B167" s="377" t="s">
        <v>996</v>
      </c>
      <c r="C167" s="292"/>
      <c r="D167" s="292"/>
      <c r="E167" s="294">
        <f t="shared" si="17"/>
        <v>0</v>
      </c>
      <c r="F167" s="292"/>
      <c r="G167" s="292"/>
      <c r="H167" s="294">
        <f t="shared" si="18"/>
        <v>0</v>
      </c>
      <c r="I167" s="292"/>
      <c r="J167" s="292"/>
      <c r="K167" s="338">
        <f t="shared" si="19"/>
        <v>0</v>
      </c>
    </row>
    <row r="168" spans="1:17" ht="18" customHeight="1" x14ac:dyDescent="0.25">
      <c r="A168" s="368" t="s">
        <v>997</v>
      </c>
      <c r="B168" s="374" t="s">
        <v>998</v>
      </c>
      <c r="C168" s="294">
        <f>C171+C183+C187+C189+C181+C185+C191</f>
        <v>226595.30000000002</v>
      </c>
      <c r="D168" s="294">
        <f>D171+D183+D187+D189+D181+D185+D191</f>
        <v>225338.90000000002</v>
      </c>
      <c r="E168" s="294">
        <f t="shared" si="17"/>
        <v>-1256.3999999999942</v>
      </c>
      <c r="F168" s="294">
        <f>F171+F183+F187+F189+F181+F185+F191</f>
        <v>221689.30000000002</v>
      </c>
      <c r="G168" s="294">
        <f>G171+G183+G187+G189+G181+G185+G191</f>
        <v>221689.30000000002</v>
      </c>
      <c r="H168" s="294">
        <f t="shared" si="18"/>
        <v>0</v>
      </c>
      <c r="I168" s="294">
        <f>I171+I183+I187+I189+I181+I185+I191</f>
        <v>222188.1</v>
      </c>
      <c r="J168" s="294">
        <f>J171+J183+J187+J189+J181+J185+J191</f>
        <v>222188.1</v>
      </c>
      <c r="K168" s="338">
        <f t="shared" si="19"/>
        <v>0</v>
      </c>
    </row>
    <row r="169" spans="1:17" ht="32.25" hidden="1" customHeight="1" x14ac:dyDescent="0.25">
      <c r="A169" s="368" t="s">
        <v>999</v>
      </c>
      <c r="B169" s="374" t="s">
        <v>1000</v>
      </c>
      <c r="C169" s="294">
        <f>C170</f>
        <v>0</v>
      </c>
      <c r="D169" s="294">
        <f>D170</f>
        <v>0</v>
      </c>
      <c r="E169" s="294">
        <f t="shared" si="17"/>
        <v>0</v>
      </c>
      <c r="F169" s="294">
        <f>F170</f>
        <v>0</v>
      </c>
      <c r="G169" s="294">
        <f>G170</f>
        <v>0</v>
      </c>
      <c r="H169" s="294">
        <f t="shared" si="18"/>
        <v>0</v>
      </c>
      <c r="I169" s="294">
        <f>I170</f>
        <v>0</v>
      </c>
      <c r="J169" s="294">
        <f>J170</f>
        <v>0</v>
      </c>
      <c r="K169" s="338">
        <f t="shared" si="19"/>
        <v>0</v>
      </c>
    </row>
    <row r="170" spans="1:17" ht="31.5" hidden="1" customHeight="1" x14ac:dyDescent="0.25">
      <c r="A170" s="290" t="s">
        <v>1001</v>
      </c>
      <c r="B170" s="291" t="s">
        <v>1002</v>
      </c>
      <c r="C170" s="292">
        <v>0</v>
      </c>
      <c r="D170" s="292">
        <v>0</v>
      </c>
      <c r="E170" s="294">
        <f t="shared" si="17"/>
        <v>0</v>
      </c>
      <c r="F170" s="292">
        <v>0</v>
      </c>
      <c r="G170" s="292">
        <v>0</v>
      </c>
      <c r="H170" s="294">
        <f t="shared" si="18"/>
        <v>0</v>
      </c>
      <c r="I170" s="292">
        <v>0</v>
      </c>
      <c r="J170" s="292">
        <v>0</v>
      </c>
      <c r="K170" s="338">
        <f t="shared" si="19"/>
        <v>0</v>
      </c>
    </row>
    <row r="171" spans="1:17" ht="31.5" customHeight="1" x14ac:dyDescent="0.25">
      <c r="A171" s="368" t="s">
        <v>1003</v>
      </c>
      <c r="B171" s="358" t="s">
        <v>1004</v>
      </c>
      <c r="C171" s="294">
        <f>C172</f>
        <v>208006.39999999999</v>
      </c>
      <c r="D171" s="294">
        <f>D172</f>
        <v>206750</v>
      </c>
      <c r="E171" s="294">
        <f t="shared" si="17"/>
        <v>-1256.3999999999942</v>
      </c>
      <c r="F171" s="294">
        <f>F172</f>
        <v>203038.3</v>
      </c>
      <c r="G171" s="294">
        <f>G172</f>
        <v>203038.3</v>
      </c>
      <c r="H171" s="294">
        <f t="shared" si="18"/>
        <v>0</v>
      </c>
      <c r="I171" s="294">
        <f>I172</f>
        <v>203038.3</v>
      </c>
      <c r="J171" s="294">
        <f>J172</f>
        <v>203038.3</v>
      </c>
      <c r="K171" s="338">
        <f t="shared" si="19"/>
        <v>0</v>
      </c>
    </row>
    <row r="172" spans="1:17" ht="31.5" customHeight="1" x14ac:dyDescent="0.25">
      <c r="A172" s="368" t="s">
        <v>1005</v>
      </c>
      <c r="B172" s="358" t="s">
        <v>1006</v>
      </c>
      <c r="C172" s="294">
        <f>SUM(C173:C180)</f>
        <v>208006.39999999999</v>
      </c>
      <c r="D172" s="294">
        <f>SUM(D173:D180)</f>
        <v>206750</v>
      </c>
      <c r="E172" s="294">
        <f t="shared" si="17"/>
        <v>-1256.3999999999942</v>
      </c>
      <c r="F172" s="294">
        <f>SUM(F173:F180)</f>
        <v>203038.3</v>
      </c>
      <c r="G172" s="294">
        <f>SUM(G173:G180)</f>
        <v>203038.3</v>
      </c>
      <c r="H172" s="294">
        <f t="shared" si="18"/>
        <v>0</v>
      </c>
      <c r="I172" s="294">
        <f>SUM(I173:I180)</f>
        <v>203038.3</v>
      </c>
      <c r="J172" s="294">
        <f>SUM(J173:J180)</f>
        <v>203038.3</v>
      </c>
      <c r="K172" s="338">
        <f t="shared" si="19"/>
        <v>0</v>
      </c>
    </row>
    <row r="173" spans="1:17" ht="68.25" hidden="1" customHeight="1" x14ac:dyDescent="0.25">
      <c r="A173" s="290" t="s">
        <v>1007</v>
      </c>
      <c r="B173" s="291" t="s">
        <v>1008</v>
      </c>
      <c r="C173" s="292">
        <v>0</v>
      </c>
      <c r="D173" s="292">
        <v>0</v>
      </c>
      <c r="E173" s="294">
        <f t="shared" si="17"/>
        <v>0</v>
      </c>
      <c r="F173" s="378"/>
      <c r="G173" s="378"/>
      <c r="H173" s="294">
        <f t="shared" si="18"/>
        <v>0</v>
      </c>
      <c r="I173" s="379"/>
      <c r="J173" s="379"/>
      <c r="K173" s="338">
        <f t="shared" si="19"/>
        <v>0</v>
      </c>
    </row>
    <row r="174" spans="1:17" s="448" customFormat="1" ht="58.5" customHeight="1" x14ac:dyDescent="0.25">
      <c r="A174" s="451" t="s">
        <v>1005</v>
      </c>
      <c r="B174" s="457" t="s">
        <v>1009</v>
      </c>
      <c r="C174" s="447">
        <f>213226.8-C185-C187-C191-C195</f>
        <v>196842.3</v>
      </c>
      <c r="D174" s="447">
        <f>213226.8-D185-D187-D191-D195-1256.4</f>
        <v>195585.9</v>
      </c>
      <c r="E174" s="442">
        <f t="shared" si="17"/>
        <v>-1256.3999999999942</v>
      </c>
      <c r="F174" s="447">
        <f>210106.4-F185-F187-F191-F195</f>
        <v>193710.4</v>
      </c>
      <c r="G174" s="447">
        <f>210106.4-G185-G187-G191-G195</f>
        <v>193710.4</v>
      </c>
      <c r="H174" s="442">
        <f t="shared" si="18"/>
        <v>0</v>
      </c>
      <c r="I174" s="447">
        <f>210597.8-I185-I187-I191-I195</f>
        <v>193710.4</v>
      </c>
      <c r="J174" s="447">
        <f>210597.8-J185-J187-J191-J195</f>
        <v>193710.4</v>
      </c>
      <c r="K174" s="443">
        <f t="shared" si="19"/>
        <v>0</v>
      </c>
      <c r="L174" s="453"/>
      <c r="M174" s="453"/>
      <c r="Q174" s="453"/>
    </row>
    <row r="175" spans="1:17" ht="6" hidden="1" customHeight="1" x14ac:dyDescent="0.25">
      <c r="A175" s="290" t="s">
        <v>1005</v>
      </c>
      <c r="B175" s="291" t="s">
        <v>1010</v>
      </c>
      <c r="C175" s="292">
        <v>0</v>
      </c>
      <c r="D175" s="292">
        <v>0</v>
      </c>
      <c r="E175" s="294">
        <f t="shared" si="17"/>
        <v>0</v>
      </c>
      <c r="F175" s="292"/>
      <c r="G175" s="292"/>
      <c r="H175" s="294">
        <f t="shared" si="18"/>
        <v>0</v>
      </c>
      <c r="I175" s="292"/>
      <c r="J175" s="292"/>
      <c r="K175" s="338">
        <f t="shared" si="19"/>
        <v>0</v>
      </c>
    </row>
    <row r="176" spans="1:17" ht="29.25" customHeight="1" x14ac:dyDescent="0.25">
      <c r="A176" s="290" t="s">
        <v>1005</v>
      </c>
      <c r="B176" s="291" t="s">
        <v>1011</v>
      </c>
      <c r="C176" s="292">
        <v>4858.6000000000004</v>
      </c>
      <c r="D176" s="292">
        <v>4858.6000000000004</v>
      </c>
      <c r="E176" s="294">
        <f t="shared" si="17"/>
        <v>0</v>
      </c>
      <c r="F176" s="292">
        <v>4858.6000000000004</v>
      </c>
      <c r="G176" s="292">
        <v>4858.6000000000004</v>
      </c>
      <c r="H176" s="294">
        <f t="shared" si="18"/>
        <v>0</v>
      </c>
      <c r="I176" s="292">
        <v>4858.6000000000004</v>
      </c>
      <c r="J176" s="292">
        <v>4858.6000000000004</v>
      </c>
      <c r="K176" s="338">
        <f t="shared" si="19"/>
        <v>0</v>
      </c>
    </row>
    <row r="177" spans="1:19" ht="30" customHeight="1" x14ac:dyDescent="0.25">
      <c r="A177" s="290" t="s">
        <v>1005</v>
      </c>
      <c r="B177" s="291" t="s">
        <v>1012</v>
      </c>
      <c r="C177" s="292">
        <v>485.7</v>
      </c>
      <c r="D177" s="292">
        <v>485.7</v>
      </c>
      <c r="E177" s="294">
        <f t="shared" si="17"/>
        <v>0</v>
      </c>
      <c r="F177" s="292">
        <v>485.7</v>
      </c>
      <c r="G177" s="292">
        <v>485.7</v>
      </c>
      <c r="H177" s="294">
        <f t="shared" si="18"/>
        <v>0</v>
      </c>
      <c r="I177" s="292">
        <v>485.7</v>
      </c>
      <c r="J177" s="292">
        <v>485.7</v>
      </c>
      <c r="K177" s="338">
        <f t="shared" si="19"/>
        <v>0</v>
      </c>
    </row>
    <row r="178" spans="1:19" ht="43.5" customHeight="1" x14ac:dyDescent="0.25">
      <c r="A178" s="290" t="s">
        <v>1005</v>
      </c>
      <c r="B178" s="377" t="s">
        <v>1013</v>
      </c>
      <c r="C178" s="292">
        <v>105.8</v>
      </c>
      <c r="D178" s="292">
        <v>105.8</v>
      </c>
      <c r="E178" s="294">
        <f t="shared" si="17"/>
        <v>0</v>
      </c>
      <c r="F178" s="292">
        <v>105.8</v>
      </c>
      <c r="G178" s="292">
        <v>105.8</v>
      </c>
      <c r="H178" s="294">
        <f t="shared" si="18"/>
        <v>0</v>
      </c>
      <c r="I178" s="292">
        <v>105.8</v>
      </c>
      <c r="J178" s="292">
        <v>105.8</v>
      </c>
      <c r="K178" s="338">
        <f t="shared" si="19"/>
        <v>0</v>
      </c>
    </row>
    <row r="179" spans="1:19" ht="61.5" customHeight="1" x14ac:dyDescent="0.25">
      <c r="A179" s="290" t="s">
        <v>1005</v>
      </c>
      <c r="B179" s="377" t="s">
        <v>1014</v>
      </c>
      <c r="C179" s="292">
        <v>2970</v>
      </c>
      <c r="D179" s="292">
        <v>2970</v>
      </c>
      <c r="E179" s="294">
        <f t="shared" si="17"/>
        <v>0</v>
      </c>
      <c r="F179" s="292">
        <v>1133.8</v>
      </c>
      <c r="G179" s="292">
        <v>1133.8</v>
      </c>
      <c r="H179" s="294">
        <f t="shared" si="18"/>
        <v>0</v>
      </c>
      <c r="I179" s="292">
        <v>1133.8</v>
      </c>
      <c r="J179" s="292">
        <v>1133.8</v>
      </c>
      <c r="K179" s="338">
        <f t="shared" si="19"/>
        <v>0</v>
      </c>
    </row>
    <row r="180" spans="1:19" ht="44.25" customHeight="1" x14ac:dyDescent="0.25">
      <c r="A180" s="290" t="s">
        <v>1005</v>
      </c>
      <c r="B180" s="377" t="s">
        <v>1015</v>
      </c>
      <c r="C180" s="292">
        <v>2744</v>
      </c>
      <c r="D180" s="292">
        <v>2744</v>
      </c>
      <c r="E180" s="294">
        <f t="shared" si="17"/>
        <v>0</v>
      </c>
      <c r="F180" s="292">
        <v>2744</v>
      </c>
      <c r="G180" s="292">
        <v>2744</v>
      </c>
      <c r="H180" s="294">
        <f t="shared" si="18"/>
        <v>0</v>
      </c>
      <c r="I180" s="292">
        <v>2744</v>
      </c>
      <c r="J180" s="292">
        <v>2744</v>
      </c>
      <c r="K180" s="338">
        <f t="shared" si="19"/>
        <v>0</v>
      </c>
      <c r="L180" s="295"/>
    </row>
    <row r="181" spans="1:19" ht="32.25" customHeight="1" x14ac:dyDescent="0.25">
      <c r="A181" s="368" t="s">
        <v>1016</v>
      </c>
      <c r="B181" s="377" t="s">
        <v>1017</v>
      </c>
      <c r="C181" s="292">
        <f>C182</f>
        <v>471.59999999999997</v>
      </c>
      <c r="D181" s="292">
        <f>D182</f>
        <v>471.59999999999997</v>
      </c>
      <c r="E181" s="294">
        <f t="shared" si="17"/>
        <v>0</v>
      </c>
      <c r="F181" s="292">
        <f>F182</f>
        <v>514.5</v>
      </c>
      <c r="G181" s="292">
        <f>G182</f>
        <v>514.5</v>
      </c>
      <c r="H181" s="294">
        <f t="shared" si="18"/>
        <v>0</v>
      </c>
      <c r="I181" s="292">
        <f>I182</f>
        <v>532.4</v>
      </c>
      <c r="J181" s="292">
        <f>J182</f>
        <v>532.4</v>
      </c>
      <c r="K181" s="338">
        <f t="shared" si="19"/>
        <v>0</v>
      </c>
    </row>
    <row r="182" spans="1:19" ht="43.5" customHeight="1" x14ac:dyDescent="0.25">
      <c r="A182" s="290" t="s">
        <v>1018</v>
      </c>
      <c r="B182" s="377" t="s">
        <v>1019</v>
      </c>
      <c r="C182" s="292">
        <f>452.2+19.4</f>
        <v>471.59999999999997</v>
      </c>
      <c r="D182" s="292">
        <f>452.2+19.4</f>
        <v>471.59999999999997</v>
      </c>
      <c r="E182" s="294">
        <f t="shared" si="17"/>
        <v>0</v>
      </c>
      <c r="F182" s="292">
        <f>495.5+19</f>
        <v>514.5</v>
      </c>
      <c r="G182" s="292">
        <f>495.5+19</f>
        <v>514.5</v>
      </c>
      <c r="H182" s="294">
        <f t="shared" si="18"/>
        <v>0</v>
      </c>
      <c r="I182" s="292">
        <f>513.5+18.9</f>
        <v>532.4</v>
      </c>
      <c r="J182" s="292">
        <f>513.5+18.9</f>
        <v>532.4</v>
      </c>
      <c r="K182" s="338">
        <f t="shared" si="19"/>
        <v>0</v>
      </c>
    </row>
    <row r="183" spans="1:19" ht="49.5" customHeight="1" x14ac:dyDescent="0.25">
      <c r="A183" s="368" t="s">
        <v>1020</v>
      </c>
      <c r="B183" s="380" t="s">
        <v>1021</v>
      </c>
      <c r="C183" s="294">
        <f>C184</f>
        <v>1.7</v>
      </c>
      <c r="D183" s="294">
        <f>D184</f>
        <v>1.7</v>
      </c>
      <c r="E183" s="294">
        <f t="shared" si="17"/>
        <v>0</v>
      </c>
      <c r="F183" s="294">
        <f>F184</f>
        <v>12.2</v>
      </c>
      <c r="G183" s="294">
        <f>G184</f>
        <v>12.2</v>
      </c>
      <c r="H183" s="294">
        <f t="shared" si="18"/>
        <v>0</v>
      </c>
      <c r="I183" s="294">
        <f>I184</f>
        <v>1.7</v>
      </c>
      <c r="J183" s="294">
        <f>J184</f>
        <v>1.7</v>
      </c>
      <c r="K183" s="338">
        <f t="shared" si="19"/>
        <v>0</v>
      </c>
    </row>
    <row r="184" spans="1:19" ht="48" customHeight="1" x14ac:dyDescent="0.25">
      <c r="A184" s="290" t="s">
        <v>1022</v>
      </c>
      <c r="B184" s="377" t="s">
        <v>1023</v>
      </c>
      <c r="C184" s="292">
        <v>1.7</v>
      </c>
      <c r="D184" s="292">
        <v>1.7</v>
      </c>
      <c r="E184" s="294">
        <f t="shared" si="17"/>
        <v>0</v>
      </c>
      <c r="F184" s="292">
        <v>12.2</v>
      </c>
      <c r="G184" s="292">
        <v>12.2</v>
      </c>
      <c r="H184" s="294">
        <f t="shared" si="18"/>
        <v>0</v>
      </c>
      <c r="I184" s="292">
        <v>1.7</v>
      </c>
      <c r="J184" s="292">
        <v>1.7</v>
      </c>
      <c r="K184" s="338">
        <f t="shared" si="19"/>
        <v>0</v>
      </c>
    </row>
    <row r="185" spans="1:19" s="353" customFormat="1" ht="63" customHeight="1" x14ac:dyDescent="0.25">
      <c r="A185" s="368" t="s">
        <v>1024</v>
      </c>
      <c r="B185" s="380" t="s">
        <v>1025</v>
      </c>
      <c r="C185" s="294">
        <f>C186</f>
        <v>785</v>
      </c>
      <c r="D185" s="294">
        <f>D186</f>
        <v>785</v>
      </c>
      <c r="E185" s="294">
        <f t="shared" si="17"/>
        <v>0</v>
      </c>
      <c r="F185" s="294">
        <f>F186</f>
        <v>796.9</v>
      </c>
      <c r="G185" s="294">
        <f>G186</f>
        <v>796.9</v>
      </c>
      <c r="H185" s="294">
        <f t="shared" si="18"/>
        <v>0</v>
      </c>
      <c r="I185" s="294">
        <f>I186</f>
        <v>811.3</v>
      </c>
      <c r="J185" s="294">
        <f>J186</f>
        <v>811.3</v>
      </c>
      <c r="K185" s="338">
        <f t="shared" si="19"/>
        <v>0</v>
      </c>
    </row>
    <row r="186" spans="1:19" ht="47.25" customHeight="1" x14ac:dyDescent="0.25">
      <c r="A186" s="290" t="s">
        <v>1026</v>
      </c>
      <c r="B186" s="377" t="s">
        <v>1027</v>
      </c>
      <c r="C186" s="381">
        <v>785</v>
      </c>
      <c r="D186" s="381">
        <v>785</v>
      </c>
      <c r="E186" s="294">
        <f t="shared" si="17"/>
        <v>0</v>
      </c>
      <c r="F186" s="292">
        <v>796.9</v>
      </c>
      <c r="G186" s="292">
        <v>796.9</v>
      </c>
      <c r="H186" s="294">
        <f t="shared" si="18"/>
        <v>0</v>
      </c>
      <c r="I186" s="292">
        <v>811.3</v>
      </c>
      <c r="J186" s="292">
        <v>811.3</v>
      </c>
      <c r="K186" s="338">
        <f t="shared" si="19"/>
        <v>0</v>
      </c>
      <c r="N186" s="295"/>
      <c r="O186" s="382"/>
      <c r="P186" s="382"/>
      <c r="Q186" s="383"/>
      <c r="R186" s="384"/>
      <c r="S186" s="382"/>
    </row>
    <row r="187" spans="1:19" ht="45.75" customHeight="1" x14ac:dyDescent="0.25">
      <c r="A187" s="368" t="s">
        <v>1028</v>
      </c>
      <c r="B187" s="385" t="s">
        <v>1029</v>
      </c>
      <c r="C187" s="294">
        <f>C188</f>
        <v>15052.1</v>
      </c>
      <c r="D187" s="294">
        <f>D188</f>
        <v>15052.1</v>
      </c>
      <c r="E187" s="294">
        <f t="shared" si="17"/>
        <v>0</v>
      </c>
      <c r="F187" s="294">
        <f>F188</f>
        <v>15051.7</v>
      </c>
      <c r="G187" s="294">
        <f>G188</f>
        <v>15051.7</v>
      </c>
      <c r="H187" s="294">
        <f t="shared" si="18"/>
        <v>0</v>
      </c>
      <c r="I187" s="294">
        <f>I188</f>
        <v>15528.7</v>
      </c>
      <c r="J187" s="294">
        <f>J188</f>
        <v>15528.7</v>
      </c>
      <c r="K187" s="338">
        <f t="shared" si="19"/>
        <v>0</v>
      </c>
      <c r="N187" s="295"/>
      <c r="O187" s="382"/>
      <c r="P187" s="382"/>
      <c r="Q187" s="382"/>
      <c r="R187" s="382"/>
      <c r="S187" s="382"/>
    </row>
    <row r="188" spans="1:19" ht="49.5" customHeight="1" x14ac:dyDescent="0.25">
      <c r="A188" s="360" t="s">
        <v>1030</v>
      </c>
      <c r="B188" s="362" t="s">
        <v>1031</v>
      </c>
      <c r="C188" s="292">
        <v>15052.1</v>
      </c>
      <c r="D188" s="292">
        <v>15052.1</v>
      </c>
      <c r="E188" s="294">
        <f t="shared" si="17"/>
        <v>0</v>
      </c>
      <c r="F188" s="292">
        <v>15051.7</v>
      </c>
      <c r="G188" s="292">
        <v>15051.7</v>
      </c>
      <c r="H188" s="294">
        <f t="shared" si="18"/>
        <v>0</v>
      </c>
      <c r="I188" s="292">
        <v>15528.7</v>
      </c>
      <c r="J188" s="292">
        <v>15528.7</v>
      </c>
      <c r="K188" s="338">
        <f t="shared" si="19"/>
        <v>0</v>
      </c>
    </row>
    <row r="189" spans="1:19" s="353" customFormat="1" ht="31.5" customHeight="1" x14ac:dyDescent="0.25">
      <c r="A189" s="368" t="s">
        <v>1032</v>
      </c>
      <c r="B189" s="386" t="s">
        <v>1033</v>
      </c>
      <c r="C189" s="294">
        <f>C190</f>
        <v>2278.5</v>
      </c>
      <c r="D189" s="294">
        <f>D190</f>
        <v>2278.5</v>
      </c>
      <c r="E189" s="294">
        <f t="shared" si="17"/>
        <v>0</v>
      </c>
      <c r="F189" s="294">
        <f>F190</f>
        <v>2275.6999999999998</v>
      </c>
      <c r="G189" s="294">
        <f>G190</f>
        <v>2275.6999999999998</v>
      </c>
      <c r="H189" s="294">
        <f t="shared" si="18"/>
        <v>0</v>
      </c>
      <c r="I189" s="294">
        <f>I190</f>
        <v>2275.6999999999998</v>
      </c>
      <c r="J189" s="294">
        <f>J190</f>
        <v>2275.6999999999998</v>
      </c>
      <c r="K189" s="338">
        <f t="shared" si="19"/>
        <v>0</v>
      </c>
    </row>
    <row r="190" spans="1:19" ht="30.75" customHeight="1" x14ac:dyDescent="0.25">
      <c r="A190" s="290" t="s">
        <v>1034</v>
      </c>
      <c r="B190" s="387" t="s">
        <v>1035</v>
      </c>
      <c r="C190" s="292">
        <v>2278.5</v>
      </c>
      <c r="D190" s="292">
        <v>2278.5</v>
      </c>
      <c r="E190" s="294">
        <f t="shared" si="17"/>
        <v>0</v>
      </c>
      <c r="F190" s="292">
        <v>2275.6999999999998</v>
      </c>
      <c r="G190" s="292">
        <v>2275.6999999999998</v>
      </c>
      <c r="H190" s="294">
        <f t="shared" si="18"/>
        <v>0</v>
      </c>
      <c r="I190" s="292">
        <v>2275.6999999999998</v>
      </c>
      <c r="J190" s="292">
        <v>2275.6999999999998</v>
      </c>
      <c r="K190" s="338">
        <f t="shared" si="19"/>
        <v>0</v>
      </c>
    </row>
    <row r="191" spans="1:19" ht="23.25" customHeight="1" x14ac:dyDescent="0.25">
      <c r="A191" s="368" t="s">
        <v>1036</v>
      </c>
      <c r="B191" s="374" t="s">
        <v>1037</v>
      </c>
      <c r="C191" s="292">
        <f>C192</f>
        <v>0</v>
      </c>
      <c r="D191" s="292">
        <f>D192</f>
        <v>0</v>
      </c>
      <c r="E191" s="294">
        <f t="shared" si="17"/>
        <v>0</v>
      </c>
      <c r="F191" s="292">
        <f>F192</f>
        <v>0</v>
      </c>
      <c r="G191" s="292">
        <f>G192</f>
        <v>0</v>
      </c>
      <c r="H191" s="294">
        <f t="shared" si="18"/>
        <v>0</v>
      </c>
      <c r="I191" s="292">
        <f>I192</f>
        <v>0</v>
      </c>
      <c r="J191" s="292">
        <f>J192</f>
        <v>0</v>
      </c>
      <c r="K191" s="338">
        <f t="shared" si="19"/>
        <v>0</v>
      </c>
    </row>
    <row r="192" spans="1:19" ht="21" customHeight="1" x14ac:dyDescent="0.25">
      <c r="A192" s="290" t="s">
        <v>1038</v>
      </c>
      <c r="B192" s="291" t="s">
        <v>1039</v>
      </c>
      <c r="C192" s="292">
        <v>0</v>
      </c>
      <c r="D192" s="292">
        <v>0</v>
      </c>
      <c r="E192" s="294">
        <f t="shared" si="17"/>
        <v>0</v>
      </c>
      <c r="F192" s="381">
        <v>0</v>
      </c>
      <c r="G192" s="381">
        <v>0</v>
      </c>
      <c r="H192" s="294">
        <f t="shared" si="18"/>
        <v>0</v>
      </c>
      <c r="I192" s="381">
        <v>0</v>
      </c>
      <c r="J192" s="381">
        <v>0</v>
      </c>
      <c r="K192" s="338">
        <f t="shared" si="19"/>
        <v>0</v>
      </c>
    </row>
    <row r="193" spans="1:11" ht="27" customHeight="1" x14ac:dyDescent="0.25">
      <c r="A193" s="368" t="s">
        <v>1040</v>
      </c>
      <c r="B193" s="354" t="s">
        <v>1041</v>
      </c>
      <c r="C193" s="294">
        <f>C198+C196+C194</f>
        <v>825.3</v>
      </c>
      <c r="D193" s="294">
        <f>D198+D196+D194</f>
        <v>892</v>
      </c>
      <c r="E193" s="294">
        <f t="shared" si="17"/>
        <v>66.700000000000045</v>
      </c>
      <c r="F193" s="294">
        <f t="shared" ref="F193:J193" si="20">F198+F196+F194</f>
        <v>547.4</v>
      </c>
      <c r="G193" s="294">
        <f t="shared" si="20"/>
        <v>547.4</v>
      </c>
      <c r="H193" s="294">
        <f t="shared" si="18"/>
        <v>0</v>
      </c>
      <c r="I193" s="294">
        <f t="shared" ref="I193" si="21">I198+I196+I194</f>
        <v>547.4</v>
      </c>
      <c r="J193" s="294">
        <f t="shared" si="20"/>
        <v>547.4</v>
      </c>
      <c r="K193" s="338">
        <f t="shared" si="19"/>
        <v>0</v>
      </c>
    </row>
    <row r="194" spans="1:11" ht="107.25" customHeight="1" x14ac:dyDescent="0.25">
      <c r="A194" s="368" t="s">
        <v>1042</v>
      </c>
      <c r="B194" s="355" t="s">
        <v>1043</v>
      </c>
      <c r="C194" s="294">
        <f>C195</f>
        <v>547.4</v>
      </c>
      <c r="D194" s="294">
        <f>D195</f>
        <v>547.4</v>
      </c>
      <c r="E194" s="294">
        <f t="shared" si="17"/>
        <v>0</v>
      </c>
      <c r="F194" s="294">
        <f>F195</f>
        <v>547.4</v>
      </c>
      <c r="G194" s="294">
        <f>G195</f>
        <v>547.4</v>
      </c>
      <c r="H194" s="294">
        <f t="shared" si="18"/>
        <v>0</v>
      </c>
      <c r="I194" s="294">
        <f>I195</f>
        <v>547.4</v>
      </c>
      <c r="J194" s="294">
        <f>J195</f>
        <v>547.4</v>
      </c>
      <c r="K194" s="338">
        <f t="shared" si="19"/>
        <v>0</v>
      </c>
    </row>
    <row r="195" spans="1:11" s="448" customFormat="1" ht="114" customHeight="1" x14ac:dyDescent="0.25">
      <c r="A195" s="451" t="s">
        <v>1044</v>
      </c>
      <c r="B195" s="458" t="s">
        <v>1045</v>
      </c>
      <c r="C195" s="447">
        <v>547.4</v>
      </c>
      <c r="D195" s="447">
        <v>547.4</v>
      </c>
      <c r="E195" s="442">
        <f t="shared" si="17"/>
        <v>0</v>
      </c>
      <c r="F195" s="447">
        <v>547.4</v>
      </c>
      <c r="G195" s="447">
        <v>547.4</v>
      </c>
      <c r="H195" s="442">
        <f t="shared" si="18"/>
        <v>0</v>
      </c>
      <c r="I195" s="447">
        <v>547.4</v>
      </c>
      <c r="J195" s="447">
        <v>547.4</v>
      </c>
      <c r="K195" s="443">
        <f t="shared" si="19"/>
        <v>0</v>
      </c>
    </row>
    <row r="196" spans="1:11" s="444" customFormat="1" ht="21.75" customHeight="1" x14ac:dyDescent="0.25">
      <c r="A196" s="463" t="s">
        <v>1046</v>
      </c>
      <c r="B196" s="464" t="s">
        <v>1047</v>
      </c>
      <c r="C196" s="442">
        <f>C197</f>
        <v>0</v>
      </c>
      <c r="D196" s="442">
        <f>D197</f>
        <v>66.7</v>
      </c>
      <c r="E196" s="442">
        <f t="shared" si="17"/>
        <v>66.7</v>
      </c>
      <c r="F196" s="442">
        <f>F197</f>
        <v>0</v>
      </c>
      <c r="G196" s="442">
        <f>G197</f>
        <v>0</v>
      </c>
      <c r="H196" s="442">
        <f t="shared" si="18"/>
        <v>0</v>
      </c>
      <c r="I196" s="442">
        <f>I197</f>
        <v>0</v>
      </c>
      <c r="J196" s="442">
        <f>J197</f>
        <v>0</v>
      </c>
      <c r="K196" s="443">
        <f t="shared" si="19"/>
        <v>0</v>
      </c>
    </row>
    <row r="197" spans="1:11" s="448" customFormat="1" ht="30" customHeight="1" x14ac:dyDescent="0.25">
      <c r="A197" s="451" t="s">
        <v>1048</v>
      </c>
      <c r="B197" s="457" t="s">
        <v>1049</v>
      </c>
      <c r="C197" s="447">
        <v>0</v>
      </c>
      <c r="D197" s="447">
        <v>66.7</v>
      </c>
      <c r="E197" s="442">
        <f t="shared" si="17"/>
        <v>66.7</v>
      </c>
      <c r="F197" s="447"/>
      <c r="G197" s="447"/>
      <c r="H197" s="442">
        <f t="shared" si="18"/>
        <v>0</v>
      </c>
      <c r="I197" s="447"/>
      <c r="J197" s="447"/>
      <c r="K197" s="443">
        <f t="shared" si="19"/>
        <v>0</v>
      </c>
    </row>
    <row r="198" spans="1:11" s="448" customFormat="1" ht="25.5" customHeight="1" x14ac:dyDescent="0.25">
      <c r="A198" s="463" t="s">
        <v>1050</v>
      </c>
      <c r="B198" s="464" t="s">
        <v>1051</v>
      </c>
      <c r="C198" s="442">
        <f>C199</f>
        <v>277.89999999999998</v>
      </c>
      <c r="D198" s="442">
        <f>D199</f>
        <v>277.89999999999998</v>
      </c>
      <c r="E198" s="442">
        <f t="shared" si="17"/>
        <v>0</v>
      </c>
      <c r="F198" s="442">
        <f>F199</f>
        <v>0</v>
      </c>
      <c r="G198" s="442">
        <f>G199</f>
        <v>0</v>
      </c>
      <c r="H198" s="442">
        <f t="shared" si="18"/>
        <v>0</v>
      </c>
      <c r="I198" s="442">
        <f>I199</f>
        <v>0</v>
      </c>
      <c r="J198" s="442">
        <f>J199</f>
        <v>0</v>
      </c>
      <c r="K198" s="443">
        <f t="shared" si="19"/>
        <v>0</v>
      </c>
    </row>
    <row r="199" spans="1:11" s="448" customFormat="1" ht="32.25" customHeight="1" x14ac:dyDescent="0.25">
      <c r="A199" s="451" t="s">
        <v>1052</v>
      </c>
      <c r="B199" s="457" t="s">
        <v>1053</v>
      </c>
      <c r="C199" s="442">
        <f>100+177.9</f>
        <v>277.89999999999998</v>
      </c>
      <c r="D199" s="442">
        <f>100+177.9</f>
        <v>277.89999999999998</v>
      </c>
      <c r="E199" s="442">
        <f t="shared" si="17"/>
        <v>0</v>
      </c>
      <c r="F199" s="447">
        <v>0</v>
      </c>
      <c r="G199" s="447">
        <v>0</v>
      </c>
      <c r="H199" s="442">
        <f t="shared" si="18"/>
        <v>0</v>
      </c>
      <c r="I199" s="447">
        <v>0</v>
      </c>
      <c r="J199" s="447">
        <v>0</v>
      </c>
      <c r="K199" s="443">
        <f t="shared" si="19"/>
        <v>0</v>
      </c>
    </row>
    <row r="200" spans="1:11" s="448" customFormat="1" ht="33.75" customHeight="1" x14ac:dyDescent="0.25">
      <c r="A200" s="463" t="s">
        <v>1054</v>
      </c>
      <c r="B200" s="464" t="s">
        <v>1055</v>
      </c>
      <c r="C200" s="447">
        <f t="shared" ref="C200:J201" si="22">C201</f>
        <v>0</v>
      </c>
      <c r="D200" s="447">
        <f t="shared" si="22"/>
        <v>700</v>
      </c>
      <c r="E200" s="442">
        <f t="shared" si="17"/>
        <v>700</v>
      </c>
      <c r="F200" s="447">
        <f t="shared" si="22"/>
        <v>0</v>
      </c>
      <c r="G200" s="447">
        <f t="shared" si="22"/>
        <v>0</v>
      </c>
      <c r="H200" s="442">
        <f t="shared" si="18"/>
        <v>0</v>
      </c>
      <c r="I200" s="447">
        <f t="shared" si="22"/>
        <v>0</v>
      </c>
      <c r="J200" s="447">
        <f t="shared" si="22"/>
        <v>0</v>
      </c>
      <c r="K200" s="443">
        <f t="shared" si="19"/>
        <v>0</v>
      </c>
    </row>
    <row r="201" spans="1:11" s="448" customFormat="1" ht="33.75" customHeight="1" x14ac:dyDescent="0.25">
      <c r="A201" s="463" t="s">
        <v>1056</v>
      </c>
      <c r="B201" s="464" t="s">
        <v>1057</v>
      </c>
      <c r="C201" s="442">
        <f t="shared" si="22"/>
        <v>0</v>
      </c>
      <c r="D201" s="442">
        <f t="shared" si="22"/>
        <v>700</v>
      </c>
      <c r="E201" s="442">
        <f t="shared" si="17"/>
        <v>700</v>
      </c>
      <c r="F201" s="447">
        <f t="shared" si="22"/>
        <v>0</v>
      </c>
      <c r="G201" s="447">
        <f t="shared" si="22"/>
        <v>0</v>
      </c>
      <c r="H201" s="442">
        <f t="shared" si="18"/>
        <v>0</v>
      </c>
      <c r="I201" s="447">
        <f t="shared" si="22"/>
        <v>0</v>
      </c>
      <c r="J201" s="447">
        <f t="shared" si="22"/>
        <v>0</v>
      </c>
      <c r="K201" s="443">
        <f t="shared" si="19"/>
        <v>0</v>
      </c>
    </row>
    <row r="202" spans="1:11" s="448" customFormat="1" ht="33.75" customHeight="1" x14ac:dyDescent="0.25">
      <c r="A202" s="451" t="s">
        <v>1058</v>
      </c>
      <c r="B202" s="457" t="s">
        <v>1059</v>
      </c>
      <c r="C202" s="442">
        <v>0</v>
      </c>
      <c r="D202" s="442">
        <v>700</v>
      </c>
      <c r="E202" s="442">
        <f t="shared" si="17"/>
        <v>700</v>
      </c>
      <c r="F202" s="447">
        <v>0</v>
      </c>
      <c r="G202" s="447">
        <v>0</v>
      </c>
      <c r="H202" s="442">
        <f t="shared" si="18"/>
        <v>0</v>
      </c>
      <c r="I202" s="447">
        <v>0</v>
      </c>
      <c r="J202" s="447">
        <v>0</v>
      </c>
      <c r="K202" s="443">
        <f t="shared" si="19"/>
        <v>0</v>
      </c>
    </row>
    <row r="203" spans="1:11" s="388" customFormat="1" ht="21.75" customHeight="1" x14ac:dyDescent="0.25">
      <c r="A203" s="368" t="s">
        <v>1060</v>
      </c>
      <c r="B203" s="374" t="s">
        <v>1061</v>
      </c>
      <c r="C203" s="294">
        <f t="shared" ref="C203:J204" si="23">C204</f>
        <v>9510.4</v>
      </c>
      <c r="D203" s="294">
        <f t="shared" si="23"/>
        <v>9510.4</v>
      </c>
      <c r="E203" s="294">
        <f t="shared" si="17"/>
        <v>0</v>
      </c>
      <c r="F203" s="294">
        <f t="shared" si="23"/>
        <v>0</v>
      </c>
      <c r="G203" s="294">
        <f t="shared" si="23"/>
        <v>0</v>
      </c>
      <c r="H203" s="294">
        <f t="shared" ref="H203:H206" si="24">G203-F203</f>
        <v>0</v>
      </c>
      <c r="I203" s="294">
        <f t="shared" si="23"/>
        <v>0</v>
      </c>
      <c r="J203" s="294">
        <f t="shared" si="23"/>
        <v>0</v>
      </c>
      <c r="K203" s="338">
        <f t="shared" ref="K203:K206" si="25">J203-I203</f>
        <v>0</v>
      </c>
    </row>
    <row r="204" spans="1:11" ht="24" customHeight="1" x14ac:dyDescent="0.25">
      <c r="A204" s="368" t="s">
        <v>1062</v>
      </c>
      <c r="B204" s="374" t="s">
        <v>1063</v>
      </c>
      <c r="C204" s="294">
        <f t="shared" si="23"/>
        <v>9510.4</v>
      </c>
      <c r="D204" s="294">
        <f t="shared" si="23"/>
        <v>9510.4</v>
      </c>
      <c r="E204" s="294">
        <f t="shared" si="17"/>
        <v>0</v>
      </c>
      <c r="F204" s="294">
        <f t="shared" si="23"/>
        <v>0</v>
      </c>
      <c r="G204" s="294">
        <f t="shared" si="23"/>
        <v>0</v>
      </c>
      <c r="H204" s="294">
        <f t="shared" si="24"/>
        <v>0</v>
      </c>
      <c r="I204" s="294">
        <f t="shared" si="23"/>
        <v>0</v>
      </c>
      <c r="J204" s="294">
        <f t="shared" si="23"/>
        <v>0</v>
      </c>
      <c r="K204" s="338">
        <f t="shared" si="25"/>
        <v>0</v>
      </c>
    </row>
    <row r="205" spans="1:11" ht="33.75" customHeight="1" x14ac:dyDescent="0.25">
      <c r="A205" s="290" t="s">
        <v>1064</v>
      </c>
      <c r="B205" s="291" t="s">
        <v>1065</v>
      </c>
      <c r="C205" s="292">
        <f>3600+2484.9+1204+2221.5</f>
        <v>9510.4</v>
      </c>
      <c r="D205" s="292">
        <f>3600+2484.9+1204+2221.5</f>
        <v>9510.4</v>
      </c>
      <c r="E205" s="294">
        <f t="shared" ref="E205:E206" si="26">D205-C205</f>
        <v>0</v>
      </c>
      <c r="F205" s="292">
        <v>0</v>
      </c>
      <c r="G205" s="292">
        <v>0</v>
      </c>
      <c r="H205" s="294">
        <f t="shared" si="24"/>
        <v>0</v>
      </c>
      <c r="I205" s="292">
        <v>0</v>
      </c>
      <c r="J205" s="292">
        <v>0</v>
      </c>
      <c r="K205" s="338">
        <f t="shared" si="25"/>
        <v>0</v>
      </c>
    </row>
    <row r="206" spans="1:11" ht="24" customHeight="1" x14ac:dyDescent="0.25">
      <c r="A206" s="290"/>
      <c r="B206" s="358" t="s">
        <v>1066</v>
      </c>
      <c r="C206" s="294">
        <f>C5+C68</f>
        <v>1201621.5000000002</v>
      </c>
      <c r="D206" s="294">
        <f>D5+D68</f>
        <v>1245618.6000000001</v>
      </c>
      <c r="E206" s="294">
        <f t="shared" si="26"/>
        <v>43997.09999999986</v>
      </c>
      <c r="F206" s="294">
        <f>F5+F68</f>
        <v>677238.8</v>
      </c>
      <c r="G206" s="294">
        <f>G5+G68</f>
        <v>665311.80000000005</v>
      </c>
      <c r="H206" s="294">
        <f t="shared" si="24"/>
        <v>-11927</v>
      </c>
      <c r="I206" s="294">
        <f>I5+I68</f>
        <v>758584.10000000009</v>
      </c>
      <c r="J206" s="294">
        <f>J5+J68</f>
        <v>746657.10000000009</v>
      </c>
      <c r="K206" s="338">
        <f t="shared" si="25"/>
        <v>-11927</v>
      </c>
    </row>
    <row r="207" spans="1:11" x14ac:dyDescent="0.25">
      <c r="B207" s="340"/>
      <c r="C207" s="389"/>
      <c r="D207" s="389"/>
      <c r="E207" s="389"/>
      <c r="F207" s="389"/>
      <c r="G207" s="389"/>
      <c r="H207" s="389"/>
      <c r="I207" s="389"/>
      <c r="J207" s="389"/>
    </row>
    <row r="208" spans="1:11" x14ac:dyDescent="0.25">
      <c r="C208" s="390"/>
      <c r="D208" s="390"/>
      <c r="E208" s="390"/>
      <c r="F208" s="353"/>
      <c r="G208" s="353"/>
      <c r="H208" s="353"/>
      <c r="I208" s="353"/>
      <c r="J208" s="353"/>
    </row>
    <row r="209" spans="2:10" x14ac:dyDescent="0.25">
      <c r="C209" s="295"/>
      <c r="D209" s="295"/>
      <c r="E209" s="295"/>
    </row>
    <row r="210" spans="2:10" x14ac:dyDescent="0.25">
      <c r="C210" s="391"/>
      <c r="D210" s="391"/>
      <c r="E210" s="391"/>
      <c r="F210" s="391"/>
      <c r="G210" s="391"/>
      <c r="H210" s="391"/>
      <c r="I210" s="391"/>
      <c r="J210" s="391"/>
    </row>
    <row r="211" spans="2:10" x14ac:dyDescent="0.25">
      <c r="B211" s="391"/>
    </row>
    <row r="212" spans="2:10" x14ac:dyDescent="0.25">
      <c r="F212" s="295"/>
      <c r="G212" s="295"/>
      <c r="H212" s="295"/>
      <c r="I212" s="295"/>
      <c r="J212" s="295"/>
    </row>
    <row r="213" spans="2:10" x14ac:dyDescent="0.25">
      <c r="C213" s="295"/>
      <c r="D213" s="295"/>
      <c r="E213" s="295"/>
      <c r="F213" s="295"/>
      <c r="G213" s="295"/>
      <c r="H213" s="295"/>
      <c r="I213" s="295"/>
      <c r="J213" s="295"/>
    </row>
    <row r="218" spans="2:10" x14ac:dyDescent="0.25">
      <c r="F218" s="295"/>
      <c r="G218" s="295"/>
      <c r="H218" s="295"/>
    </row>
    <row r="219" spans="2:10" x14ac:dyDescent="0.25">
      <c r="C219" s="295"/>
      <c r="D219" s="295"/>
      <c r="E219" s="295"/>
      <c r="F219" s="295"/>
      <c r="G219" s="295"/>
      <c r="H219" s="295"/>
    </row>
    <row r="220" spans="2:10" x14ac:dyDescent="0.25">
      <c r="C220" s="295"/>
      <c r="D220" s="295"/>
      <c r="E220" s="295"/>
    </row>
    <row r="223" spans="2:10" x14ac:dyDescent="0.25">
      <c r="F223" s="391"/>
      <c r="G223" s="391"/>
      <c r="H223" s="391"/>
      <c r="I223" s="391"/>
      <c r="J223" s="391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8" fitToWidth="5" fitToHeight="5" orientation="portrait" horizontalDpi="1200" verticalDpi="1200" r:id="rId1"/>
  <headerFooter alignWithMargins="0"/>
  <rowBreaks count="1" manualBreakCount="1">
    <brk id="17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8"/>
  <sheetViews>
    <sheetView view="pageBreakPreview" zoomScale="110" zoomScaleNormal="100" zoomScaleSheetLayoutView="110" workbookViewId="0">
      <selection sqref="A1:O1"/>
    </sheetView>
  </sheetViews>
  <sheetFormatPr defaultRowHeight="12.75" x14ac:dyDescent="0.2"/>
  <cols>
    <col min="1" max="1" width="58.42578125" style="36" customWidth="1"/>
    <col min="2" max="2" width="7" style="35" customWidth="1"/>
    <col min="3" max="3" width="6.28515625" style="35" customWidth="1"/>
    <col min="4" max="4" width="14.140625" style="34" customWidth="1"/>
    <col min="5" max="5" width="7.28515625" style="34" customWidth="1"/>
    <col min="6" max="7" width="11.5703125" style="33" hidden="1" customWidth="1"/>
    <col min="8" max="8" width="11.5703125" style="297" hidden="1" customWidth="1"/>
    <col min="9" max="9" width="13.42578125" style="33" hidden="1" customWidth="1"/>
    <col min="10" max="10" width="11.5703125" style="33" customWidth="1"/>
    <col min="11" max="11" width="11.5703125" style="297" hidden="1" customWidth="1"/>
    <col min="12" max="12" width="13.42578125" style="33" customWidth="1"/>
    <col min="13" max="13" width="12.7109375" style="297" hidden="1" customWidth="1"/>
    <col min="14" max="14" width="13.42578125" style="33" hidden="1" customWidth="1"/>
    <col min="15" max="15" width="13.42578125" style="33" customWidth="1"/>
    <col min="16" max="16" width="13.42578125" style="297" hidden="1" customWidth="1"/>
    <col min="17" max="17" width="43.140625" style="31" customWidth="1"/>
    <col min="18" max="18" width="13.5703125" style="31" bestFit="1" customWidth="1"/>
    <col min="19" max="20" width="12.5703125" style="31" bestFit="1" customWidth="1"/>
    <col min="21" max="260" width="9.140625" style="31"/>
    <col min="261" max="261" width="58.42578125" style="31" customWidth="1"/>
    <col min="262" max="262" width="7" style="31" customWidth="1"/>
    <col min="263" max="263" width="6.28515625" style="31" customWidth="1"/>
    <col min="264" max="264" width="14.140625" style="31" customWidth="1"/>
    <col min="265" max="265" width="7.28515625" style="31" customWidth="1"/>
    <col min="266" max="266" width="11.5703125" style="31" customWidth="1"/>
    <col min="267" max="268" width="13.42578125" style="31" customWidth="1"/>
    <col min="269" max="269" width="13.5703125" style="31" customWidth="1"/>
    <col min="270" max="272" width="9.140625" style="31"/>
    <col min="273" max="273" width="43.140625" style="31" customWidth="1"/>
    <col min="274" max="274" width="13.5703125" style="31" bestFit="1" customWidth="1"/>
    <col min="275" max="276" width="12.5703125" style="31" bestFit="1" customWidth="1"/>
    <col min="277" max="516" width="9.140625" style="31"/>
    <col min="517" max="517" width="58.42578125" style="31" customWidth="1"/>
    <col min="518" max="518" width="7" style="31" customWidth="1"/>
    <col min="519" max="519" width="6.28515625" style="31" customWidth="1"/>
    <col min="520" max="520" width="14.140625" style="31" customWidth="1"/>
    <col min="521" max="521" width="7.28515625" style="31" customWidth="1"/>
    <col min="522" max="522" width="11.5703125" style="31" customWidth="1"/>
    <col min="523" max="524" width="13.42578125" style="31" customWidth="1"/>
    <col min="525" max="525" width="13.5703125" style="31" customWidth="1"/>
    <col min="526" max="528" width="9.140625" style="31"/>
    <col min="529" max="529" width="43.140625" style="31" customWidth="1"/>
    <col min="530" max="530" width="13.5703125" style="31" bestFit="1" customWidth="1"/>
    <col min="531" max="532" width="12.5703125" style="31" bestFit="1" customWidth="1"/>
    <col min="533" max="772" width="9.140625" style="31"/>
    <col min="773" max="773" width="58.42578125" style="31" customWidth="1"/>
    <col min="774" max="774" width="7" style="31" customWidth="1"/>
    <col min="775" max="775" width="6.28515625" style="31" customWidth="1"/>
    <col min="776" max="776" width="14.140625" style="31" customWidth="1"/>
    <col min="777" max="777" width="7.28515625" style="31" customWidth="1"/>
    <col min="778" max="778" width="11.5703125" style="31" customWidth="1"/>
    <col min="779" max="780" width="13.42578125" style="31" customWidth="1"/>
    <col min="781" max="781" width="13.5703125" style="31" customWidth="1"/>
    <col min="782" max="784" width="9.140625" style="31"/>
    <col min="785" max="785" width="43.140625" style="31" customWidth="1"/>
    <col min="786" max="786" width="13.5703125" style="31" bestFit="1" customWidth="1"/>
    <col min="787" max="788" width="12.5703125" style="31" bestFit="1" customWidth="1"/>
    <col min="789" max="1028" width="9.140625" style="31"/>
    <col min="1029" max="1029" width="58.42578125" style="31" customWidth="1"/>
    <col min="1030" max="1030" width="7" style="31" customWidth="1"/>
    <col min="1031" max="1031" width="6.28515625" style="31" customWidth="1"/>
    <col min="1032" max="1032" width="14.140625" style="31" customWidth="1"/>
    <col min="1033" max="1033" width="7.28515625" style="31" customWidth="1"/>
    <col min="1034" max="1034" width="11.5703125" style="31" customWidth="1"/>
    <col min="1035" max="1036" width="13.42578125" style="31" customWidth="1"/>
    <col min="1037" max="1037" width="13.5703125" style="31" customWidth="1"/>
    <col min="1038" max="1040" width="9.140625" style="31"/>
    <col min="1041" max="1041" width="43.140625" style="31" customWidth="1"/>
    <col min="1042" max="1042" width="13.5703125" style="31" bestFit="1" customWidth="1"/>
    <col min="1043" max="1044" width="12.5703125" style="31" bestFit="1" customWidth="1"/>
    <col min="1045" max="1284" width="9.140625" style="31"/>
    <col min="1285" max="1285" width="58.42578125" style="31" customWidth="1"/>
    <col min="1286" max="1286" width="7" style="31" customWidth="1"/>
    <col min="1287" max="1287" width="6.28515625" style="31" customWidth="1"/>
    <col min="1288" max="1288" width="14.140625" style="31" customWidth="1"/>
    <col min="1289" max="1289" width="7.28515625" style="31" customWidth="1"/>
    <col min="1290" max="1290" width="11.5703125" style="31" customWidth="1"/>
    <col min="1291" max="1292" width="13.42578125" style="31" customWidth="1"/>
    <col min="1293" max="1293" width="13.5703125" style="31" customWidth="1"/>
    <col min="1294" max="1296" width="9.140625" style="31"/>
    <col min="1297" max="1297" width="43.140625" style="31" customWidth="1"/>
    <col min="1298" max="1298" width="13.5703125" style="31" bestFit="1" customWidth="1"/>
    <col min="1299" max="1300" width="12.5703125" style="31" bestFit="1" customWidth="1"/>
    <col min="1301" max="1540" width="9.140625" style="31"/>
    <col min="1541" max="1541" width="58.42578125" style="31" customWidth="1"/>
    <col min="1542" max="1542" width="7" style="31" customWidth="1"/>
    <col min="1543" max="1543" width="6.28515625" style="31" customWidth="1"/>
    <col min="1544" max="1544" width="14.140625" style="31" customWidth="1"/>
    <col min="1545" max="1545" width="7.28515625" style="31" customWidth="1"/>
    <col min="1546" max="1546" width="11.5703125" style="31" customWidth="1"/>
    <col min="1547" max="1548" width="13.42578125" style="31" customWidth="1"/>
    <col min="1549" max="1549" width="13.5703125" style="31" customWidth="1"/>
    <col min="1550" max="1552" width="9.140625" style="31"/>
    <col min="1553" max="1553" width="43.140625" style="31" customWidth="1"/>
    <col min="1554" max="1554" width="13.5703125" style="31" bestFit="1" customWidth="1"/>
    <col min="1555" max="1556" width="12.5703125" style="31" bestFit="1" customWidth="1"/>
    <col min="1557" max="1796" width="9.140625" style="31"/>
    <col min="1797" max="1797" width="58.42578125" style="31" customWidth="1"/>
    <col min="1798" max="1798" width="7" style="31" customWidth="1"/>
    <col min="1799" max="1799" width="6.28515625" style="31" customWidth="1"/>
    <col min="1800" max="1800" width="14.140625" style="31" customWidth="1"/>
    <col min="1801" max="1801" width="7.28515625" style="31" customWidth="1"/>
    <col min="1802" max="1802" width="11.5703125" style="31" customWidth="1"/>
    <col min="1803" max="1804" width="13.42578125" style="31" customWidth="1"/>
    <col min="1805" max="1805" width="13.5703125" style="31" customWidth="1"/>
    <col min="1806" max="1808" width="9.140625" style="31"/>
    <col min="1809" max="1809" width="43.140625" style="31" customWidth="1"/>
    <col min="1810" max="1810" width="13.5703125" style="31" bestFit="1" customWidth="1"/>
    <col min="1811" max="1812" width="12.5703125" style="31" bestFit="1" customWidth="1"/>
    <col min="1813" max="2052" width="9.140625" style="31"/>
    <col min="2053" max="2053" width="58.42578125" style="31" customWidth="1"/>
    <col min="2054" max="2054" width="7" style="31" customWidth="1"/>
    <col min="2055" max="2055" width="6.28515625" style="31" customWidth="1"/>
    <col min="2056" max="2056" width="14.140625" style="31" customWidth="1"/>
    <col min="2057" max="2057" width="7.28515625" style="31" customWidth="1"/>
    <col min="2058" max="2058" width="11.5703125" style="31" customWidth="1"/>
    <col min="2059" max="2060" width="13.42578125" style="31" customWidth="1"/>
    <col min="2061" max="2061" width="13.5703125" style="31" customWidth="1"/>
    <col min="2062" max="2064" width="9.140625" style="31"/>
    <col min="2065" max="2065" width="43.140625" style="31" customWidth="1"/>
    <col min="2066" max="2066" width="13.5703125" style="31" bestFit="1" customWidth="1"/>
    <col min="2067" max="2068" width="12.5703125" style="31" bestFit="1" customWidth="1"/>
    <col min="2069" max="2308" width="9.140625" style="31"/>
    <col min="2309" max="2309" width="58.42578125" style="31" customWidth="1"/>
    <col min="2310" max="2310" width="7" style="31" customWidth="1"/>
    <col min="2311" max="2311" width="6.28515625" style="31" customWidth="1"/>
    <col min="2312" max="2312" width="14.140625" style="31" customWidth="1"/>
    <col min="2313" max="2313" width="7.28515625" style="31" customWidth="1"/>
    <col min="2314" max="2314" width="11.5703125" style="31" customWidth="1"/>
    <col min="2315" max="2316" width="13.42578125" style="31" customWidth="1"/>
    <col min="2317" max="2317" width="13.5703125" style="31" customWidth="1"/>
    <col min="2318" max="2320" width="9.140625" style="31"/>
    <col min="2321" max="2321" width="43.140625" style="31" customWidth="1"/>
    <col min="2322" max="2322" width="13.5703125" style="31" bestFit="1" customWidth="1"/>
    <col min="2323" max="2324" width="12.5703125" style="31" bestFit="1" customWidth="1"/>
    <col min="2325" max="2564" width="9.140625" style="31"/>
    <col min="2565" max="2565" width="58.42578125" style="31" customWidth="1"/>
    <col min="2566" max="2566" width="7" style="31" customWidth="1"/>
    <col min="2567" max="2567" width="6.28515625" style="31" customWidth="1"/>
    <col min="2568" max="2568" width="14.140625" style="31" customWidth="1"/>
    <col min="2569" max="2569" width="7.28515625" style="31" customWidth="1"/>
    <col min="2570" max="2570" width="11.5703125" style="31" customWidth="1"/>
    <col min="2571" max="2572" width="13.42578125" style="31" customWidth="1"/>
    <col min="2573" max="2573" width="13.5703125" style="31" customWidth="1"/>
    <col min="2574" max="2576" width="9.140625" style="31"/>
    <col min="2577" max="2577" width="43.140625" style="31" customWidth="1"/>
    <col min="2578" max="2578" width="13.5703125" style="31" bestFit="1" customWidth="1"/>
    <col min="2579" max="2580" width="12.5703125" style="31" bestFit="1" customWidth="1"/>
    <col min="2581" max="2820" width="9.140625" style="31"/>
    <col min="2821" max="2821" width="58.42578125" style="31" customWidth="1"/>
    <col min="2822" max="2822" width="7" style="31" customWidth="1"/>
    <col min="2823" max="2823" width="6.28515625" style="31" customWidth="1"/>
    <col min="2824" max="2824" width="14.140625" style="31" customWidth="1"/>
    <col min="2825" max="2825" width="7.28515625" style="31" customWidth="1"/>
    <col min="2826" max="2826" width="11.5703125" style="31" customWidth="1"/>
    <col min="2827" max="2828" width="13.42578125" style="31" customWidth="1"/>
    <col min="2829" max="2829" width="13.5703125" style="31" customWidth="1"/>
    <col min="2830" max="2832" width="9.140625" style="31"/>
    <col min="2833" max="2833" width="43.140625" style="31" customWidth="1"/>
    <col min="2834" max="2834" width="13.5703125" style="31" bestFit="1" customWidth="1"/>
    <col min="2835" max="2836" width="12.5703125" style="31" bestFit="1" customWidth="1"/>
    <col min="2837" max="3076" width="9.140625" style="31"/>
    <col min="3077" max="3077" width="58.42578125" style="31" customWidth="1"/>
    <col min="3078" max="3078" width="7" style="31" customWidth="1"/>
    <col min="3079" max="3079" width="6.28515625" style="31" customWidth="1"/>
    <col min="3080" max="3080" width="14.140625" style="31" customWidth="1"/>
    <col min="3081" max="3081" width="7.28515625" style="31" customWidth="1"/>
    <col min="3082" max="3082" width="11.5703125" style="31" customWidth="1"/>
    <col min="3083" max="3084" width="13.42578125" style="31" customWidth="1"/>
    <col min="3085" max="3085" width="13.5703125" style="31" customWidth="1"/>
    <col min="3086" max="3088" width="9.140625" style="31"/>
    <col min="3089" max="3089" width="43.140625" style="31" customWidth="1"/>
    <col min="3090" max="3090" width="13.5703125" style="31" bestFit="1" customWidth="1"/>
    <col min="3091" max="3092" width="12.5703125" style="31" bestFit="1" customWidth="1"/>
    <col min="3093" max="3332" width="9.140625" style="31"/>
    <col min="3333" max="3333" width="58.42578125" style="31" customWidth="1"/>
    <col min="3334" max="3334" width="7" style="31" customWidth="1"/>
    <col min="3335" max="3335" width="6.28515625" style="31" customWidth="1"/>
    <col min="3336" max="3336" width="14.140625" style="31" customWidth="1"/>
    <col min="3337" max="3337" width="7.28515625" style="31" customWidth="1"/>
    <col min="3338" max="3338" width="11.5703125" style="31" customWidth="1"/>
    <col min="3339" max="3340" width="13.42578125" style="31" customWidth="1"/>
    <col min="3341" max="3341" width="13.5703125" style="31" customWidth="1"/>
    <col min="3342" max="3344" width="9.140625" style="31"/>
    <col min="3345" max="3345" width="43.140625" style="31" customWidth="1"/>
    <col min="3346" max="3346" width="13.5703125" style="31" bestFit="1" customWidth="1"/>
    <col min="3347" max="3348" width="12.5703125" style="31" bestFit="1" customWidth="1"/>
    <col min="3349" max="3588" width="9.140625" style="31"/>
    <col min="3589" max="3589" width="58.42578125" style="31" customWidth="1"/>
    <col min="3590" max="3590" width="7" style="31" customWidth="1"/>
    <col min="3591" max="3591" width="6.28515625" style="31" customWidth="1"/>
    <col min="3592" max="3592" width="14.140625" style="31" customWidth="1"/>
    <col min="3593" max="3593" width="7.28515625" style="31" customWidth="1"/>
    <col min="3594" max="3594" width="11.5703125" style="31" customWidth="1"/>
    <col min="3595" max="3596" width="13.42578125" style="31" customWidth="1"/>
    <col min="3597" max="3597" width="13.5703125" style="31" customWidth="1"/>
    <col min="3598" max="3600" width="9.140625" style="31"/>
    <col min="3601" max="3601" width="43.140625" style="31" customWidth="1"/>
    <col min="3602" max="3602" width="13.5703125" style="31" bestFit="1" customWidth="1"/>
    <col min="3603" max="3604" width="12.5703125" style="31" bestFit="1" customWidth="1"/>
    <col min="3605" max="3844" width="9.140625" style="31"/>
    <col min="3845" max="3845" width="58.42578125" style="31" customWidth="1"/>
    <col min="3846" max="3846" width="7" style="31" customWidth="1"/>
    <col min="3847" max="3847" width="6.28515625" style="31" customWidth="1"/>
    <col min="3848" max="3848" width="14.140625" style="31" customWidth="1"/>
    <col min="3849" max="3849" width="7.28515625" style="31" customWidth="1"/>
    <col min="3850" max="3850" width="11.5703125" style="31" customWidth="1"/>
    <col min="3851" max="3852" width="13.42578125" style="31" customWidth="1"/>
    <col min="3853" max="3853" width="13.5703125" style="31" customWidth="1"/>
    <col min="3854" max="3856" width="9.140625" style="31"/>
    <col min="3857" max="3857" width="43.140625" style="31" customWidth="1"/>
    <col min="3858" max="3858" width="13.5703125" style="31" bestFit="1" customWidth="1"/>
    <col min="3859" max="3860" width="12.5703125" style="31" bestFit="1" customWidth="1"/>
    <col min="3861" max="4100" width="9.140625" style="31"/>
    <col min="4101" max="4101" width="58.42578125" style="31" customWidth="1"/>
    <col min="4102" max="4102" width="7" style="31" customWidth="1"/>
    <col min="4103" max="4103" width="6.28515625" style="31" customWidth="1"/>
    <col min="4104" max="4104" width="14.140625" style="31" customWidth="1"/>
    <col min="4105" max="4105" width="7.28515625" style="31" customWidth="1"/>
    <col min="4106" max="4106" width="11.5703125" style="31" customWidth="1"/>
    <col min="4107" max="4108" width="13.42578125" style="31" customWidth="1"/>
    <col min="4109" max="4109" width="13.5703125" style="31" customWidth="1"/>
    <col min="4110" max="4112" width="9.140625" style="31"/>
    <col min="4113" max="4113" width="43.140625" style="31" customWidth="1"/>
    <col min="4114" max="4114" width="13.5703125" style="31" bestFit="1" customWidth="1"/>
    <col min="4115" max="4116" width="12.5703125" style="31" bestFit="1" customWidth="1"/>
    <col min="4117" max="4356" width="9.140625" style="31"/>
    <col min="4357" max="4357" width="58.42578125" style="31" customWidth="1"/>
    <col min="4358" max="4358" width="7" style="31" customWidth="1"/>
    <col min="4359" max="4359" width="6.28515625" style="31" customWidth="1"/>
    <col min="4360" max="4360" width="14.140625" style="31" customWidth="1"/>
    <col min="4361" max="4361" width="7.28515625" style="31" customWidth="1"/>
    <col min="4362" max="4362" width="11.5703125" style="31" customWidth="1"/>
    <col min="4363" max="4364" width="13.42578125" style="31" customWidth="1"/>
    <col min="4365" max="4365" width="13.5703125" style="31" customWidth="1"/>
    <col min="4366" max="4368" width="9.140625" style="31"/>
    <col min="4369" max="4369" width="43.140625" style="31" customWidth="1"/>
    <col min="4370" max="4370" width="13.5703125" style="31" bestFit="1" customWidth="1"/>
    <col min="4371" max="4372" width="12.5703125" style="31" bestFit="1" customWidth="1"/>
    <col min="4373" max="4612" width="9.140625" style="31"/>
    <col min="4613" max="4613" width="58.42578125" style="31" customWidth="1"/>
    <col min="4614" max="4614" width="7" style="31" customWidth="1"/>
    <col min="4615" max="4615" width="6.28515625" style="31" customWidth="1"/>
    <col min="4616" max="4616" width="14.140625" style="31" customWidth="1"/>
    <col min="4617" max="4617" width="7.28515625" style="31" customWidth="1"/>
    <col min="4618" max="4618" width="11.5703125" style="31" customWidth="1"/>
    <col min="4619" max="4620" width="13.42578125" style="31" customWidth="1"/>
    <col min="4621" max="4621" width="13.5703125" style="31" customWidth="1"/>
    <col min="4622" max="4624" width="9.140625" style="31"/>
    <col min="4625" max="4625" width="43.140625" style="31" customWidth="1"/>
    <col min="4626" max="4626" width="13.5703125" style="31" bestFit="1" customWidth="1"/>
    <col min="4627" max="4628" width="12.5703125" style="31" bestFit="1" customWidth="1"/>
    <col min="4629" max="4868" width="9.140625" style="31"/>
    <col min="4869" max="4869" width="58.42578125" style="31" customWidth="1"/>
    <col min="4870" max="4870" width="7" style="31" customWidth="1"/>
    <col min="4871" max="4871" width="6.28515625" style="31" customWidth="1"/>
    <col min="4872" max="4872" width="14.140625" style="31" customWidth="1"/>
    <col min="4873" max="4873" width="7.28515625" style="31" customWidth="1"/>
    <col min="4874" max="4874" width="11.5703125" style="31" customWidth="1"/>
    <col min="4875" max="4876" width="13.42578125" style="31" customWidth="1"/>
    <col min="4877" max="4877" width="13.5703125" style="31" customWidth="1"/>
    <col min="4878" max="4880" width="9.140625" style="31"/>
    <col min="4881" max="4881" width="43.140625" style="31" customWidth="1"/>
    <col min="4882" max="4882" width="13.5703125" style="31" bestFit="1" customWidth="1"/>
    <col min="4883" max="4884" width="12.5703125" style="31" bestFit="1" customWidth="1"/>
    <col min="4885" max="5124" width="9.140625" style="31"/>
    <col min="5125" max="5125" width="58.42578125" style="31" customWidth="1"/>
    <col min="5126" max="5126" width="7" style="31" customWidth="1"/>
    <col min="5127" max="5127" width="6.28515625" style="31" customWidth="1"/>
    <col min="5128" max="5128" width="14.140625" style="31" customWidth="1"/>
    <col min="5129" max="5129" width="7.28515625" style="31" customWidth="1"/>
    <col min="5130" max="5130" width="11.5703125" style="31" customWidth="1"/>
    <col min="5131" max="5132" width="13.42578125" style="31" customWidth="1"/>
    <col min="5133" max="5133" width="13.5703125" style="31" customWidth="1"/>
    <col min="5134" max="5136" width="9.140625" style="31"/>
    <col min="5137" max="5137" width="43.140625" style="31" customWidth="1"/>
    <col min="5138" max="5138" width="13.5703125" style="31" bestFit="1" customWidth="1"/>
    <col min="5139" max="5140" width="12.5703125" style="31" bestFit="1" customWidth="1"/>
    <col min="5141" max="5380" width="9.140625" style="31"/>
    <col min="5381" max="5381" width="58.42578125" style="31" customWidth="1"/>
    <col min="5382" max="5382" width="7" style="31" customWidth="1"/>
    <col min="5383" max="5383" width="6.28515625" style="31" customWidth="1"/>
    <col min="5384" max="5384" width="14.140625" style="31" customWidth="1"/>
    <col min="5385" max="5385" width="7.28515625" style="31" customWidth="1"/>
    <col min="5386" max="5386" width="11.5703125" style="31" customWidth="1"/>
    <col min="5387" max="5388" width="13.42578125" style="31" customWidth="1"/>
    <col min="5389" max="5389" width="13.5703125" style="31" customWidth="1"/>
    <col min="5390" max="5392" width="9.140625" style="31"/>
    <col min="5393" max="5393" width="43.140625" style="31" customWidth="1"/>
    <col min="5394" max="5394" width="13.5703125" style="31" bestFit="1" customWidth="1"/>
    <col min="5395" max="5396" width="12.5703125" style="31" bestFit="1" customWidth="1"/>
    <col min="5397" max="5636" width="9.140625" style="31"/>
    <col min="5637" max="5637" width="58.42578125" style="31" customWidth="1"/>
    <col min="5638" max="5638" width="7" style="31" customWidth="1"/>
    <col min="5639" max="5639" width="6.28515625" style="31" customWidth="1"/>
    <col min="5640" max="5640" width="14.140625" style="31" customWidth="1"/>
    <col min="5641" max="5641" width="7.28515625" style="31" customWidth="1"/>
    <col min="5642" max="5642" width="11.5703125" style="31" customWidth="1"/>
    <col min="5643" max="5644" width="13.42578125" style="31" customWidth="1"/>
    <col min="5645" max="5645" width="13.5703125" style="31" customWidth="1"/>
    <col min="5646" max="5648" width="9.140625" style="31"/>
    <col min="5649" max="5649" width="43.140625" style="31" customWidth="1"/>
    <col min="5650" max="5650" width="13.5703125" style="31" bestFit="1" customWidth="1"/>
    <col min="5651" max="5652" width="12.5703125" style="31" bestFit="1" customWidth="1"/>
    <col min="5653" max="5892" width="9.140625" style="31"/>
    <col min="5893" max="5893" width="58.42578125" style="31" customWidth="1"/>
    <col min="5894" max="5894" width="7" style="31" customWidth="1"/>
    <col min="5895" max="5895" width="6.28515625" style="31" customWidth="1"/>
    <col min="5896" max="5896" width="14.140625" style="31" customWidth="1"/>
    <col min="5897" max="5897" width="7.28515625" style="31" customWidth="1"/>
    <col min="5898" max="5898" width="11.5703125" style="31" customWidth="1"/>
    <col min="5899" max="5900" width="13.42578125" style="31" customWidth="1"/>
    <col min="5901" max="5901" width="13.5703125" style="31" customWidth="1"/>
    <col min="5902" max="5904" width="9.140625" style="31"/>
    <col min="5905" max="5905" width="43.140625" style="31" customWidth="1"/>
    <col min="5906" max="5906" width="13.5703125" style="31" bestFit="1" customWidth="1"/>
    <col min="5907" max="5908" width="12.5703125" style="31" bestFit="1" customWidth="1"/>
    <col min="5909" max="6148" width="9.140625" style="31"/>
    <col min="6149" max="6149" width="58.42578125" style="31" customWidth="1"/>
    <col min="6150" max="6150" width="7" style="31" customWidth="1"/>
    <col min="6151" max="6151" width="6.28515625" style="31" customWidth="1"/>
    <col min="6152" max="6152" width="14.140625" style="31" customWidth="1"/>
    <col min="6153" max="6153" width="7.28515625" style="31" customWidth="1"/>
    <col min="6154" max="6154" width="11.5703125" style="31" customWidth="1"/>
    <col min="6155" max="6156" width="13.42578125" style="31" customWidth="1"/>
    <col min="6157" max="6157" width="13.5703125" style="31" customWidth="1"/>
    <col min="6158" max="6160" width="9.140625" style="31"/>
    <col min="6161" max="6161" width="43.140625" style="31" customWidth="1"/>
    <col min="6162" max="6162" width="13.5703125" style="31" bestFit="1" customWidth="1"/>
    <col min="6163" max="6164" width="12.5703125" style="31" bestFit="1" customWidth="1"/>
    <col min="6165" max="6404" width="9.140625" style="31"/>
    <col min="6405" max="6405" width="58.42578125" style="31" customWidth="1"/>
    <col min="6406" max="6406" width="7" style="31" customWidth="1"/>
    <col min="6407" max="6407" width="6.28515625" style="31" customWidth="1"/>
    <col min="6408" max="6408" width="14.140625" style="31" customWidth="1"/>
    <col min="6409" max="6409" width="7.28515625" style="31" customWidth="1"/>
    <col min="6410" max="6410" width="11.5703125" style="31" customWidth="1"/>
    <col min="6411" max="6412" width="13.42578125" style="31" customWidth="1"/>
    <col min="6413" max="6413" width="13.5703125" style="31" customWidth="1"/>
    <col min="6414" max="6416" width="9.140625" style="31"/>
    <col min="6417" max="6417" width="43.140625" style="31" customWidth="1"/>
    <col min="6418" max="6418" width="13.5703125" style="31" bestFit="1" customWidth="1"/>
    <col min="6419" max="6420" width="12.5703125" style="31" bestFit="1" customWidth="1"/>
    <col min="6421" max="6660" width="9.140625" style="31"/>
    <col min="6661" max="6661" width="58.42578125" style="31" customWidth="1"/>
    <col min="6662" max="6662" width="7" style="31" customWidth="1"/>
    <col min="6663" max="6663" width="6.28515625" style="31" customWidth="1"/>
    <col min="6664" max="6664" width="14.140625" style="31" customWidth="1"/>
    <col min="6665" max="6665" width="7.28515625" style="31" customWidth="1"/>
    <col min="6666" max="6666" width="11.5703125" style="31" customWidth="1"/>
    <col min="6667" max="6668" width="13.42578125" style="31" customWidth="1"/>
    <col min="6669" max="6669" width="13.5703125" style="31" customWidth="1"/>
    <col min="6670" max="6672" width="9.140625" style="31"/>
    <col min="6673" max="6673" width="43.140625" style="31" customWidth="1"/>
    <col min="6674" max="6674" width="13.5703125" style="31" bestFit="1" customWidth="1"/>
    <col min="6675" max="6676" width="12.5703125" style="31" bestFit="1" customWidth="1"/>
    <col min="6677" max="6916" width="9.140625" style="31"/>
    <col min="6917" max="6917" width="58.42578125" style="31" customWidth="1"/>
    <col min="6918" max="6918" width="7" style="31" customWidth="1"/>
    <col min="6919" max="6919" width="6.28515625" style="31" customWidth="1"/>
    <col min="6920" max="6920" width="14.140625" style="31" customWidth="1"/>
    <col min="6921" max="6921" width="7.28515625" style="31" customWidth="1"/>
    <col min="6922" max="6922" width="11.5703125" style="31" customWidth="1"/>
    <col min="6923" max="6924" width="13.42578125" style="31" customWidth="1"/>
    <col min="6925" max="6925" width="13.5703125" style="31" customWidth="1"/>
    <col min="6926" max="6928" width="9.140625" style="31"/>
    <col min="6929" max="6929" width="43.140625" style="31" customWidth="1"/>
    <col min="6930" max="6930" width="13.5703125" style="31" bestFit="1" customWidth="1"/>
    <col min="6931" max="6932" width="12.5703125" style="31" bestFit="1" customWidth="1"/>
    <col min="6933" max="7172" width="9.140625" style="31"/>
    <col min="7173" max="7173" width="58.42578125" style="31" customWidth="1"/>
    <col min="7174" max="7174" width="7" style="31" customWidth="1"/>
    <col min="7175" max="7175" width="6.28515625" style="31" customWidth="1"/>
    <col min="7176" max="7176" width="14.140625" style="31" customWidth="1"/>
    <col min="7177" max="7177" width="7.28515625" style="31" customWidth="1"/>
    <col min="7178" max="7178" width="11.5703125" style="31" customWidth="1"/>
    <col min="7179" max="7180" width="13.42578125" style="31" customWidth="1"/>
    <col min="7181" max="7181" width="13.5703125" style="31" customWidth="1"/>
    <col min="7182" max="7184" width="9.140625" style="31"/>
    <col min="7185" max="7185" width="43.140625" style="31" customWidth="1"/>
    <col min="7186" max="7186" width="13.5703125" style="31" bestFit="1" customWidth="1"/>
    <col min="7187" max="7188" width="12.5703125" style="31" bestFit="1" customWidth="1"/>
    <col min="7189" max="7428" width="9.140625" style="31"/>
    <col min="7429" max="7429" width="58.42578125" style="31" customWidth="1"/>
    <col min="7430" max="7430" width="7" style="31" customWidth="1"/>
    <col min="7431" max="7431" width="6.28515625" style="31" customWidth="1"/>
    <col min="7432" max="7432" width="14.140625" style="31" customWidth="1"/>
    <col min="7433" max="7433" width="7.28515625" style="31" customWidth="1"/>
    <col min="7434" max="7434" width="11.5703125" style="31" customWidth="1"/>
    <col min="7435" max="7436" width="13.42578125" style="31" customWidth="1"/>
    <col min="7437" max="7437" width="13.5703125" style="31" customWidth="1"/>
    <col min="7438" max="7440" width="9.140625" style="31"/>
    <col min="7441" max="7441" width="43.140625" style="31" customWidth="1"/>
    <col min="7442" max="7442" width="13.5703125" style="31" bestFit="1" customWidth="1"/>
    <col min="7443" max="7444" width="12.5703125" style="31" bestFit="1" customWidth="1"/>
    <col min="7445" max="7684" width="9.140625" style="31"/>
    <col min="7685" max="7685" width="58.42578125" style="31" customWidth="1"/>
    <col min="7686" max="7686" width="7" style="31" customWidth="1"/>
    <col min="7687" max="7687" width="6.28515625" style="31" customWidth="1"/>
    <col min="7688" max="7688" width="14.140625" style="31" customWidth="1"/>
    <col min="7689" max="7689" width="7.28515625" style="31" customWidth="1"/>
    <col min="7690" max="7690" width="11.5703125" style="31" customWidth="1"/>
    <col min="7691" max="7692" width="13.42578125" style="31" customWidth="1"/>
    <col min="7693" max="7693" width="13.5703125" style="31" customWidth="1"/>
    <col min="7694" max="7696" width="9.140625" style="31"/>
    <col min="7697" max="7697" width="43.140625" style="31" customWidth="1"/>
    <col min="7698" max="7698" width="13.5703125" style="31" bestFit="1" customWidth="1"/>
    <col min="7699" max="7700" width="12.5703125" style="31" bestFit="1" customWidth="1"/>
    <col min="7701" max="7940" width="9.140625" style="31"/>
    <col min="7941" max="7941" width="58.42578125" style="31" customWidth="1"/>
    <col min="7942" max="7942" width="7" style="31" customWidth="1"/>
    <col min="7943" max="7943" width="6.28515625" style="31" customWidth="1"/>
    <col min="7944" max="7944" width="14.140625" style="31" customWidth="1"/>
    <col min="7945" max="7945" width="7.28515625" style="31" customWidth="1"/>
    <col min="7946" max="7946" width="11.5703125" style="31" customWidth="1"/>
    <col min="7947" max="7948" width="13.42578125" style="31" customWidth="1"/>
    <col min="7949" max="7949" width="13.5703125" style="31" customWidth="1"/>
    <col min="7950" max="7952" width="9.140625" style="31"/>
    <col min="7953" max="7953" width="43.140625" style="31" customWidth="1"/>
    <col min="7954" max="7954" width="13.5703125" style="31" bestFit="1" customWidth="1"/>
    <col min="7955" max="7956" width="12.5703125" style="31" bestFit="1" customWidth="1"/>
    <col min="7957" max="8196" width="9.140625" style="31"/>
    <col min="8197" max="8197" width="58.42578125" style="31" customWidth="1"/>
    <col min="8198" max="8198" width="7" style="31" customWidth="1"/>
    <col min="8199" max="8199" width="6.28515625" style="31" customWidth="1"/>
    <col min="8200" max="8200" width="14.140625" style="31" customWidth="1"/>
    <col min="8201" max="8201" width="7.28515625" style="31" customWidth="1"/>
    <col min="8202" max="8202" width="11.5703125" style="31" customWidth="1"/>
    <col min="8203" max="8204" width="13.42578125" style="31" customWidth="1"/>
    <col min="8205" max="8205" width="13.5703125" style="31" customWidth="1"/>
    <col min="8206" max="8208" width="9.140625" style="31"/>
    <col min="8209" max="8209" width="43.140625" style="31" customWidth="1"/>
    <col min="8210" max="8210" width="13.5703125" style="31" bestFit="1" customWidth="1"/>
    <col min="8211" max="8212" width="12.5703125" style="31" bestFit="1" customWidth="1"/>
    <col min="8213" max="8452" width="9.140625" style="31"/>
    <col min="8453" max="8453" width="58.42578125" style="31" customWidth="1"/>
    <col min="8454" max="8454" width="7" style="31" customWidth="1"/>
    <col min="8455" max="8455" width="6.28515625" style="31" customWidth="1"/>
    <col min="8456" max="8456" width="14.140625" style="31" customWidth="1"/>
    <col min="8457" max="8457" width="7.28515625" style="31" customWidth="1"/>
    <col min="8458" max="8458" width="11.5703125" style="31" customWidth="1"/>
    <col min="8459" max="8460" width="13.42578125" style="31" customWidth="1"/>
    <col min="8461" max="8461" width="13.5703125" style="31" customWidth="1"/>
    <col min="8462" max="8464" width="9.140625" style="31"/>
    <col min="8465" max="8465" width="43.140625" style="31" customWidth="1"/>
    <col min="8466" max="8466" width="13.5703125" style="31" bestFit="1" customWidth="1"/>
    <col min="8467" max="8468" width="12.5703125" style="31" bestFit="1" customWidth="1"/>
    <col min="8469" max="8708" width="9.140625" style="31"/>
    <col min="8709" max="8709" width="58.42578125" style="31" customWidth="1"/>
    <col min="8710" max="8710" width="7" style="31" customWidth="1"/>
    <col min="8711" max="8711" width="6.28515625" style="31" customWidth="1"/>
    <col min="8712" max="8712" width="14.140625" style="31" customWidth="1"/>
    <col min="8713" max="8713" width="7.28515625" style="31" customWidth="1"/>
    <col min="8714" max="8714" width="11.5703125" style="31" customWidth="1"/>
    <col min="8715" max="8716" width="13.42578125" style="31" customWidth="1"/>
    <col min="8717" max="8717" width="13.5703125" style="31" customWidth="1"/>
    <col min="8718" max="8720" width="9.140625" style="31"/>
    <col min="8721" max="8721" width="43.140625" style="31" customWidth="1"/>
    <col min="8722" max="8722" width="13.5703125" style="31" bestFit="1" customWidth="1"/>
    <col min="8723" max="8724" width="12.5703125" style="31" bestFit="1" customWidth="1"/>
    <col min="8725" max="8964" width="9.140625" style="31"/>
    <col min="8965" max="8965" width="58.42578125" style="31" customWidth="1"/>
    <col min="8966" max="8966" width="7" style="31" customWidth="1"/>
    <col min="8967" max="8967" width="6.28515625" style="31" customWidth="1"/>
    <col min="8968" max="8968" width="14.140625" style="31" customWidth="1"/>
    <col min="8969" max="8969" width="7.28515625" style="31" customWidth="1"/>
    <col min="8970" max="8970" width="11.5703125" style="31" customWidth="1"/>
    <col min="8971" max="8972" width="13.42578125" style="31" customWidth="1"/>
    <col min="8973" max="8973" width="13.5703125" style="31" customWidth="1"/>
    <col min="8974" max="8976" width="9.140625" style="31"/>
    <col min="8977" max="8977" width="43.140625" style="31" customWidth="1"/>
    <col min="8978" max="8978" width="13.5703125" style="31" bestFit="1" customWidth="1"/>
    <col min="8979" max="8980" width="12.5703125" style="31" bestFit="1" customWidth="1"/>
    <col min="8981" max="9220" width="9.140625" style="31"/>
    <col min="9221" max="9221" width="58.42578125" style="31" customWidth="1"/>
    <col min="9222" max="9222" width="7" style="31" customWidth="1"/>
    <col min="9223" max="9223" width="6.28515625" style="31" customWidth="1"/>
    <col min="9224" max="9224" width="14.140625" style="31" customWidth="1"/>
    <col min="9225" max="9225" width="7.28515625" style="31" customWidth="1"/>
    <col min="9226" max="9226" width="11.5703125" style="31" customWidth="1"/>
    <col min="9227" max="9228" width="13.42578125" style="31" customWidth="1"/>
    <col min="9229" max="9229" width="13.5703125" style="31" customWidth="1"/>
    <col min="9230" max="9232" width="9.140625" style="31"/>
    <col min="9233" max="9233" width="43.140625" style="31" customWidth="1"/>
    <col min="9234" max="9234" width="13.5703125" style="31" bestFit="1" customWidth="1"/>
    <col min="9235" max="9236" width="12.5703125" style="31" bestFit="1" customWidth="1"/>
    <col min="9237" max="9476" width="9.140625" style="31"/>
    <col min="9477" max="9477" width="58.42578125" style="31" customWidth="1"/>
    <col min="9478" max="9478" width="7" style="31" customWidth="1"/>
    <col min="9479" max="9479" width="6.28515625" style="31" customWidth="1"/>
    <col min="9480" max="9480" width="14.140625" style="31" customWidth="1"/>
    <col min="9481" max="9481" width="7.28515625" style="31" customWidth="1"/>
    <col min="9482" max="9482" width="11.5703125" style="31" customWidth="1"/>
    <col min="9483" max="9484" width="13.42578125" style="31" customWidth="1"/>
    <col min="9485" max="9485" width="13.5703125" style="31" customWidth="1"/>
    <col min="9486" max="9488" width="9.140625" style="31"/>
    <col min="9489" max="9489" width="43.140625" style="31" customWidth="1"/>
    <col min="9490" max="9490" width="13.5703125" style="31" bestFit="1" customWidth="1"/>
    <col min="9491" max="9492" width="12.5703125" style="31" bestFit="1" customWidth="1"/>
    <col min="9493" max="9732" width="9.140625" style="31"/>
    <col min="9733" max="9733" width="58.42578125" style="31" customWidth="1"/>
    <col min="9734" max="9734" width="7" style="31" customWidth="1"/>
    <col min="9735" max="9735" width="6.28515625" style="31" customWidth="1"/>
    <col min="9736" max="9736" width="14.140625" style="31" customWidth="1"/>
    <col min="9737" max="9737" width="7.28515625" style="31" customWidth="1"/>
    <col min="9738" max="9738" width="11.5703125" style="31" customWidth="1"/>
    <col min="9739" max="9740" width="13.42578125" style="31" customWidth="1"/>
    <col min="9741" max="9741" width="13.5703125" style="31" customWidth="1"/>
    <col min="9742" max="9744" width="9.140625" style="31"/>
    <col min="9745" max="9745" width="43.140625" style="31" customWidth="1"/>
    <col min="9746" max="9746" width="13.5703125" style="31" bestFit="1" customWidth="1"/>
    <col min="9747" max="9748" width="12.5703125" style="31" bestFit="1" customWidth="1"/>
    <col min="9749" max="9988" width="9.140625" style="31"/>
    <col min="9989" max="9989" width="58.42578125" style="31" customWidth="1"/>
    <col min="9990" max="9990" width="7" style="31" customWidth="1"/>
    <col min="9991" max="9991" width="6.28515625" style="31" customWidth="1"/>
    <col min="9992" max="9992" width="14.140625" style="31" customWidth="1"/>
    <col min="9993" max="9993" width="7.28515625" style="31" customWidth="1"/>
    <col min="9994" max="9994" width="11.5703125" style="31" customWidth="1"/>
    <col min="9995" max="9996" width="13.42578125" style="31" customWidth="1"/>
    <col min="9997" max="9997" width="13.5703125" style="31" customWidth="1"/>
    <col min="9998" max="10000" width="9.140625" style="31"/>
    <col min="10001" max="10001" width="43.140625" style="31" customWidth="1"/>
    <col min="10002" max="10002" width="13.5703125" style="31" bestFit="1" customWidth="1"/>
    <col min="10003" max="10004" width="12.5703125" style="31" bestFit="1" customWidth="1"/>
    <col min="10005" max="10244" width="9.140625" style="31"/>
    <col min="10245" max="10245" width="58.42578125" style="31" customWidth="1"/>
    <col min="10246" max="10246" width="7" style="31" customWidth="1"/>
    <col min="10247" max="10247" width="6.28515625" style="31" customWidth="1"/>
    <col min="10248" max="10248" width="14.140625" style="31" customWidth="1"/>
    <col min="10249" max="10249" width="7.28515625" style="31" customWidth="1"/>
    <col min="10250" max="10250" width="11.5703125" style="31" customWidth="1"/>
    <col min="10251" max="10252" width="13.42578125" style="31" customWidth="1"/>
    <col min="10253" max="10253" width="13.5703125" style="31" customWidth="1"/>
    <col min="10254" max="10256" width="9.140625" style="31"/>
    <col min="10257" max="10257" width="43.140625" style="31" customWidth="1"/>
    <col min="10258" max="10258" width="13.5703125" style="31" bestFit="1" customWidth="1"/>
    <col min="10259" max="10260" width="12.5703125" style="31" bestFit="1" customWidth="1"/>
    <col min="10261" max="10500" width="9.140625" style="31"/>
    <col min="10501" max="10501" width="58.42578125" style="31" customWidth="1"/>
    <col min="10502" max="10502" width="7" style="31" customWidth="1"/>
    <col min="10503" max="10503" width="6.28515625" style="31" customWidth="1"/>
    <col min="10504" max="10504" width="14.140625" style="31" customWidth="1"/>
    <col min="10505" max="10505" width="7.28515625" style="31" customWidth="1"/>
    <col min="10506" max="10506" width="11.5703125" style="31" customWidth="1"/>
    <col min="10507" max="10508" width="13.42578125" style="31" customWidth="1"/>
    <col min="10509" max="10509" width="13.5703125" style="31" customWidth="1"/>
    <col min="10510" max="10512" width="9.140625" style="31"/>
    <col min="10513" max="10513" width="43.140625" style="31" customWidth="1"/>
    <col min="10514" max="10514" width="13.5703125" style="31" bestFit="1" customWidth="1"/>
    <col min="10515" max="10516" width="12.5703125" style="31" bestFit="1" customWidth="1"/>
    <col min="10517" max="10756" width="9.140625" style="31"/>
    <col min="10757" max="10757" width="58.42578125" style="31" customWidth="1"/>
    <col min="10758" max="10758" width="7" style="31" customWidth="1"/>
    <col min="10759" max="10759" width="6.28515625" style="31" customWidth="1"/>
    <col min="10760" max="10760" width="14.140625" style="31" customWidth="1"/>
    <col min="10761" max="10761" width="7.28515625" style="31" customWidth="1"/>
    <col min="10762" max="10762" width="11.5703125" style="31" customWidth="1"/>
    <col min="10763" max="10764" width="13.42578125" style="31" customWidth="1"/>
    <col min="10765" max="10765" width="13.5703125" style="31" customWidth="1"/>
    <col min="10766" max="10768" width="9.140625" style="31"/>
    <col min="10769" max="10769" width="43.140625" style="31" customWidth="1"/>
    <col min="10770" max="10770" width="13.5703125" style="31" bestFit="1" customWidth="1"/>
    <col min="10771" max="10772" width="12.5703125" style="31" bestFit="1" customWidth="1"/>
    <col min="10773" max="11012" width="9.140625" style="31"/>
    <col min="11013" max="11013" width="58.42578125" style="31" customWidth="1"/>
    <col min="11014" max="11014" width="7" style="31" customWidth="1"/>
    <col min="11015" max="11015" width="6.28515625" style="31" customWidth="1"/>
    <col min="11016" max="11016" width="14.140625" style="31" customWidth="1"/>
    <col min="11017" max="11017" width="7.28515625" style="31" customWidth="1"/>
    <col min="11018" max="11018" width="11.5703125" style="31" customWidth="1"/>
    <col min="11019" max="11020" width="13.42578125" style="31" customWidth="1"/>
    <col min="11021" max="11021" width="13.5703125" style="31" customWidth="1"/>
    <col min="11022" max="11024" width="9.140625" style="31"/>
    <col min="11025" max="11025" width="43.140625" style="31" customWidth="1"/>
    <col min="11026" max="11026" width="13.5703125" style="31" bestFit="1" customWidth="1"/>
    <col min="11027" max="11028" width="12.5703125" style="31" bestFit="1" customWidth="1"/>
    <col min="11029" max="11268" width="9.140625" style="31"/>
    <col min="11269" max="11269" width="58.42578125" style="31" customWidth="1"/>
    <col min="11270" max="11270" width="7" style="31" customWidth="1"/>
    <col min="11271" max="11271" width="6.28515625" style="31" customWidth="1"/>
    <col min="11272" max="11272" width="14.140625" style="31" customWidth="1"/>
    <col min="11273" max="11273" width="7.28515625" style="31" customWidth="1"/>
    <col min="11274" max="11274" width="11.5703125" style="31" customWidth="1"/>
    <col min="11275" max="11276" width="13.42578125" style="31" customWidth="1"/>
    <col min="11277" max="11277" width="13.5703125" style="31" customWidth="1"/>
    <col min="11278" max="11280" width="9.140625" style="31"/>
    <col min="11281" max="11281" width="43.140625" style="31" customWidth="1"/>
    <col min="11282" max="11282" width="13.5703125" style="31" bestFit="1" customWidth="1"/>
    <col min="11283" max="11284" width="12.5703125" style="31" bestFit="1" customWidth="1"/>
    <col min="11285" max="11524" width="9.140625" style="31"/>
    <col min="11525" max="11525" width="58.42578125" style="31" customWidth="1"/>
    <col min="11526" max="11526" width="7" style="31" customWidth="1"/>
    <col min="11527" max="11527" width="6.28515625" style="31" customWidth="1"/>
    <col min="11528" max="11528" width="14.140625" style="31" customWidth="1"/>
    <col min="11529" max="11529" width="7.28515625" style="31" customWidth="1"/>
    <col min="11530" max="11530" width="11.5703125" style="31" customWidth="1"/>
    <col min="11531" max="11532" width="13.42578125" style="31" customWidth="1"/>
    <col min="11533" max="11533" width="13.5703125" style="31" customWidth="1"/>
    <col min="11534" max="11536" width="9.140625" style="31"/>
    <col min="11537" max="11537" width="43.140625" style="31" customWidth="1"/>
    <col min="11538" max="11538" width="13.5703125" style="31" bestFit="1" customWidth="1"/>
    <col min="11539" max="11540" width="12.5703125" style="31" bestFit="1" customWidth="1"/>
    <col min="11541" max="11780" width="9.140625" style="31"/>
    <col min="11781" max="11781" width="58.42578125" style="31" customWidth="1"/>
    <col min="11782" max="11782" width="7" style="31" customWidth="1"/>
    <col min="11783" max="11783" width="6.28515625" style="31" customWidth="1"/>
    <col min="11784" max="11784" width="14.140625" style="31" customWidth="1"/>
    <col min="11785" max="11785" width="7.28515625" style="31" customWidth="1"/>
    <col min="11786" max="11786" width="11.5703125" style="31" customWidth="1"/>
    <col min="11787" max="11788" width="13.42578125" style="31" customWidth="1"/>
    <col min="11789" max="11789" width="13.5703125" style="31" customWidth="1"/>
    <col min="11790" max="11792" width="9.140625" style="31"/>
    <col min="11793" max="11793" width="43.140625" style="31" customWidth="1"/>
    <col min="11794" max="11794" width="13.5703125" style="31" bestFit="1" customWidth="1"/>
    <col min="11795" max="11796" width="12.5703125" style="31" bestFit="1" customWidth="1"/>
    <col min="11797" max="12036" width="9.140625" style="31"/>
    <col min="12037" max="12037" width="58.42578125" style="31" customWidth="1"/>
    <col min="12038" max="12038" width="7" style="31" customWidth="1"/>
    <col min="12039" max="12039" width="6.28515625" style="31" customWidth="1"/>
    <col min="12040" max="12040" width="14.140625" style="31" customWidth="1"/>
    <col min="12041" max="12041" width="7.28515625" style="31" customWidth="1"/>
    <col min="12042" max="12042" width="11.5703125" style="31" customWidth="1"/>
    <col min="12043" max="12044" width="13.42578125" style="31" customWidth="1"/>
    <col min="12045" max="12045" width="13.5703125" style="31" customWidth="1"/>
    <col min="12046" max="12048" width="9.140625" style="31"/>
    <col min="12049" max="12049" width="43.140625" style="31" customWidth="1"/>
    <col min="12050" max="12050" width="13.5703125" style="31" bestFit="1" customWidth="1"/>
    <col min="12051" max="12052" width="12.5703125" style="31" bestFit="1" customWidth="1"/>
    <col min="12053" max="12292" width="9.140625" style="31"/>
    <col min="12293" max="12293" width="58.42578125" style="31" customWidth="1"/>
    <col min="12294" max="12294" width="7" style="31" customWidth="1"/>
    <col min="12295" max="12295" width="6.28515625" style="31" customWidth="1"/>
    <col min="12296" max="12296" width="14.140625" style="31" customWidth="1"/>
    <col min="12297" max="12297" width="7.28515625" style="31" customWidth="1"/>
    <col min="12298" max="12298" width="11.5703125" style="31" customWidth="1"/>
    <col min="12299" max="12300" width="13.42578125" style="31" customWidth="1"/>
    <col min="12301" max="12301" width="13.5703125" style="31" customWidth="1"/>
    <col min="12302" max="12304" width="9.140625" style="31"/>
    <col min="12305" max="12305" width="43.140625" style="31" customWidth="1"/>
    <col min="12306" max="12306" width="13.5703125" style="31" bestFit="1" customWidth="1"/>
    <col min="12307" max="12308" width="12.5703125" style="31" bestFit="1" customWidth="1"/>
    <col min="12309" max="12548" width="9.140625" style="31"/>
    <col min="12549" max="12549" width="58.42578125" style="31" customWidth="1"/>
    <col min="12550" max="12550" width="7" style="31" customWidth="1"/>
    <col min="12551" max="12551" width="6.28515625" style="31" customWidth="1"/>
    <col min="12552" max="12552" width="14.140625" style="31" customWidth="1"/>
    <col min="12553" max="12553" width="7.28515625" style="31" customWidth="1"/>
    <col min="12554" max="12554" width="11.5703125" style="31" customWidth="1"/>
    <col min="12555" max="12556" width="13.42578125" style="31" customWidth="1"/>
    <col min="12557" max="12557" width="13.5703125" style="31" customWidth="1"/>
    <col min="12558" max="12560" width="9.140625" style="31"/>
    <col min="12561" max="12561" width="43.140625" style="31" customWidth="1"/>
    <col min="12562" max="12562" width="13.5703125" style="31" bestFit="1" customWidth="1"/>
    <col min="12563" max="12564" width="12.5703125" style="31" bestFit="1" customWidth="1"/>
    <col min="12565" max="12804" width="9.140625" style="31"/>
    <col min="12805" max="12805" width="58.42578125" style="31" customWidth="1"/>
    <col min="12806" max="12806" width="7" style="31" customWidth="1"/>
    <col min="12807" max="12807" width="6.28515625" style="31" customWidth="1"/>
    <col min="12808" max="12808" width="14.140625" style="31" customWidth="1"/>
    <col min="12809" max="12809" width="7.28515625" style="31" customWidth="1"/>
    <col min="12810" max="12810" width="11.5703125" style="31" customWidth="1"/>
    <col min="12811" max="12812" width="13.42578125" style="31" customWidth="1"/>
    <col min="12813" max="12813" width="13.5703125" style="31" customWidth="1"/>
    <col min="12814" max="12816" width="9.140625" style="31"/>
    <col min="12817" max="12817" width="43.140625" style="31" customWidth="1"/>
    <col min="12818" max="12818" width="13.5703125" style="31" bestFit="1" customWidth="1"/>
    <col min="12819" max="12820" width="12.5703125" style="31" bestFit="1" customWidth="1"/>
    <col min="12821" max="13060" width="9.140625" style="31"/>
    <col min="13061" max="13061" width="58.42578125" style="31" customWidth="1"/>
    <col min="13062" max="13062" width="7" style="31" customWidth="1"/>
    <col min="13063" max="13063" width="6.28515625" style="31" customWidth="1"/>
    <col min="13064" max="13064" width="14.140625" style="31" customWidth="1"/>
    <col min="13065" max="13065" width="7.28515625" style="31" customWidth="1"/>
    <col min="13066" max="13066" width="11.5703125" style="31" customWidth="1"/>
    <col min="13067" max="13068" width="13.42578125" style="31" customWidth="1"/>
    <col min="13069" max="13069" width="13.5703125" style="31" customWidth="1"/>
    <col min="13070" max="13072" width="9.140625" style="31"/>
    <col min="13073" max="13073" width="43.140625" style="31" customWidth="1"/>
    <col min="13074" max="13074" width="13.5703125" style="31" bestFit="1" customWidth="1"/>
    <col min="13075" max="13076" width="12.5703125" style="31" bestFit="1" customWidth="1"/>
    <col min="13077" max="13316" width="9.140625" style="31"/>
    <col min="13317" max="13317" width="58.42578125" style="31" customWidth="1"/>
    <col min="13318" max="13318" width="7" style="31" customWidth="1"/>
    <col min="13319" max="13319" width="6.28515625" style="31" customWidth="1"/>
    <col min="13320" max="13320" width="14.140625" style="31" customWidth="1"/>
    <col min="13321" max="13321" width="7.28515625" style="31" customWidth="1"/>
    <col min="13322" max="13322" width="11.5703125" style="31" customWidth="1"/>
    <col min="13323" max="13324" width="13.42578125" style="31" customWidth="1"/>
    <col min="13325" max="13325" width="13.5703125" style="31" customWidth="1"/>
    <col min="13326" max="13328" width="9.140625" style="31"/>
    <col min="13329" max="13329" width="43.140625" style="31" customWidth="1"/>
    <col min="13330" max="13330" width="13.5703125" style="31" bestFit="1" customWidth="1"/>
    <col min="13331" max="13332" width="12.5703125" style="31" bestFit="1" customWidth="1"/>
    <col min="13333" max="13572" width="9.140625" style="31"/>
    <col min="13573" max="13573" width="58.42578125" style="31" customWidth="1"/>
    <col min="13574" max="13574" width="7" style="31" customWidth="1"/>
    <col min="13575" max="13575" width="6.28515625" style="31" customWidth="1"/>
    <col min="13576" max="13576" width="14.140625" style="31" customWidth="1"/>
    <col min="13577" max="13577" width="7.28515625" style="31" customWidth="1"/>
    <col min="13578" max="13578" width="11.5703125" style="31" customWidth="1"/>
    <col min="13579" max="13580" width="13.42578125" style="31" customWidth="1"/>
    <col min="13581" max="13581" width="13.5703125" style="31" customWidth="1"/>
    <col min="13582" max="13584" width="9.140625" style="31"/>
    <col min="13585" max="13585" width="43.140625" style="31" customWidth="1"/>
    <col min="13586" max="13586" width="13.5703125" style="31" bestFit="1" customWidth="1"/>
    <col min="13587" max="13588" width="12.5703125" style="31" bestFit="1" customWidth="1"/>
    <col min="13589" max="13828" width="9.140625" style="31"/>
    <col min="13829" max="13829" width="58.42578125" style="31" customWidth="1"/>
    <col min="13830" max="13830" width="7" style="31" customWidth="1"/>
    <col min="13831" max="13831" width="6.28515625" style="31" customWidth="1"/>
    <col min="13832" max="13832" width="14.140625" style="31" customWidth="1"/>
    <col min="13833" max="13833" width="7.28515625" style="31" customWidth="1"/>
    <col min="13834" max="13834" width="11.5703125" style="31" customWidth="1"/>
    <col min="13835" max="13836" width="13.42578125" style="31" customWidth="1"/>
    <col min="13837" max="13837" width="13.5703125" style="31" customWidth="1"/>
    <col min="13838" max="13840" width="9.140625" style="31"/>
    <col min="13841" max="13841" width="43.140625" style="31" customWidth="1"/>
    <col min="13842" max="13842" width="13.5703125" style="31" bestFit="1" customWidth="1"/>
    <col min="13843" max="13844" width="12.5703125" style="31" bestFit="1" customWidth="1"/>
    <col min="13845" max="14084" width="9.140625" style="31"/>
    <col min="14085" max="14085" width="58.42578125" style="31" customWidth="1"/>
    <col min="14086" max="14086" width="7" style="31" customWidth="1"/>
    <col min="14087" max="14087" width="6.28515625" style="31" customWidth="1"/>
    <col min="14088" max="14088" width="14.140625" style="31" customWidth="1"/>
    <col min="14089" max="14089" width="7.28515625" style="31" customWidth="1"/>
    <col min="14090" max="14090" width="11.5703125" style="31" customWidth="1"/>
    <col min="14091" max="14092" width="13.42578125" style="31" customWidth="1"/>
    <col min="14093" max="14093" width="13.5703125" style="31" customWidth="1"/>
    <col min="14094" max="14096" width="9.140625" style="31"/>
    <col min="14097" max="14097" width="43.140625" style="31" customWidth="1"/>
    <col min="14098" max="14098" width="13.5703125" style="31" bestFit="1" customWidth="1"/>
    <col min="14099" max="14100" width="12.5703125" style="31" bestFit="1" customWidth="1"/>
    <col min="14101" max="14340" width="9.140625" style="31"/>
    <col min="14341" max="14341" width="58.42578125" style="31" customWidth="1"/>
    <col min="14342" max="14342" width="7" style="31" customWidth="1"/>
    <col min="14343" max="14343" width="6.28515625" style="31" customWidth="1"/>
    <col min="14344" max="14344" width="14.140625" style="31" customWidth="1"/>
    <col min="14345" max="14345" width="7.28515625" style="31" customWidth="1"/>
    <col min="14346" max="14346" width="11.5703125" style="31" customWidth="1"/>
    <col min="14347" max="14348" width="13.42578125" style="31" customWidth="1"/>
    <col min="14349" max="14349" width="13.5703125" style="31" customWidth="1"/>
    <col min="14350" max="14352" width="9.140625" style="31"/>
    <col min="14353" max="14353" width="43.140625" style="31" customWidth="1"/>
    <col min="14354" max="14354" width="13.5703125" style="31" bestFit="1" customWidth="1"/>
    <col min="14355" max="14356" width="12.5703125" style="31" bestFit="1" customWidth="1"/>
    <col min="14357" max="14596" width="9.140625" style="31"/>
    <col min="14597" max="14597" width="58.42578125" style="31" customWidth="1"/>
    <col min="14598" max="14598" width="7" style="31" customWidth="1"/>
    <col min="14599" max="14599" width="6.28515625" style="31" customWidth="1"/>
    <col min="14600" max="14600" width="14.140625" style="31" customWidth="1"/>
    <col min="14601" max="14601" width="7.28515625" style="31" customWidth="1"/>
    <col min="14602" max="14602" width="11.5703125" style="31" customWidth="1"/>
    <col min="14603" max="14604" width="13.42578125" style="31" customWidth="1"/>
    <col min="14605" max="14605" width="13.5703125" style="31" customWidth="1"/>
    <col min="14606" max="14608" width="9.140625" style="31"/>
    <col min="14609" max="14609" width="43.140625" style="31" customWidth="1"/>
    <col min="14610" max="14610" width="13.5703125" style="31" bestFit="1" customWidth="1"/>
    <col min="14611" max="14612" width="12.5703125" style="31" bestFit="1" customWidth="1"/>
    <col min="14613" max="14852" width="9.140625" style="31"/>
    <col min="14853" max="14853" width="58.42578125" style="31" customWidth="1"/>
    <col min="14854" max="14854" width="7" style="31" customWidth="1"/>
    <col min="14855" max="14855" width="6.28515625" style="31" customWidth="1"/>
    <col min="14856" max="14856" width="14.140625" style="31" customWidth="1"/>
    <col min="14857" max="14857" width="7.28515625" style="31" customWidth="1"/>
    <col min="14858" max="14858" width="11.5703125" style="31" customWidth="1"/>
    <col min="14859" max="14860" width="13.42578125" style="31" customWidth="1"/>
    <col min="14861" max="14861" width="13.5703125" style="31" customWidth="1"/>
    <col min="14862" max="14864" width="9.140625" style="31"/>
    <col min="14865" max="14865" width="43.140625" style="31" customWidth="1"/>
    <col min="14866" max="14866" width="13.5703125" style="31" bestFit="1" customWidth="1"/>
    <col min="14867" max="14868" width="12.5703125" style="31" bestFit="1" customWidth="1"/>
    <col min="14869" max="15108" width="9.140625" style="31"/>
    <col min="15109" max="15109" width="58.42578125" style="31" customWidth="1"/>
    <col min="15110" max="15110" width="7" style="31" customWidth="1"/>
    <col min="15111" max="15111" width="6.28515625" style="31" customWidth="1"/>
    <col min="15112" max="15112" width="14.140625" style="31" customWidth="1"/>
    <col min="15113" max="15113" width="7.28515625" style="31" customWidth="1"/>
    <col min="15114" max="15114" width="11.5703125" style="31" customWidth="1"/>
    <col min="15115" max="15116" width="13.42578125" style="31" customWidth="1"/>
    <col min="15117" max="15117" width="13.5703125" style="31" customWidth="1"/>
    <col min="15118" max="15120" width="9.140625" style="31"/>
    <col min="15121" max="15121" width="43.140625" style="31" customWidth="1"/>
    <col min="15122" max="15122" width="13.5703125" style="31" bestFit="1" customWidth="1"/>
    <col min="15123" max="15124" width="12.5703125" style="31" bestFit="1" customWidth="1"/>
    <col min="15125" max="15364" width="9.140625" style="31"/>
    <col min="15365" max="15365" width="58.42578125" style="31" customWidth="1"/>
    <col min="15366" max="15366" width="7" style="31" customWidth="1"/>
    <col min="15367" max="15367" width="6.28515625" style="31" customWidth="1"/>
    <col min="15368" max="15368" width="14.140625" style="31" customWidth="1"/>
    <col min="15369" max="15369" width="7.28515625" style="31" customWidth="1"/>
    <col min="15370" max="15370" width="11.5703125" style="31" customWidth="1"/>
    <col min="15371" max="15372" width="13.42578125" style="31" customWidth="1"/>
    <col min="15373" max="15373" width="13.5703125" style="31" customWidth="1"/>
    <col min="15374" max="15376" width="9.140625" style="31"/>
    <col min="15377" max="15377" width="43.140625" style="31" customWidth="1"/>
    <col min="15378" max="15378" width="13.5703125" style="31" bestFit="1" customWidth="1"/>
    <col min="15379" max="15380" width="12.5703125" style="31" bestFit="1" customWidth="1"/>
    <col min="15381" max="15620" width="9.140625" style="31"/>
    <col min="15621" max="15621" width="58.42578125" style="31" customWidth="1"/>
    <col min="15622" max="15622" width="7" style="31" customWidth="1"/>
    <col min="15623" max="15623" width="6.28515625" style="31" customWidth="1"/>
    <col min="15624" max="15624" width="14.140625" style="31" customWidth="1"/>
    <col min="15625" max="15625" width="7.28515625" style="31" customWidth="1"/>
    <col min="15626" max="15626" width="11.5703125" style="31" customWidth="1"/>
    <col min="15627" max="15628" width="13.42578125" style="31" customWidth="1"/>
    <col min="15629" max="15629" width="13.5703125" style="31" customWidth="1"/>
    <col min="15630" max="15632" width="9.140625" style="31"/>
    <col min="15633" max="15633" width="43.140625" style="31" customWidth="1"/>
    <col min="15634" max="15634" width="13.5703125" style="31" bestFit="1" customWidth="1"/>
    <col min="15635" max="15636" width="12.5703125" style="31" bestFit="1" customWidth="1"/>
    <col min="15637" max="15876" width="9.140625" style="31"/>
    <col min="15877" max="15877" width="58.42578125" style="31" customWidth="1"/>
    <col min="15878" max="15878" width="7" style="31" customWidth="1"/>
    <col min="15879" max="15879" width="6.28515625" style="31" customWidth="1"/>
    <col min="15880" max="15880" width="14.140625" style="31" customWidth="1"/>
    <col min="15881" max="15881" width="7.28515625" style="31" customWidth="1"/>
    <col min="15882" max="15882" width="11.5703125" style="31" customWidth="1"/>
    <col min="15883" max="15884" width="13.42578125" style="31" customWidth="1"/>
    <col min="15885" max="15885" width="13.5703125" style="31" customWidth="1"/>
    <col min="15886" max="15888" width="9.140625" style="31"/>
    <col min="15889" max="15889" width="43.140625" style="31" customWidth="1"/>
    <col min="15890" max="15890" width="13.5703125" style="31" bestFit="1" customWidth="1"/>
    <col min="15891" max="15892" width="12.5703125" style="31" bestFit="1" customWidth="1"/>
    <col min="15893" max="16132" width="9.140625" style="31"/>
    <col min="16133" max="16133" width="58.42578125" style="31" customWidth="1"/>
    <col min="16134" max="16134" width="7" style="31" customWidth="1"/>
    <col min="16135" max="16135" width="6.28515625" style="31" customWidth="1"/>
    <col min="16136" max="16136" width="14.140625" style="31" customWidth="1"/>
    <col min="16137" max="16137" width="7.28515625" style="31" customWidth="1"/>
    <col min="16138" max="16138" width="11.5703125" style="31" customWidth="1"/>
    <col min="16139" max="16140" width="13.42578125" style="31" customWidth="1"/>
    <col min="16141" max="16141" width="13.5703125" style="31" customWidth="1"/>
    <col min="16142" max="16144" width="9.140625" style="31"/>
    <col min="16145" max="16145" width="43.140625" style="31" customWidth="1"/>
    <col min="16146" max="16146" width="13.5703125" style="31" bestFit="1" customWidth="1"/>
    <col min="16147" max="16148" width="12.5703125" style="31" bestFit="1" customWidth="1"/>
    <col min="16149" max="16384" width="9.140625" style="31"/>
  </cols>
  <sheetData>
    <row r="1" spans="1:16" s="163" customFormat="1" ht="55.5" customHeight="1" x14ac:dyDescent="0.2">
      <c r="A1" s="421" t="s">
        <v>1128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00"/>
    </row>
    <row r="2" spans="1:16" ht="35.25" customHeight="1" x14ac:dyDescent="0.2">
      <c r="A2" s="422" t="s">
        <v>665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01"/>
    </row>
    <row r="3" spans="1:16" ht="15.75" customHeight="1" x14ac:dyDescent="0.2">
      <c r="A3" s="162"/>
      <c r="B3" s="34"/>
      <c r="C3" s="34"/>
      <c r="N3" s="42" t="s">
        <v>664</v>
      </c>
      <c r="O3" s="42" t="s">
        <v>664</v>
      </c>
    </row>
    <row r="4" spans="1:16" s="32" customFormat="1" ht="48" customHeight="1" x14ac:dyDescent="0.2">
      <c r="A4" s="161" t="s">
        <v>663</v>
      </c>
      <c r="B4" s="403" t="s">
        <v>662</v>
      </c>
      <c r="C4" s="403" t="s">
        <v>661</v>
      </c>
      <c r="D4" s="403" t="s">
        <v>660</v>
      </c>
      <c r="E4" s="403" t="s">
        <v>659</v>
      </c>
      <c r="F4" s="160">
        <v>2025</v>
      </c>
      <c r="G4" s="329">
        <v>2025</v>
      </c>
      <c r="H4" s="306" t="s">
        <v>1067</v>
      </c>
      <c r="I4" s="160">
        <v>2026</v>
      </c>
      <c r="J4" s="329">
        <v>2025</v>
      </c>
      <c r="K4" s="306" t="s">
        <v>1067</v>
      </c>
      <c r="L4" s="329">
        <v>2026</v>
      </c>
      <c r="M4" s="306" t="s">
        <v>1067</v>
      </c>
      <c r="N4" s="160">
        <v>2027</v>
      </c>
      <c r="O4" s="329">
        <v>2027</v>
      </c>
      <c r="P4" s="306" t="s">
        <v>1067</v>
      </c>
    </row>
    <row r="5" spans="1:16" s="156" customFormat="1" ht="24.75" customHeight="1" x14ac:dyDescent="0.2">
      <c r="A5" s="159">
        <v>1</v>
      </c>
      <c r="B5" s="158">
        <v>2</v>
      </c>
      <c r="C5" s="158">
        <v>3</v>
      </c>
      <c r="D5" s="158">
        <v>4</v>
      </c>
      <c r="E5" s="158">
        <v>5</v>
      </c>
      <c r="F5" s="157">
        <v>6</v>
      </c>
      <c r="G5" s="157">
        <v>6</v>
      </c>
      <c r="H5" s="298"/>
      <c r="I5" s="157">
        <v>7</v>
      </c>
      <c r="J5" s="157">
        <v>6</v>
      </c>
      <c r="K5" s="298"/>
      <c r="L5" s="157">
        <v>7</v>
      </c>
      <c r="M5" s="298"/>
      <c r="N5" s="157">
        <v>8</v>
      </c>
      <c r="O5" s="157">
        <v>8</v>
      </c>
      <c r="P5" s="298"/>
    </row>
    <row r="6" spans="1:16" s="43" customFormat="1" ht="14.25" customHeight="1" x14ac:dyDescent="0.2">
      <c r="A6" s="46" t="s">
        <v>658</v>
      </c>
      <c r="B6" s="71" t="s">
        <v>45</v>
      </c>
      <c r="C6" s="71"/>
      <c r="D6" s="71"/>
      <c r="E6" s="71"/>
      <c r="F6" s="132">
        <f>F7+F13+F18+F56+F60+F82+F86+F78</f>
        <v>96543.4</v>
      </c>
      <c r="G6" s="132">
        <f>G7+G13+G18+G56+G60+G82+G86+G78</f>
        <v>93178.6</v>
      </c>
      <c r="H6" s="299">
        <f>G6-F6</f>
        <v>-3364.7999999999884</v>
      </c>
      <c r="I6" s="132">
        <f>I7+I13+I18+I56+I60+I82+I86+I78</f>
        <v>93366.399999999994</v>
      </c>
      <c r="J6" s="132">
        <f>J7+J13+J18+J56+J60+J82+J86+J78</f>
        <v>92849.400000000009</v>
      </c>
      <c r="K6" s="299">
        <f>J6-G6</f>
        <v>-329.19999999999709</v>
      </c>
      <c r="L6" s="132">
        <f>L7+L13+L18+L56+L60+L82+L86+L78</f>
        <v>93366.399999999994</v>
      </c>
      <c r="M6" s="299">
        <f t="shared" ref="M6:M69" si="0">L6-I6</f>
        <v>0</v>
      </c>
      <c r="N6" s="132">
        <f>N7+N13+N18+N56+N60+N82+N86+N78</f>
        <v>92361.9</v>
      </c>
      <c r="O6" s="132">
        <f>O7+O13+O18+O56+O60+O82+O86+O78</f>
        <v>92361.9</v>
      </c>
      <c r="P6" s="299">
        <f>O6-N6</f>
        <v>0</v>
      </c>
    </row>
    <row r="7" spans="1:16" s="43" customFormat="1" ht="25.5" customHeight="1" x14ac:dyDescent="0.2">
      <c r="A7" s="46" t="s">
        <v>657</v>
      </c>
      <c r="B7" s="71" t="s">
        <v>45</v>
      </c>
      <c r="C7" s="71" t="s">
        <v>72</v>
      </c>
      <c r="D7" s="71"/>
      <c r="E7" s="71"/>
      <c r="F7" s="132">
        <f t="shared" ref="F7:G11" si="1">F8</f>
        <v>3214.5</v>
      </c>
      <c r="G7" s="132">
        <f t="shared" si="1"/>
        <v>3464.5</v>
      </c>
      <c r="H7" s="299">
        <f t="shared" ref="H7:H72" si="2">G7-F7</f>
        <v>250</v>
      </c>
      <c r="I7" s="132">
        <f t="shared" ref="I7:L11" si="3">I8</f>
        <v>3173.6</v>
      </c>
      <c r="J7" s="132">
        <f t="shared" si="3"/>
        <v>3464.5</v>
      </c>
      <c r="K7" s="299">
        <f t="shared" ref="K7:K70" si="4">J7-G7</f>
        <v>0</v>
      </c>
      <c r="L7" s="132">
        <f t="shared" si="3"/>
        <v>3173.6</v>
      </c>
      <c r="M7" s="299">
        <f t="shared" si="0"/>
        <v>0</v>
      </c>
      <c r="N7" s="132">
        <f t="shared" ref="N7:O11" si="5">N8</f>
        <v>3173.6</v>
      </c>
      <c r="O7" s="132">
        <f t="shared" si="5"/>
        <v>3173.6</v>
      </c>
      <c r="P7" s="299">
        <f t="shared" ref="P7:P72" si="6">O7-N7</f>
        <v>0</v>
      </c>
    </row>
    <row r="8" spans="1:16" s="43" customFormat="1" ht="26.25" customHeight="1" x14ac:dyDescent="0.2">
      <c r="A8" s="56" t="s">
        <v>536</v>
      </c>
      <c r="B8" s="78" t="s">
        <v>45</v>
      </c>
      <c r="C8" s="78" t="s">
        <v>72</v>
      </c>
      <c r="D8" s="78" t="s">
        <v>535</v>
      </c>
      <c r="E8" s="78"/>
      <c r="F8" s="133">
        <f t="shared" si="1"/>
        <v>3214.5</v>
      </c>
      <c r="G8" s="133">
        <f t="shared" si="1"/>
        <v>3464.5</v>
      </c>
      <c r="H8" s="299">
        <f t="shared" si="2"/>
        <v>250</v>
      </c>
      <c r="I8" s="133">
        <f t="shared" si="3"/>
        <v>3173.6</v>
      </c>
      <c r="J8" s="133">
        <f t="shared" si="3"/>
        <v>3464.5</v>
      </c>
      <c r="K8" s="299">
        <f t="shared" si="4"/>
        <v>0</v>
      </c>
      <c r="L8" s="133">
        <f t="shared" si="3"/>
        <v>3173.6</v>
      </c>
      <c r="M8" s="299">
        <f t="shared" si="0"/>
        <v>0</v>
      </c>
      <c r="N8" s="133">
        <f t="shared" si="5"/>
        <v>3173.6</v>
      </c>
      <c r="O8" s="133">
        <f t="shared" si="5"/>
        <v>3173.6</v>
      </c>
      <c r="P8" s="299">
        <f t="shared" si="6"/>
        <v>0</v>
      </c>
    </row>
    <row r="9" spans="1:16" s="43" customFormat="1" ht="16.5" customHeight="1" x14ac:dyDescent="0.2">
      <c r="A9" s="124" t="s">
        <v>52</v>
      </c>
      <c r="B9" s="78" t="s">
        <v>45</v>
      </c>
      <c r="C9" s="78" t="s">
        <v>72</v>
      </c>
      <c r="D9" s="78" t="s">
        <v>534</v>
      </c>
      <c r="E9" s="78"/>
      <c r="F9" s="133">
        <f t="shared" si="1"/>
        <v>3214.5</v>
      </c>
      <c r="G9" s="133">
        <f t="shared" si="1"/>
        <v>3464.5</v>
      </c>
      <c r="H9" s="299">
        <f t="shared" si="2"/>
        <v>250</v>
      </c>
      <c r="I9" s="133">
        <f t="shared" si="3"/>
        <v>3173.6</v>
      </c>
      <c r="J9" s="133">
        <f t="shared" si="3"/>
        <v>3464.5</v>
      </c>
      <c r="K9" s="299">
        <f t="shared" si="4"/>
        <v>0</v>
      </c>
      <c r="L9" s="133">
        <f t="shared" si="3"/>
        <v>3173.6</v>
      </c>
      <c r="M9" s="299">
        <f t="shared" si="0"/>
        <v>0</v>
      </c>
      <c r="N9" s="133">
        <f t="shared" si="5"/>
        <v>3173.6</v>
      </c>
      <c r="O9" s="133">
        <f t="shared" si="5"/>
        <v>3173.6</v>
      </c>
      <c r="P9" s="299">
        <f t="shared" si="6"/>
        <v>0</v>
      </c>
    </row>
    <row r="10" spans="1:16" s="43" customFormat="1" ht="27" customHeight="1" x14ac:dyDescent="0.2">
      <c r="A10" s="139" t="s">
        <v>533</v>
      </c>
      <c r="B10" s="78" t="s">
        <v>45</v>
      </c>
      <c r="C10" s="78" t="s">
        <v>72</v>
      </c>
      <c r="D10" s="54" t="s">
        <v>532</v>
      </c>
      <c r="E10" s="71"/>
      <c r="F10" s="133">
        <f t="shared" si="1"/>
        <v>3214.5</v>
      </c>
      <c r="G10" s="133">
        <f t="shared" si="1"/>
        <v>3464.5</v>
      </c>
      <c r="H10" s="299">
        <f t="shared" si="2"/>
        <v>250</v>
      </c>
      <c r="I10" s="133">
        <f t="shared" si="3"/>
        <v>3173.6</v>
      </c>
      <c r="J10" s="133">
        <f t="shared" si="3"/>
        <v>3464.5</v>
      </c>
      <c r="K10" s="299">
        <f t="shared" si="4"/>
        <v>0</v>
      </c>
      <c r="L10" s="133">
        <f t="shared" si="3"/>
        <v>3173.6</v>
      </c>
      <c r="M10" s="299">
        <f t="shared" si="0"/>
        <v>0</v>
      </c>
      <c r="N10" s="133">
        <f t="shared" si="5"/>
        <v>3173.6</v>
      </c>
      <c r="O10" s="133">
        <f t="shared" si="5"/>
        <v>3173.6</v>
      </c>
      <c r="P10" s="299">
        <f t="shared" si="6"/>
        <v>0</v>
      </c>
    </row>
    <row r="11" spans="1:16" s="32" customFormat="1" ht="19.5" customHeight="1" x14ac:dyDescent="0.2">
      <c r="A11" s="56" t="s">
        <v>656</v>
      </c>
      <c r="B11" s="78" t="s">
        <v>45</v>
      </c>
      <c r="C11" s="78" t="s">
        <v>72</v>
      </c>
      <c r="D11" s="54" t="s">
        <v>655</v>
      </c>
      <c r="E11" s="78"/>
      <c r="F11" s="52">
        <f t="shared" si="1"/>
        <v>3214.5</v>
      </c>
      <c r="G11" s="52">
        <f t="shared" si="1"/>
        <v>3464.5</v>
      </c>
      <c r="H11" s="299">
        <f t="shared" si="2"/>
        <v>250</v>
      </c>
      <c r="I11" s="52">
        <f t="shared" si="3"/>
        <v>3173.6</v>
      </c>
      <c r="J11" s="52">
        <f t="shared" si="3"/>
        <v>3464.5</v>
      </c>
      <c r="K11" s="299">
        <f t="shared" si="4"/>
        <v>0</v>
      </c>
      <c r="L11" s="52">
        <f t="shared" si="3"/>
        <v>3173.6</v>
      </c>
      <c r="M11" s="299">
        <f t="shared" si="0"/>
        <v>0</v>
      </c>
      <c r="N11" s="52">
        <f t="shared" si="5"/>
        <v>3173.6</v>
      </c>
      <c r="O11" s="52">
        <f t="shared" si="5"/>
        <v>3173.6</v>
      </c>
      <c r="P11" s="299">
        <f t="shared" si="6"/>
        <v>0</v>
      </c>
    </row>
    <row r="12" spans="1:16" s="32" customFormat="1" ht="27" customHeight="1" x14ac:dyDescent="0.2">
      <c r="A12" s="131" t="s">
        <v>84</v>
      </c>
      <c r="B12" s="78" t="s">
        <v>45</v>
      </c>
      <c r="C12" s="78" t="s">
        <v>72</v>
      </c>
      <c r="D12" s="54" t="s">
        <v>654</v>
      </c>
      <c r="E12" s="78" t="s">
        <v>83</v>
      </c>
      <c r="F12" s="52">
        <f>3114.5+100</f>
        <v>3214.5</v>
      </c>
      <c r="G12" s="52">
        <f>3214.5+250</f>
        <v>3464.5</v>
      </c>
      <c r="H12" s="299">
        <f t="shared" si="2"/>
        <v>250</v>
      </c>
      <c r="I12" s="52">
        <f>3114.5+59.1</f>
        <v>3173.6</v>
      </c>
      <c r="J12" s="52">
        <f>3214.5+250</f>
        <v>3464.5</v>
      </c>
      <c r="K12" s="299">
        <f t="shared" si="4"/>
        <v>0</v>
      </c>
      <c r="L12" s="52">
        <f>3114.5+59.1</f>
        <v>3173.6</v>
      </c>
      <c r="M12" s="299">
        <f t="shared" si="0"/>
        <v>0</v>
      </c>
      <c r="N12" s="52">
        <f>3114.5+59.1</f>
        <v>3173.6</v>
      </c>
      <c r="O12" s="52">
        <f>3114.5+59.1</f>
        <v>3173.6</v>
      </c>
      <c r="P12" s="299">
        <f t="shared" si="6"/>
        <v>0</v>
      </c>
    </row>
    <row r="13" spans="1:16" s="43" customFormat="1" ht="37.5" customHeight="1" x14ac:dyDescent="0.2">
      <c r="A13" s="90" t="s">
        <v>653</v>
      </c>
      <c r="B13" s="71" t="s">
        <v>45</v>
      </c>
      <c r="C13" s="71" t="s">
        <v>111</v>
      </c>
      <c r="D13" s="71"/>
      <c r="E13" s="71"/>
      <c r="F13" s="132">
        <f>F14</f>
        <v>1062.5</v>
      </c>
      <c r="G13" s="132">
        <f>G14</f>
        <v>1062.5</v>
      </c>
      <c r="H13" s="299">
        <f t="shared" si="2"/>
        <v>0</v>
      </c>
      <c r="I13" s="132">
        <f>I14</f>
        <v>1342.6</v>
      </c>
      <c r="J13" s="132">
        <f>J14</f>
        <v>839.4</v>
      </c>
      <c r="K13" s="299">
        <f t="shared" si="4"/>
        <v>-223.10000000000002</v>
      </c>
      <c r="L13" s="132">
        <f>L14</f>
        <v>1342.6</v>
      </c>
      <c r="M13" s="299">
        <f t="shared" si="0"/>
        <v>0</v>
      </c>
      <c r="N13" s="132">
        <f>N14</f>
        <v>1342.6</v>
      </c>
      <c r="O13" s="132">
        <f>O14</f>
        <v>1342.6</v>
      </c>
      <c r="P13" s="299">
        <f t="shared" si="6"/>
        <v>0</v>
      </c>
    </row>
    <row r="14" spans="1:16" s="32" customFormat="1" ht="26.25" customHeight="1" x14ac:dyDescent="0.2">
      <c r="A14" s="150" t="s">
        <v>652</v>
      </c>
      <c r="B14" s="78" t="s">
        <v>45</v>
      </c>
      <c r="C14" s="78" t="s">
        <v>111</v>
      </c>
      <c r="D14" s="78" t="s">
        <v>651</v>
      </c>
      <c r="E14" s="78"/>
      <c r="F14" s="52">
        <f>F15</f>
        <v>1062.5</v>
      </c>
      <c r="G14" s="52">
        <f>G15</f>
        <v>1062.5</v>
      </c>
      <c r="H14" s="299">
        <f t="shared" si="2"/>
        <v>0</v>
      </c>
      <c r="I14" s="52">
        <f>I15</f>
        <v>1342.6</v>
      </c>
      <c r="J14" s="52">
        <f>J15</f>
        <v>839.4</v>
      </c>
      <c r="K14" s="299">
        <f t="shared" si="4"/>
        <v>-223.10000000000002</v>
      </c>
      <c r="L14" s="52">
        <f>L15</f>
        <v>1342.6</v>
      </c>
      <c r="M14" s="299">
        <f t="shared" si="0"/>
        <v>0</v>
      </c>
      <c r="N14" s="52">
        <f>N15</f>
        <v>1342.6</v>
      </c>
      <c r="O14" s="52">
        <f>O15</f>
        <v>1342.6</v>
      </c>
      <c r="P14" s="299">
        <f t="shared" si="6"/>
        <v>0</v>
      </c>
    </row>
    <row r="15" spans="1:16" s="32" customFormat="1" ht="17.25" customHeight="1" x14ac:dyDescent="0.2">
      <c r="A15" s="69" t="s">
        <v>414</v>
      </c>
      <c r="B15" s="78" t="s">
        <v>45</v>
      </c>
      <c r="C15" s="78" t="s">
        <v>111</v>
      </c>
      <c r="D15" s="78" t="s">
        <v>650</v>
      </c>
      <c r="E15" s="78"/>
      <c r="F15" s="52">
        <f>F16+F17</f>
        <v>1062.5</v>
      </c>
      <c r="G15" s="52">
        <f>G16+G17</f>
        <v>1062.5</v>
      </c>
      <c r="H15" s="299">
        <f t="shared" si="2"/>
        <v>0</v>
      </c>
      <c r="I15" s="52">
        <f>I16+I17</f>
        <v>1342.6</v>
      </c>
      <c r="J15" s="52">
        <f>J16+J17</f>
        <v>839.4</v>
      </c>
      <c r="K15" s="299">
        <f t="shared" si="4"/>
        <v>-223.10000000000002</v>
      </c>
      <c r="L15" s="52">
        <f>L16+L17</f>
        <v>1342.6</v>
      </c>
      <c r="M15" s="299">
        <f t="shared" si="0"/>
        <v>0</v>
      </c>
      <c r="N15" s="52">
        <f>N16+N17</f>
        <v>1342.6</v>
      </c>
      <c r="O15" s="52">
        <f>O16+O17</f>
        <v>1342.6</v>
      </c>
      <c r="P15" s="299">
        <f t="shared" si="6"/>
        <v>0</v>
      </c>
    </row>
    <row r="16" spans="1:16" s="32" customFormat="1" ht="23.25" customHeight="1" x14ac:dyDescent="0.2">
      <c r="A16" s="130" t="s">
        <v>84</v>
      </c>
      <c r="B16" s="78" t="s">
        <v>45</v>
      </c>
      <c r="C16" s="78" t="s">
        <v>111</v>
      </c>
      <c r="D16" s="78" t="s">
        <v>650</v>
      </c>
      <c r="E16" s="78" t="s">
        <v>83</v>
      </c>
      <c r="F16" s="52">
        <f>288.8+8.7</f>
        <v>297.5</v>
      </c>
      <c r="G16" s="52">
        <f>297.5</f>
        <v>297.5</v>
      </c>
      <c r="H16" s="299">
        <f t="shared" si="2"/>
        <v>0</v>
      </c>
      <c r="I16" s="52">
        <v>577.6</v>
      </c>
      <c r="J16" s="52">
        <f>297.5-223.1-74.4</f>
        <v>0</v>
      </c>
      <c r="K16" s="299">
        <f t="shared" si="4"/>
        <v>-297.5</v>
      </c>
      <c r="L16" s="52">
        <v>577.6</v>
      </c>
      <c r="M16" s="299">
        <f t="shared" si="0"/>
        <v>0</v>
      </c>
      <c r="N16" s="52">
        <v>577.6</v>
      </c>
      <c r="O16" s="52">
        <v>577.6</v>
      </c>
      <c r="P16" s="299">
        <f t="shared" si="6"/>
        <v>0</v>
      </c>
    </row>
    <row r="17" spans="1:16" s="32" customFormat="1" ht="25.5" customHeight="1" x14ac:dyDescent="0.2">
      <c r="A17" s="69" t="s">
        <v>73</v>
      </c>
      <c r="B17" s="78" t="s">
        <v>45</v>
      </c>
      <c r="C17" s="78" t="s">
        <v>111</v>
      </c>
      <c r="D17" s="78" t="s">
        <v>650</v>
      </c>
      <c r="E17" s="78" t="s">
        <v>70</v>
      </c>
      <c r="F17" s="52">
        <v>765</v>
      </c>
      <c r="G17" s="52">
        <f>765</f>
        <v>765</v>
      </c>
      <c r="H17" s="299">
        <f t="shared" si="2"/>
        <v>0</v>
      </c>
      <c r="I17" s="52">
        <v>765</v>
      </c>
      <c r="J17" s="52">
        <f>765+74.4</f>
        <v>839.4</v>
      </c>
      <c r="K17" s="299">
        <f t="shared" si="4"/>
        <v>74.399999999999977</v>
      </c>
      <c r="L17" s="52">
        <v>765</v>
      </c>
      <c r="M17" s="299">
        <f t="shared" si="0"/>
        <v>0</v>
      </c>
      <c r="N17" s="52">
        <v>765</v>
      </c>
      <c r="O17" s="52">
        <v>765</v>
      </c>
      <c r="P17" s="299">
        <f t="shared" si="6"/>
        <v>0</v>
      </c>
    </row>
    <row r="18" spans="1:16" s="43" customFormat="1" ht="39.75" customHeight="1" x14ac:dyDescent="0.2">
      <c r="A18" s="50" t="s">
        <v>649</v>
      </c>
      <c r="B18" s="71" t="s">
        <v>45</v>
      </c>
      <c r="C18" s="71" t="s">
        <v>108</v>
      </c>
      <c r="D18" s="71"/>
      <c r="E18" s="71"/>
      <c r="F18" s="132">
        <f>F19+F25+F44+F50</f>
        <v>55163.3</v>
      </c>
      <c r="G18" s="132">
        <f>G19+G25+G44+G50</f>
        <v>50823.600000000006</v>
      </c>
      <c r="H18" s="299">
        <f t="shared" si="2"/>
        <v>-4339.6999999999971</v>
      </c>
      <c r="I18" s="132">
        <f>I19+I25+I44+I50</f>
        <v>54342.9</v>
      </c>
      <c r="J18" s="132">
        <f>J19+J25+J44+J50</f>
        <v>50773</v>
      </c>
      <c r="K18" s="299">
        <f t="shared" si="4"/>
        <v>-50.600000000005821</v>
      </c>
      <c r="L18" s="132">
        <f>L19+L25+L44+L50</f>
        <v>54342.9</v>
      </c>
      <c r="M18" s="299">
        <f t="shared" si="0"/>
        <v>0</v>
      </c>
      <c r="N18" s="132">
        <f>N19+N25+N44+N50</f>
        <v>53378.9</v>
      </c>
      <c r="O18" s="132">
        <f>O19+O25+O44+O50</f>
        <v>53378.9</v>
      </c>
      <c r="P18" s="299">
        <f t="shared" si="6"/>
        <v>0</v>
      </c>
    </row>
    <row r="19" spans="1:16" s="32" customFormat="1" ht="29.25" customHeight="1" x14ac:dyDescent="0.2">
      <c r="A19" s="79" t="s">
        <v>147</v>
      </c>
      <c r="B19" s="78" t="s">
        <v>45</v>
      </c>
      <c r="C19" s="78" t="s">
        <v>108</v>
      </c>
      <c r="D19" s="53" t="s">
        <v>105</v>
      </c>
      <c r="E19" s="78"/>
      <c r="F19" s="52">
        <f t="shared" ref="F19:G21" si="7">F20</f>
        <v>1036.0999999999999</v>
      </c>
      <c r="G19" s="52">
        <f t="shared" si="7"/>
        <v>1036.0999999999999</v>
      </c>
      <c r="H19" s="299">
        <f t="shared" si="2"/>
        <v>0</v>
      </c>
      <c r="I19" s="52">
        <f t="shared" ref="I19:L21" si="8">I20</f>
        <v>1036.0999999999999</v>
      </c>
      <c r="J19" s="52">
        <f t="shared" si="8"/>
        <v>1036.0999999999999</v>
      </c>
      <c r="K19" s="299">
        <f t="shared" si="4"/>
        <v>0</v>
      </c>
      <c r="L19" s="52">
        <f t="shared" si="8"/>
        <v>1036.0999999999999</v>
      </c>
      <c r="M19" s="299">
        <f t="shared" si="0"/>
        <v>0</v>
      </c>
      <c r="N19" s="52">
        <f t="shared" ref="N19:O21" si="9">N20</f>
        <v>1036.0999999999999</v>
      </c>
      <c r="O19" s="52">
        <f t="shared" si="9"/>
        <v>1036.0999999999999</v>
      </c>
      <c r="P19" s="299">
        <f t="shared" si="6"/>
        <v>0</v>
      </c>
    </row>
    <row r="20" spans="1:16" s="32" customFormat="1" ht="16.5" customHeight="1" x14ac:dyDescent="0.2">
      <c r="A20" s="77" t="s">
        <v>52</v>
      </c>
      <c r="B20" s="78" t="s">
        <v>45</v>
      </c>
      <c r="C20" s="78" t="s">
        <v>108</v>
      </c>
      <c r="D20" s="53" t="s">
        <v>104</v>
      </c>
      <c r="E20" s="78"/>
      <c r="F20" s="52">
        <f t="shared" si="7"/>
        <v>1036.0999999999999</v>
      </c>
      <c r="G20" s="52">
        <f t="shared" si="7"/>
        <v>1036.0999999999999</v>
      </c>
      <c r="H20" s="299">
        <f t="shared" si="2"/>
        <v>0</v>
      </c>
      <c r="I20" s="52">
        <f t="shared" si="8"/>
        <v>1036.0999999999999</v>
      </c>
      <c r="J20" s="52">
        <f t="shared" si="8"/>
        <v>1036.0999999999999</v>
      </c>
      <c r="K20" s="299">
        <f t="shared" si="4"/>
        <v>0</v>
      </c>
      <c r="L20" s="52">
        <f t="shared" si="8"/>
        <v>1036.0999999999999</v>
      </c>
      <c r="M20" s="299">
        <f t="shared" si="0"/>
        <v>0</v>
      </c>
      <c r="N20" s="52">
        <f t="shared" si="9"/>
        <v>1036.0999999999999</v>
      </c>
      <c r="O20" s="52">
        <f t="shared" si="9"/>
        <v>1036.0999999999999</v>
      </c>
      <c r="P20" s="299">
        <f t="shared" si="6"/>
        <v>0</v>
      </c>
    </row>
    <row r="21" spans="1:16" s="32" customFormat="1" ht="38.25" customHeight="1" x14ac:dyDescent="0.2">
      <c r="A21" s="139" t="s">
        <v>648</v>
      </c>
      <c r="B21" s="78" t="s">
        <v>45</v>
      </c>
      <c r="C21" s="78" t="s">
        <v>108</v>
      </c>
      <c r="D21" s="74" t="s">
        <v>647</v>
      </c>
      <c r="E21" s="78"/>
      <c r="F21" s="52">
        <f t="shared" si="7"/>
        <v>1036.0999999999999</v>
      </c>
      <c r="G21" s="52">
        <f t="shared" si="7"/>
        <v>1036.0999999999999</v>
      </c>
      <c r="H21" s="299">
        <f t="shared" si="2"/>
        <v>0</v>
      </c>
      <c r="I21" s="52">
        <f t="shared" si="8"/>
        <v>1036.0999999999999</v>
      </c>
      <c r="J21" s="52">
        <f t="shared" si="8"/>
        <v>1036.0999999999999</v>
      </c>
      <c r="K21" s="299">
        <f t="shared" si="4"/>
        <v>0</v>
      </c>
      <c r="L21" s="52">
        <f t="shared" si="8"/>
        <v>1036.0999999999999</v>
      </c>
      <c r="M21" s="299">
        <f t="shared" si="0"/>
        <v>0</v>
      </c>
      <c r="N21" s="52">
        <f t="shared" si="9"/>
        <v>1036.0999999999999</v>
      </c>
      <c r="O21" s="52">
        <f t="shared" si="9"/>
        <v>1036.0999999999999</v>
      </c>
      <c r="P21" s="299">
        <f t="shared" si="6"/>
        <v>0</v>
      </c>
    </row>
    <row r="22" spans="1:16" s="32" customFormat="1" ht="103.5" customHeight="1" x14ac:dyDescent="0.2">
      <c r="A22" s="131" t="s">
        <v>646</v>
      </c>
      <c r="B22" s="78" t="s">
        <v>45</v>
      </c>
      <c r="C22" s="78" t="s">
        <v>108</v>
      </c>
      <c r="D22" s="74" t="s">
        <v>645</v>
      </c>
      <c r="E22" s="78"/>
      <c r="F22" s="52">
        <f>F24+F23</f>
        <v>1036.0999999999999</v>
      </c>
      <c r="G22" s="52">
        <f>G24+G23</f>
        <v>1036.0999999999999</v>
      </c>
      <c r="H22" s="299">
        <f t="shared" si="2"/>
        <v>0</v>
      </c>
      <c r="I22" s="52">
        <f>I24+I23</f>
        <v>1036.0999999999999</v>
      </c>
      <c r="J22" s="52">
        <f>J24+J23</f>
        <v>1036.0999999999999</v>
      </c>
      <c r="K22" s="299">
        <f t="shared" si="4"/>
        <v>0</v>
      </c>
      <c r="L22" s="52">
        <f>L24+L23</f>
        <v>1036.0999999999999</v>
      </c>
      <c r="M22" s="299">
        <f t="shared" si="0"/>
        <v>0</v>
      </c>
      <c r="N22" s="52">
        <f>N24+N23</f>
        <v>1036.0999999999999</v>
      </c>
      <c r="O22" s="52">
        <f>O24+O23</f>
        <v>1036.0999999999999</v>
      </c>
      <c r="P22" s="299">
        <f t="shared" si="6"/>
        <v>0</v>
      </c>
    </row>
    <row r="23" spans="1:16" s="32" customFormat="1" ht="27.75" customHeight="1" x14ac:dyDescent="0.2">
      <c r="A23" s="84" t="s">
        <v>84</v>
      </c>
      <c r="B23" s="78" t="s">
        <v>45</v>
      </c>
      <c r="C23" s="78" t="s">
        <v>108</v>
      </c>
      <c r="D23" s="74" t="s">
        <v>645</v>
      </c>
      <c r="E23" s="78" t="s">
        <v>83</v>
      </c>
      <c r="F23" s="52">
        <v>740.1</v>
      </c>
      <c r="G23" s="52">
        <v>740.1</v>
      </c>
      <c r="H23" s="299">
        <f t="shared" si="2"/>
        <v>0</v>
      </c>
      <c r="I23" s="52">
        <v>740.1</v>
      </c>
      <c r="J23" s="52">
        <v>740.1</v>
      </c>
      <c r="K23" s="299">
        <f t="shared" si="4"/>
        <v>0</v>
      </c>
      <c r="L23" s="52">
        <v>740.1</v>
      </c>
      <c r="M23" s="299">
        <f t="shared" si="0"/>
        <v>0</v>
      </c>
      <c r="N23" s="52">
        <v>740.1</v>
      </c>
      <c r="O23" s="52">
        <v>740.1</v>
      </c>
      <c r="P23" s="299">
        <f t="shared" si="6"/>
        <v>0</v>
      </c>
    </row>
    <row r="24" spans="1:16" s="32" customFormat="1" ht="24.75" customHeight="1" x14ac:dyDescent="0.2">
      <c r="A24" s="84" t="s">
        <v>73</v>
      </c>
      <c r="B24" s="78" t="s">
        <v>45</v>
      </c>
      <c r="C24" s="78" t="s">
        <v>108</v>
      </c>
      <c r="D24" s="74" t="s">
        <v>645</v>
      </c>
      <c r="E24" s="78" t="s">
        <v>70</v>
      </c>
      <c r="F24" s="52">
        <v>296</v>
      </c>
      <c r="G24" s="52">
        <v>296</v>
      </c>
      <c r="H24" s="299">
        <f t="shared" si="2"/>
        <v>0</v>
      </c>
      <c r="I24" s="52">
        <v>296</v>
      </c>
      <c r="J24" s="52">
        <v>296</v>
      </c>
      <c r="K24" s="299">
        <f t="shared" si="4"/>
        <v>0</v>
      </c>
      <c r="L24" s="52">
        <v>296</v>
      </c>
      <c r="M24" s="299">
        <f t="shared" si="0"/>
        <v>0</v>
      </c>
      <c r="N24" s="52">
        <v>296</v>
      </c>
      <c r="O24" s="52">
        <v>296</v>
      </c>
      <c r="P24" s="299">
        <f t="shared" si="6"/>
        <v>0</v>
      </c>
    </row>
    <row r="25" spans="1:16" s="32" customFormat="1" ht="24.75" customHeight="1" x14ac:dyDescent="0.2">
      <c r="A25" s="56" t="s">
        <v>536</v>
      </c>
      <c r="B25" s="78" t="s">
        <v>45</v>
      </c>
      <c r="C25" s="78" t="s">
        <v>108</v>
      </c>
      <c r="D25" s="74" t="s">
        <v>535</v>
      </c>
      <c r="E25" s="78"/>
      <c r="F25" s="52">
        <f>F26+F40</f>
        <v>52932.200000000004</v>
      </c>
      <c r="G25" s="52">
        <f>G26+G40</f>
        <v>48592.500000000007</v>
      </c>
      <c r="H25" s="299">
        <f t="shared" si="2"/>
        <v>-4339.6999999999971</v>
      </c>
      <c r="I25" s="52">
        <f>I26+I40</f>
        <v>52114.3</v>
      </c>
      <c r="J25" s="52">
        <f>J26+J40</f>
        <v>48541.9</v>
      </c>
      <c r="K25" s="299">
        <f t="shared" si="4"/>
        <v>-50.600000000005821</v>
      </c>
      <c r="L25" s="52">
        <f>L26+L40</f>
        <v>52114.3</v>
      </c>
      <c r="M25" s="299">
        <f t="shared" si="0"/>
        <v>0</v>
      </c>
      <c r="N25" s="52">
        <f>N26+N40</f>
        <v>51150.3</v>
      </c>
      <c r="O25" s="52">
        <f>O26+O40</f>
        <v>51150.3</v>
      </c>
      <c r="P25" s="299">
        <f t="shared" si="6"/>
        <v>0</v>
      </c>
    </row>
    <row r="26" spans="1:16" s="32" customFormat="1" ht="17.25" customHeight="1" x14ac:dyDescent="0.2">
      <c r="A26" s="124" t="s">
        <v>52</v>
      </c>
      <c r="B26" s="78" t="s">
        <v>45</v>
      </c>
      <c r="C26" s="78" t="s">
        <v>108</v>
      </c>
      <c r="D26" s="54" t="s">
        <v>534</v>
      </c>
      <c r="E26" s="78"/>
      <c r="F26" s="52">
        <f>F27+F37</f>
        <v>51621.200000000004</v>
      </c>
      <c r="G26" s="52">
        <f>G27+G37</f>
        <v>47281.500000000007</v>
      </c>
      <c r="H26" s="299">
        <f t="shared" si="2"/>
        <v>-4339.6999999999971</v>
      </c>
      <c r="I26" s="52">
        <f>I27+I37</f>
        <v>51314.3</v>
      </c>
      <c r="J26" s="52">
        <f>J27+J37</f>
        <v>47230.9</v>
      </c>
      <c r="K26" s="299">
        <f t="shared" si="4"/>
        <v>-50.600000000005821</v>
      </c>
      <c r="L26" s="52">
        <f>L27+L37</f>
        <v>51314.3</v>
      </c>
      <c r="M26" s="299">
        <f t="shared" si="0"/>
        <v>0</v>
      </c>
      <c r="N26" s="52">
        <f>N27+N37</f>
        <v>50350.3</v>
      </c>
      <c r="O26" s="52">
        <f>O27+O37</f>
        <v>50350.3</v>
      </c>
      <c r="P26" s="299">
        <f t="shared" si="6"/>
        <v>0</v>
      </c>
    </row>
    <row r="27" spans="1:16" s="32" customFormat="1" ht="25.5" x14ac:dyDescent="0.2">
      <c r="A27" s="139" t="s">
        <v>533</v>
      </c>
      <c r="B27" s="78" t="s">
        <v>45</v>
      </c>
      <c r="C27" s="78" t="s">
        <v>108</v>
      </c>
      <c r="D27" s="74" t="s">
        <v>532</v>
      </c>
      <c r="E27" s="78"/>
      <c r="F27" s="52">
        <f>F28+F34+F32</f>
        <v>50320.600000000006</v>
      </c>
      <c r="G27" s="52">
        <f>G28+G34+G32</f>
        <v>45980.900000000009</v>
      </c>
      <c r="H27" s="299">
        <f t="shared" si="2"/>
        <v>-4339.6999999999971</v>
      </c>
      <c r="I27" s="52">
        <f>I28+I34+I32</f>
        <v>50615.600000000006</v>
      </c>
      <c r="J27" s="52">
        <f>J28+J34+J32</f>
        <v>45930.3</v>
      </c>
      <c r="K27" s="299">
        <f t="shared" si="4"/>
        <v>-50.600000000005821</v>
      </c>
      <c r="L27" s="52">
        <f>L28+L34+L32</f>
        <v>50615.600000000006</v>
      </c>
      <c r="M27" s="299">
        <f t="shared" si="0"/>
        <v>0</v>
      </c>
      <c r="N27" s="52">
        <f>N28+N34+N32</f>
        <v>49651.600000000006</v>
      </c>
      <c r="O27" s="52">
        <f>O28+O34+O32</f>
        <v>49651.600000000006</v>
      </c>
      <c r="P27" s="299">
        <f t="shared" si="6"/>
        <v>0</v>
      </c>
    </row>
    <row r="28" spans="1:16" s="32" customFormat="1" ht="16.5" customHeight="1" x14ac:dyDescent="0.2">
      <c r="A28" s="120" t="s">
        <v>414</v>
      </c>
      <c r="B28" s="78" t="s">
        <v>45</v>
      </c>
      <c r="C28" s="78" t="s">
        <v>108</v>
      </c>
      <c r="D28" s="54" t="s">
        <v>644</v>
      </c>
      <c r="E28" s="78"/>
      <c r="F28" s="52">
        <f>F29+F30+F31</f>
        <v>21383.899999999998</v>
      </c>
      <c r="G28" s="52">
        <f>G29+G30+G31</f>
        <v>17044.2</v>
      </c>
      <c r="H28" s="299">
        <f t="shared" si="2"/>
        <v>-4339.6999999999971</v>
      </c>
      <c r="I28" s="52">
        <f>I29+I30+I31</f>
        <v>21678.899999999998</v>
      </c>
      <c r="J28" s="52">
        <f>J29+J30+J31</f>
        <v>16993.599999999999</v>
      </c>
      <c r="K28" s="299">
        <f t="shared" si="4"/>
        <v>-50.600000000002183</v>
      </c>
      <c r="L28" s="52">
        <f>L29+L30+L31</f>
        <v>21678.899999999998</v>
      </c>
      <c r="M28" s="299">
        <f t="shared" si="0"/>
        <v>0</v>
      </c>
      <c r="N28" s="52">
        <f>N29+N30+N31</f>
        <v>20714.899999999998</v>
      </c>
      <c r="O28" s="52">
        <f>O29+O30+O31</f>
        <v>20714.899999999998</v>
      </c>
      <c r="P28" s="299">
        <f t="shared" si="6"/>
        <v>0</v>
      </c>
    </row>
    <row r="29" spans="1:16" s="32" customFormat="1" ht="24.75" customHeight="1" x14ac:dyDescent="0.2">
      <c r="A29" s="56" t="s">
        <v>84</v>
      </c>
      <c r="B29" s="78" t="s">
        <v>45</v>
      </c>
      <c r="C29" s="78" t="s">
        <v>108</v>
      </c>
      <c r="D29" s="54" t="s">
        <v>644</v>
      </c>
      <c r="E29" s="78" t="s">
        <v>83</v>
      </c>
      <c r="F29" s="52">
        <f>10411.5+181+3997.8+13.8-417.6-740.1-485.7-452.2-676.1-229.3-19.4</f>
        <v>11583.699999999997</v>
      </c>
      <c r="G29" s="52">
        <f>11583.7-4261.6-250-600</f>
        <v>6472.1</v>
      </c>
      <c r="H29" s="299">
        <f t="shared" si="2"/>
        <v>-5111.5999999999967</v>
      </c>
      <c r="I29" s="52">
        <f>10411.5+181+3997.8+13.8-740.1-485.7-495.5-676.1-227.6</f>
        <v>11979.099999999997</v>
      </c>
      <c r="J29" s="52">
        <f>6472.1-213.7+223.1-168-200</f>
        <v>6113.5000000000009</v>
      </c>
      <c r="K29" s="299">
        <f t="shared" si="4"/>
        <v>-358.59999999999945</v>
      </c>
      <c r="L29" s="52">
        <f>10411.5+181+3997.8+13.8-740.1-485.7-495.5-676.1-227.6</f>
        <v>11979.099999999997</v>
      </c>
      <c r="M29" s="299">
        <f t="shared" si="0"/>
        <v>0</v>
      </c>
      <c r="N29" s="65">
        <f>10411.5+181+3997.8+13.8-740.1-485.7-513.5-676.1-227.6</f>
        <v>11961.099999999997</v>
      </c>
      <c r="O29" s="65">
        <f>10411.5+181+3997.8+13.8-740.1-485.7-513.5-676.1-227.6</f>
        <v>11961.099999999997</v>
      </c>
      <c r="P29" s="299">
        <f t="shared" si="6"/>
        <v>0</v>
      </c>
    </row>
    <row r="30" spans="1:16" s="32" customFormat="1" ht="24.75" customHeight="1" x14ac:dyDescent="0.2">
      <c r="A30" s="56" t="s">
        <v>73</v>
      </c>
      <c r="B30" s="78" t="s">
        <v>45</v>
      </c>
      <c r="C30" s="78" t="s">
        <v>108</v>
      </c>
      <c r="D30" s="54" t="s">
        <v>644</v>
      </c>
      <c r="E30" s="78" t="s">
        <v>70</v>
      </c>
      <c r="F30" s="52">
        <f>5755+3730+19.4</f>
        <v>9504.4</v>
      </c>
      <c r="G30" s="52">
        <f>9504.4+100+400+200+71.9</f>
        <v>10276.299999999999</v>
      </c>
      <c r="H30" s="299">
        <f t="shared" si="2"/>
        <v>771.89999999999964</v>
      </c>
      <c r="I30" s="52">
        <f>5755+3649</f>
        <v>9404</v>
      </c>
      <c r="J30" s="52">
        <f>10276.3+140+168</f>
        <v>10584.3</v>
      </c>
      <c r="K30" s="299">
        <f t="shared" si="4"/>
        <v>308</v>
      </c>
      <c r="L30" s="52">
        <f>5755+3649</f>
        <v>9404</v>
      </c>
      <c r="M30" s="299">
        <f t="shared" si="0"/>
        <v>0</v>
      </c>
      <c r="N30" s="52">
        <f>4809+3649</f>
        <v>8458</v>
      </c>
      <c r="O30" s="52">
        <f>4809+3649</f>
        <v>8458</v>
      </c>
      <c r="P30" s="299">
        <f t="shared" si="6"/>
        <v>0</v>
      </c>
    </row>
    <row r="31" spans="1:16" s="32" customFormat="1" ht="16.5" customHeight="1" x14ac:dyDescent="0.2">
      <c r="A31" s="120" t="s">
        <v>413</v>
      </c>
      <c r="B31" s="78" t="s">
        <v>45</v>
      </c>
      <c r="C31" s="78" t="s">
        <v>108</v>
      </c>
      <c r="D31" s="54" t="s">
        <v>644</v>
      </c>
      <c r="E31" s="78" t="s">
        <v>320</v>
      </c>
      <c r="F31" s="52">
        <f>295.8</f>
        <v>295.8</v>
      </c>
      <c r="G31" s="52">
        <f>295.8</f>
        <v>295.8</v>
      </c>
      <c r="H31" s="299">
        <f t="shared" si="2"/>
        <v>0</v>
      </c>
      <c r="I31" s="133">
        <f>295.8</f>
        <v>295.8</v>
      </c>
      <c r="J31" s="52">
        <f>295.8</f>
        <v>295.8</v>
      </c>
      <c r="K31" s="299">
        <f t="shared" si="4"/>
        <v>0</v>
      </c>
      <c r="L31" s="133">
        <f>295.8</f>
        <v>295.8</v>
      </c>
      <c r="M31" s="299">
        <f t="shared" si="0"/>
        <v>0</v>
      </c>
      <c r="N31" s="133">
        <f>295.8</f>
        <v>295.8</v>
      </c>
      <c r="O31" s="133">
        <f>295.8</f>
        <v>295.8</v>
      </c>
      <c r="P31" s="299">
        <f t="shared" si="6"/>
        <v>0</v>
      </c>
    </row>
    <row r="32" spans="1:16" s="32" customFormat="1" ht="30" customHeight="1" x14ac:dyDescent="0.2">
      <c r="A32" s="69" t="s">
        <v>88</v>
      </c>
      <c r="B32" s="78" t="s">
        <v>45</v>
      </c>
      <c r="C32" s="78" t="s">
        <v>108</v>
      </c>
      <c r="D32" s="54" t="s">
        <v>643</v>
      </c>
      <c r="E32" s="78"/>
      <c r="F32" s="52">
        <f>F33</f>
        <v>28451.000000000004</v>
      </c>
      <c r="G32" s="52">
        <f>G33</f>
        <v>28451.000000000004</v>
      </c>
      <c r="H32" s="299">
        <f t="shared" si="2"/>
        <v>0</v>
      </c>
      <c r="I32" s="52">
        <f>I33</f>
        <v>28451.000000000004</v>
      </c>
      <c r="J32" s="52">
        <f>J33</f>
        <v>28451.000000000004</v>
      </c>
      <c r="K32" s="299">
        <f t="shared" si="4"/>
        <v>0</v>
      </c>
      <c r="L32" s="52">
        <f>L33</f>
        <v>28451.000000000004</v>
      </c>
      <c r="M32" s="299">
        <f t="shared" si="0"/>
        <v>0</v>
      </c>
      <c r="N32" s="52">
        <f>N33</f>
        <v>28451.000000000004</v>
      </c>
      <c r="O32" s="52">
        <f>O33</f>
        <v>28451.000000000004</v>
      </c>
      <c r="P32" s="299">
        <f t="shared" si="6"/>
        <v>0</v>
      </c>
    </row>
    <row r="33" spans="1:16" s="32" customFormat="1" ht="27.75" customHeight="1" x14ac:dyDescent="0.2">
      <c r="A33" s="69" t="s">
        <v>84</v>
      </c>
      <c r="B33" s="78" t="s">
        <v>45</v>
      </c>
      <c r="C33" s="78" t="s">
        <v>108</v>
      </c>
      <c r="D33" s="54" t="s">
        <v>643</v>
      </c>
      <c r="E33" s="78" t="s">
        <v>83</v>
      </c>
      <c r="F33" s="52">
        <f>879.7+25634.9+1936.4</f>
        <v>28451.000000000004</v>
      </c>
      <c r="G33" s="52">
        <f>879.7+25634.9+1936.4</f>
        <v>28451.000000000004</v>
      </c>
      <c r="H33" s="299">
        <f t="shared" si="2"/>
        <v>0</v>
      </c>
      <c r="I33" s="52">
        <f>879.7+25634.9+1936.4</f>
        <v>28451.000000000004</v>
      </c>
      <c r="J33" s="52">
        <f>879.7+25634.9+1936.4</f>
        <v>28451.000000000004</v>
      </c>
      <c r="K33" s="299">
        <f t="shared" si="4"/>
        <v>0</v>
      </c>
      <c r="L33" s="52">
        <f>879.7+25634.9+1936.4</f>
        <v>28451.000000000004</v>
      </c>
      <c r="M33" s="299">
        <f t="shared" si="0"/>
        <v>0</v>
      </c>
      <c r="N33" s="52">
        <f>879.7+25634.9+1936.4</f>
        <v>28451.000000000004</v>
      </c>
      <c r="O33" s="52">
        <f>879.7+25634.9+1936.4</f>
        <v>28451.000000000004</v>
      </c>
      <c r="P33" s="299">
        <f t="shared" si="6"/>
        <v>0</v>
      </c>
    </row>
    <row r="34" spans="1:16" s="32" customFormat="1" ht="69" customHeight="1" x14ac:dyDescent="0.2">
      <c r="A34" s="56" t="s">
        <v>642</v>
      </c>
      <c r="B34" s="78" t="s">
        <v>45</v>
      </c>
      <c r="C34" s="78" t="s">
        <v>108</v>
      </c>
      <c r="D34" s="54" t="s">
        <v>641</v>
      </c>
      <c r="E34" s="78"/>
      <c r="F34" s="52">
        <f>F35+F36</f>
        <v>485.7</v>
      </c>
      <c r="G34" s="52">
        <f t="shared" ref="G34:O34" si="10">G35+G36</f>
        <v>485.7</v>
      </c>
      <c r="H34" s="299">
        <f t="shared" si="2"/>
        <v>0</v>
      </c>
      <c r="I34" s="52">
        <f t="shared" si="10"/>
        <v>485.7</v>
      </c>
      <c r="J34" s="52">
        <f t="shared" si="10"/>
        <v>485.7</v>
      </c>
      <c r="K34" s="299">
        <f t="shared" si="4"/>
        <v>0</v>
      </c>
      <c r="L34" s="52">
        <f t="shared" si="10"/>
        <v>485.7</v>
      </c>
      <c r="M34" s="299">
        <f t="shared" si="0"/>
        <v>0</v>
      </c>
      <c r="N34" s="52">
        <f t="shared" si="10"/>
        <v>485.7</v>
      </c>
      <c r="O34" s="52">
        <f t="shared" si="10"/>
        <v>485.7</v>
      </c>
      <c r="P34" s="299">
        <f t="shared" si="6"/>
        <v>0</v>
      </c>
    </row>
    <row r="35" spans="1:16" s="32" customFormat="1" ht="24.75" customHeight="1" x14ac:dyDescent="0.2">
      <c r="A35" s="84" t="s">
        <v>84</v>
      </c>
      <c r="B35" s="78" t="s">
        <v>45</v>
      </c>
      <c r="C35" s="78" t="s">
        <v>108</v>
      </c>
      <c r="D35" s="54" t="s">
        <v>641</v>
      </c>
      <c r="E35" s="78" t="s">
        <v>83</v>
      </c>
      <c r="F35" s="52">
        <v>485.7</v>
      </c>
      <c r="G35" s="52">
        <f>485.7-77.5</f>
        <v>408.2</v>
      </c>
      <c r="H35" s="299">
        <f t="shared" si="2"/>
        <v>-77.5</v>
      </c>
      <c r="I35" s="52">
        <v>485.7</v>
      </c>
      <c r="J35" s="52">
        <f>485.7-77.5</f>
        <v>408.2</v>
      </c>
      <c r="K35" s="299">
        <f t="shared" si="4"/>
        <v>0</v>
      </c>
      <c r="L35" s="52">
        <v>485.7</v>
      </c>
      <c r="M35" s="299">
        <f t="shared" si="0"/>
        <v>0</v>
      </c>
      <c r="N35" s="52">
        <v>485.7</v>
      </c>
      <c r="O35" s="52">
        <v>485.7</v>
      </c>
      <c r="P35" s="299">
        <f t="shared" si="6"/>
        <v>0</v>
      </c>
    </row>
    <row r="36" spans="1:16" s="32" customFormat="1" ht="24.75" customHeight="1" x14ac:dyDescent="0.2">
      <c r="A36" s="56" t="s">
        <v>73</v>
      </c>
      <c r="B36" s="78" t="s">
        <v>45</v>
      </c>
      <c r="C36" s="78" t="s">
        <v>108</v>
      </c>
      <c r="D36" s="54" t="s">
        <v>641</v>
      </c>
      <c r="E36" s="78" t="s">
        <v>70</v>
      </c>
      <c r="F36" s="52">
        <v>0</v>
      </c>
      <c r="G36" s="52">
        <v>77.5</v>
      </c>
      <c r="H36" s="299">
        <f t="shared" si="2"/>
        <v>77.5</v>
      </c>
      <c r="I36" s="52">
        <v>0</v>
      </c>
      <c r="J36" s="52">
        <v>77.5</v>
      </c>
      <c r="K36" s="299">
        <f t="shared" si="4"/>
        <v>0</v>
      </c>
      <c r="L36" s="52">
        <v>0</v>
      </c>
      <c r="M36" s="299">
        <f t="shared" si="0"/>
        <v>0</v>
      </c>
      <c r="N36" s="52">
        <v>0</v>
      </c>
      <c r="O36" s="52">
        <v>0</v>
      </c>
      <c r="P36" s="299">
        <f t="shared" si="6"/>
        <v>0</v>
      </c>
    </row>
    <row r="37" spans="1:16" s="32" customFormat="1" ht="54" customHeight="1" x14ac:dyDescent="0.2">
      <c r="A37" s="56" t="s">
        <v>640</v>
      </c>
      <c r="B37" s="78" t="s">
        <v>45</v>
      </c>
      <c r="C37" s="78" t="s">
        <v>108</v>
      </c>
      <c r="D37" s="54" t="s">
        <v>639</v>
      </c>
      <c r="E37" s="78"/>
      <c r="F37" s="52">
        <f>F38</f>
        <v>1300.5999999999999</v>
      </c>
      <c r="G37" s="52">
        <f>G38</f>
        <v>1300.5999999999999</v>
      </c>
      <c r="H37" s="299">
        <f t="shared" si="2"/>
        <v>0</v>
      </c>
      <c r="I37" s="52">
        <f>I38</f>
        <v>698.7</v>
      </c>
      <c r="J37" s="52">
        <f>J38</f>
        <v>1300.5999999999999</v>
      </c>
      <c r="K37" s="299">
        <f t="shared" si="4"/>
        <v>0</v>
      </c>
      <c r="L37" s="52">
        <f>L38</f>
        <v>698.7</v>
      </c>
      <c r="M37" s="299">
        <f t="shared" si="0"/>
        <v>0</v>
      </c>
      <c r="N37" s="52">
        <f>N38</f>
        <v>698.7</v>
      </c>
      <c r="O37" s="52">
        <f>O38</f>
        <v>698.7</v>
      </c>
      <c r="P37" s="299">
        <f t="shared" si="6"/>
        <v>0</v>
      </c>
    </row>
    <row r="38" spans="1:16" s="32" customFormat="1" ht="18.75" customHeight="1" x14ac:dyDescent="0.2">
      <c r="A38" s="56" t="s">
        <v>638</v>
      </c>
      <c r="B38" s="78" t="s">
        <v>45</v>
      </c>
      <c r="C38" s="78" t="s">
        <v>108</v>
      </c>
      <c r="D38" s="54" t="s">
        <v>637</v>
      </c>
      <c r="E38" s="78"/>
      <c r="F38" s="52">
        <f>F39</f>
        <v>1300.5999999999999</v>
      </c>
      <c r="G38" s="52">
        <f>G39</f>
        <v>1300.5999999999999</v>
      </c>
      <c r="H38" s="299">
        <f t="shared" si="2"/>
        <v>0</v>
      </c>
      <c r="I38" s="52">
        <f>I39</f>
        <v>698.7</v>
      </c>
      <c r="J38" s="52">
        <f>J39</f>
        <v>1300.5999999999999</v>
      </c>
      <c r="K38" s="299">
        <f t="shared" si="4"/>
        <v>0</v>
      </c>
      <c r="L38" s="52">
        <f>L39</f>
        <v>698.7</v>
      </c>
      <c r="M38" s="299">
        <f t="shared" si="0"/>
        <v>0</v>
      </c>
      <c r="N38" s="52">
        <f>N39</f>
        <v>698.7</v>
      </c>
      <c r="O38" s="52">
        <f>O39</f>
        <v>698.7</v>
      </c>
      <c r="P38" s="299">
        <f t="shared" si="6"/>
        <v>0</v>
      </c>
    </row>
    <row r="39" spans="1:16" s="32" customFormat="1" ht="24.75" customHeight="1" x14ac:dyDescent="0.2">
      <c r="A39" s="56" t="s">
        <v>73</v>
      </c>
      <c r="B39" s="78" t="s">
        <v>45</v>
      </c>
      <c r="C39" s="78" t="s">
        <v>108</v>
      </c>
      <c r="D39" s="54" t="s">
        <v>637</v>
      </c>
      <c r="E39" s="78" t="s">
        <v>70</v>
      </c>
      <c r="F39" s="52">
        <v>1300.5999999999999</v>
      </c>
      <c r="G39" s="52">
        <v>1300.5999999999999</v>
      </c>
      <c r="H39" s="299">
        <f t="shared" si="2"/>
        <v>0</v>
      </c>
      <c r="I39" s="52">
        <v>698.7</v>
      </c>
      <c r="J39" s="52">
        <v>1300.5999999999999</v>
      </c>
      <c r="K39" s="299">
        <f t="shared" si="4"/>
        <v>0</v>
      </c>
      <c r="L39" s="52">
        <v>698.7</v>
      </c>
      <c r="M39" s="299">
        <f t="shared" si="0"/>
        <v>0</v>
      </c>
      <c r="N39" s="52">
        <v>698.7</v>
      </c>
      <c r="O39" s="52">
        <v>698.7</v>
      </c>
      <c r="P39" s="299">
        <f t="shared" si="6"/>
        <v>0</v>
      </c>
    </row>
    <row r="40" spans="1:16" s="32" customFormat="1" ht="18.75" customHeight="1" x14ac:dyDescent="0.2">
      <c r="A40" s="62" t="s">
        <v>66</v>
      </c>
      <c r="B40" s="53" t="s">
        <v>45</v>
      </c>
      <c r="C40" s="53" t="s">
        <v>108</v>
      </c>
      <c r="D40" s="54" t="s">
        <v>636</v>
      </c>
      <c r="E40" s="78"/>
      <c r="F40" s="52">
        <f t="shared" ref="F40:G42" si="11">F41</f>
        <v>1311</v>
      </c>
      <c r="G40" s="52">
        <f t="shared" si="11"/>
        <v>1311</v>
      </c>
      <c r="H40" s="299">
        <f t="shared" si="2"/>
        <v>0</v>
      </c>
      <c r="I40" s="52">
        <f t="shared" ref="I40:L42" si="12">I41</f>
        <v>800</v>
      </c>
      <c r="J40" s="52">
        <f t="shared" si="12"/>
        <v>1311</v>
      </c>
      <c r="K40" s="299">
        <f t="shared" si="4"/>
        <v>0</v>
      </c>
      <c r="L40" s="52">
        <f t="shared" si="12"/>
        <v>800</v>
      </c>
      <c r="M40" s="299">
        <f t="shared" si="0"/>
        <v>0</v>
      </c>
      <c r="N40" s="52">
        <f t="shared" ref="N40:O42" si="13">N41</f>
        <v>800</v>
      </c>
      <c r="O40" s="52">
        <f t="shared" si="13"/>
        <v>800</v>
      </c>
      <c r="P40" s="299">
        <f t="shared" si="6"/>
        <v>0</v>
      </c>
    </row>
    <row r="41" spans="1:16" s="32" customFormat="1" ht="41.25" customHeight="1" x14ac:dyDescent="0.2">
      <c r="A41" s="62" t="s">
        <v>635</v>
      </c>
      <c r="B41" s="53" t="s">
        <v>45</v>
      </c>
      <c r="C41" s="53" t="s">
        <v>108</v>
      </c>
      <c r="D41" s="54" t="s">
        <v>634</v>
      </c>
      <c r="E41" s="78"/>
      <c r="F41" s="52">
        <f t="shared" si="11"/>
        <v>1311</v>
      </c>
      <c r="G41" s="52">
        <f t="shared" si="11"/>
        <v>1311</v>
      </c>
      <c r="H41" s="299">
        <f t="shared" si="2"/>
        <v>0</v>
      </c>
      <c r="I41" s="52">
        <f t="shared" si="12"/>
        <v>800</v>
      </c>
      <c r="J41" s="52">
        <f t="shared" si="12"/>
        <v>1311</v>
      </c>
      <c r="K41" s="299">
        <f t="shared" si="4"/>
        <v>0</v>
      </c>
      <c r="L41" s="52">
        <f t="shared" si="12"/>
        <v>800</v>
      </c>
      <c r="M41" s="299">
        <f t="shared" si="0"/>
        <v>0</v>
      </c>
      <c r="N41" s="52">
        <f t="shared" si="13"/>
        <v>800</v>
      </c>
      <c r="O41" s="52">
        <f t="shared" si="13"/>
        <v>800</v>
      </c>
      <c r="P41" s="299">
        <f t="shared" si="6"/>
        <v>0</v>
      </c>
    </row>
    <row r="42" spans="1:16" s="32" customFormat="1" ht="39" customHeight="1" x14ac:dyDescent="0.2">
      <c r="A42" s="56" t="s">
        <v>633</v>
      </c>
      <c r="B42" s="53" t="s">
        <v>45</v>
      </c>
      <c r="C42" s="53" t="s">
        <v>108</v>
      </c>
      <c r="D42" s="54" t="s">
        <v>632</v>
      </c>
      <c r="E42" s="78"/>
      <c r="F42" s="52">
        <f t="shared" si="11"/>
        <v>1311</v>
      </c>
      <c r="G42" s="52">
        <f t="shared" si="11"/>
        <v>1311</v>
      </c>
      <c r="H42" s="299">
        <f t="shared" si="2"/>
        <v>0</v>
      </c>
      <c r="I42" s="52">
        <f t="shared" si="12"/>
        <v>800</v>
      </c>
      <c r="J42" s="52">
        <f t="shared" si="12"/>
        <v>1311</v>
      </c>
      <c r="K42" s="299">
        <f t="shared" si="4"/>
        <v>0</v>
      </c>
      <c r="L42" s="52">
        <f t="shared" si="12"/>
        <v>800</v>
      </c>
      <c r="M42" s="299">
        <f t="shared" si="0"/>
        <v>0</v>
      </c>
      <c r="N42" s="52">
        <f t="shared" si="13"/>
        <v>800</v>
      </c>
      <c r="O42" s="52">
        <f t="shared" si="13"/>
        <v>800</v>
      </c>
      <c r="P42" s="299">
        <f t="shared" si="6"/>
        <v>0</v>
      </c>
    </row>
    <row r="43" spans="1:16" s="32" customFormat="1" ht="24.75" customHeight="1" x14ac:dyDescent="0.2">
      <c r="A43" s="56" t="s">
        <v>73</v>
      </c>
      <c r="B43" s="53" t="s">
        <v>45</v>
      </c>
      <c r="C43" s="53" t="s">
        <v>108</v>
      </c>
      <c r="D43" s="54" t="s">
        <v>632</v>
      </c>
      <c r="E43" s="78" t="s">
        <v>70</v>
      </c>
      <c r="F43" s="52">
        <f>1911-600</f>
        <v>1311</v>
      </c>
      <c r="G43" s="52">
        <f>1911-600</f>
        <v>1311</v>
      </c>
      <c r="H43" s="299">
        <f t="shared" si="2"/>
        <v>0</v>
      </c>
      <c r="I43" s="52">
        <v>800</v>
      </c>
      <c r="J43" s="52">
        <f>1911-600</f>
        <v>1311</v>
      </c>
      <c r="K43" s="299">
        <f t="shared" si="4"/>
        <v>0</v>
      </c>
      <c r="L43" s="52">
        <v>800</v>
      </c>
      <c r="M43" s="299">
        <f t="shared" si="0"/>
        <v>0</v>
      </c>
      <c r="N43" s="52">
        <v>800</v>
      </c>
      <c r="O43" s="52">
        <v>800</v>
      </c>
      <c r="P43" s="299">
        <f t="shared" si="6"/>
        <v>0</v>
      </c>
    </row>
    <row r="44" spans="1:16" s="32" customFormat="1" ht="39.75" customHeight="1" x14ac:dyDescent="0.2">
      <c r="A44" s="141" t="s">
        <v>453</v>
      </c>
      <c r="B44" s="78" t="s">
        <v>45</v>
      </c>
      <c r="C44" s="78" t="s">
        <v>108</v>
      </c>
      <c r="D44" s="74" t="s">
        <v>452</v>
      </c>
      <c r="E44" s="78"/>
      <c r="F44" s="52">
        <f t="shared" ref="F44:G46" si="14">F45</f>
        <v>852.8</v>
      </c>
      <c r="G44" s="52">
        <f t="shared" si="14"/>
        <v>852.8</v>
      </c>
      <c r="H44" s="299">
        <f t="shared" si="2"/>
        <v>0</v>
      </c>
      <c r="I44" s="52">
        <f t="shared" ref="I44:L46" si="15">I45</f>
        <v>852.8</v>
      </c>
      <c r="J44" s="52">
        <f t="shared" si="15"/>
        <v>852.8</v>
      </c>
      <c r="K44" s="299">
        <f t="shared" si="4"/>
        <v>0</v>
      </c>
      <c r="L44" s="52">
        <f t="shared" si="15"/>
        <v>852.8</v>
      </c>
      <c r="M44" s="299">
        <f t="shared" si="0"/>
        <v>0</v>
      </c>
      <c r="N44" s="52">
        <f t="shared" ref="N44:O46" si="16">N45</f>
        <v>852.8</v>
      </c>
      <c r="O44" s="52">
        <f t="shared" si="16"/>
        <v>852.8</v>
      </c>
      <c r="P44" s="299">
        <f t="shared" si="6"/>
        <v>0</v>
      </c>
    </row>
    <row r="45" spans="1:16" s="32" customFormat="1" ht="18" customHeight="1" x14ac:dyDescent="0.2">
      <c r="A45" s="66" t="s">
        <v>52</v>
      </c>
      <c r="B45" s="78" t="s">
        <v>45</v>
      </c>
      <c r="C45" s="78" t="s">
        <v>108</v>
      </c>
      <c r="D45" s="54" t="s">
        <v>451</v>
      </c>
      <c r="E45" s="78"/>
      <c r="F45" s="52">
        <f t="shared" si="14"/>
        <v>852.8</v>
      </c>
      <c r="G45" s="52">
        <f t="shared" si="14"/>
        <v>852.8</v>
      </c>
      <c r="H45" s="299">
        <f t="shared" si="2"/>
        <v>0</v>
      </c>
      <c r="I45" s="52">
        <f t="shared" si="15"/>
        <v>852.8</v>
      </c>
      <c r="J45" s="52">
        <f t="shared" si="15"/>
        <v>852.8</v>
      </c>
      <c r="K45" s="299">
        <f t="shared" si="4"/>
        <v>0</v>
      </c>
      <c r="L45" s="52">
        <f t="shared" si="15"/>
        <v>852.8</v>
      </c>
      <c r="M45" s="299">
        <f t="shared" si="0"/>
        <v>0</v>
      </c>
      <c r="N45" s="52">
        <f t="shared" si="16"/>
        <v>852.8</v>
      </c>
      <c r="O45" s="52">
        <f t="shared" si="16"/>
        <v>852.8</v>
      </c>
      <c r="P45" s="299">
        <f t="shared" si="6"/>
        <v>0</v>
      </c>
    </row>
    <row r="46" spans="1:16" s="32" customFormat="1" ht="24.75" customHeight="1" x14ac:dyDescent="0.2">
      <c r="A46" s="66" t="s">
        <v>631</v>
      </c>
      <c r="B46" s="78" t="s">
        <v>45</v>
      </c>
      <c r="C46" s="78" t="s">
        <v>108</v>
      </c>
      <c r="D46" s="54" t="s">
        <v>630</v>
      </c>
      <c r="E46" s="78"/>
      <c r="F46" s="52">
        <f t="shared" si="14"/>
        <v>852.8</v>
      </c>
      <c r="G46" s="52">
        <f t="shared" si="14"/>
        <v>852.8</v>
      </c>
      <c r="H46" s="299">
        <f t="shared" si="2"/>
        <v>0</v>
      </c>
      <c r="I46" s="52">
        <f t="shared" si="15"/>
        <v>852.8</v>
      </c>
      <c r="J46" s="52">
        <f t="shared" si="15"/>
        <v>852.8</v>
      </c>
      <c r="K46" s="299">
        <f t="shared" si="4"/>
        <v>0</v>
      </c>
      <c r="L46" s="52">
        <f t="shared" si="15"/>
        <v>852.8</v>
      </c>
      <c r="M46" s="299">
        <f t="shared" si="0"/>
        <v>0</v>
      </c>
      <c r="N46" s="52">
        <f t="shared" si="16"/>
        <v>852.8</v>
      </c>
      <c r="O46" s="52">
        <f t="shared" si="16"/>
        <v>852.8</v>
      </c>
      <c r="P46" s="299">
        <f t="shared" si="6"/>
        <v>0</v>
      </c>
    </row>
    <row r="47" spans="1:16" s="32" customFormat="1" ht="67.5" customHeight="1" x14ac:dyDescent="0.2">
      <c r="A47" s="76" t="s">
        <v>629</v>
      </c>
      <c r="B47" s="78" t="s">
        <v>45</v>
      </c>
      <c r="C47" s="78" t="s">
        <v>108</v>
      </c>
      <c r="D47" s="74" t="s">
        <v>628</v>
      </c>
      <c r="E47" s="78"/>
      <c r="F47" s="52">
        <f>F48+F49</f>
        <v>852.8</v>
      </c>
      <c r="G47" s="52">
        <f>G48+G49</f>
        <v>852.8</v>
      </c>
      <c r="H47" s="299">
        <f t="shared" si="2"/>
        <v>0</v>
      </c>
      <c r="I47" s="52">
        <f>I48+I49</f>
        <v>852.8</v>
      </c>
      <c r="J47" s="52">
        <f>J48+J49</f>
        <v>852.8</v>
      </c>
      <c r="K47" s="299">
        <f t="shared" si="4"/>
        <v>0</v>
      </c>
      <c r="L47" s="52">
        <f>L48+L49</f>
        <v>852.8</v>
      </c>
      <c r="M47" s="299">
        <f t="shared" si="0"/>
        <v>0</v>
      </c>
      <c r="N47" s="52">
        <f>N48+N49</f>
        <v>852.8</v>
      </c>
      <c r="O47" s="52">
        <f>O48+O49</f>
        <v>852.8</v>
      </c>
      <c r="P47" s="299">
        <f t="shared" si="6"/>
        <v>0</v>
      </c>
    </row>
    <row r="48" spans="1:16" s="32" customFormat="1" ht="24.75" customHeight="1" x14ac:dyDescent="0.2">
      <c r="A48" s="76" t="s">
        <v>84</v>
      </c>
      <c r="B48" s="78" t="s">
        <v>45</v>
      </c>
      <c r="C48" s="78" t="s">
        <v>108</v>
      </c>
      <c r="D48" s="74" t="s">
        <v>628</v>
      </c>
      <c r="E48" s="78" t="s">
        <v>83</v>
      </c>
      <c r="F48" s="52">
        <v>676.1</v>
      </c>
      <c r="G48" s="52">
        <v>676.1</v>
      </c>
      <c r="H48" s="299">
        <f t="shared" si="2"/>
        <v>0</v>
      </c>
      <c r="I48" s="52">
        <v>676.1</v>
      </c>
      <c r="J48" s="52">
        <v>676.1</v>
      </c>
      <c r="K48" s="299">
        <f t="shared" si="4"/>
        <v>0</v>
      </c>
      <c r="L48" s="52">
        <v>676.1</v>
      </c>
      <c r="M48" s="299">
        <f t="shared" si="0"/>
        <v>0</v>
      </c>
      <c r="N48" s="52">
        <v>676.1</v>
      </c>
      <c r="O48" s="52">
        <v>676.1</v>
      </c>
      <c r="P48" s="299">
        <f t="shared" si="6"/>
        <v>0</v>
      </c>
    </row>
    <row r="49" spans="1:17" s="32" customFormat="1" ht="24.75" customHeight="1" x14ac:dyDescent="0.2">
      <c r="A49" s="76" t="s">
        <v>73</v>
      </c>
      <c r="B49" s="78" t="s">
        <v>45</v>
      </c>
      <c r="C49" s="78" t="s">
        <v>108</v>
      </c>
      <c r="D49" s="74" t="s">
        <v>628</v>
      </c>
      <c r="E49" s="78" t="s">
        <v>70</v>
      </c>
      <c r="F49" s="52">
        <f>176.7</f>
        <v>176.7</v>
      </c>
      <c r="G49" s="52">
        <f>176.7</f>
        <v>176.7</v>
      </c>
      <c r="H49" s="299">
        <f t="shared" si="2"/>
        <v>0</v>
      </c>
      <c r="I49" s="52">
        <f>176.7</f>
        <v>176.7</v>
      </c>
      <c r="J49" s="52">
        <f>176.7</f>
        <v>176.7</v>
      </c>
      <c r="K49" s="299">
        <f t="shared" si="4"/>
        <v>0</v>
      </c>
      <c r="L49" s="52">
        <f>176.7</f>
        <v>176.7</v>
      </c>
      <c r="M49" s="299">
        <f t="shared" si="0"/>
        <v>0</v>
      </c>
      <c r="N49" s="52">
        <f>176.7</f>
        <v>176.7</v>
      </c>
      <c r="O49" s="52">
        <f>176.7</f>
        <v>176.7</v>
      </c>
      <c r="P49" s="299">
        <f t="shared" si="6"/>
        <v>0</v>
      </c>
    </row>
    <row r="50" spans="1:17" s="32" customFormat="1" ht="38.25" customHeight="1" x14ac:dyDescent="0.2">
      <c r="A50" s="57" t="s">
        <v>627</v>
      </c>
      <c r="B50" s="78" t="s">
        <v>45</v>
      </c>
      <c r="C50" s="78" t="s">
        <v>108</v>
      </c>
      <c r="D50" s="54" t="s">
        <v>109</v>
      </c>
      <c r="E50" s="78"/>
      <c r="F50" s="52">
        <f t="shared" ref="F50:G52" si="17">F51</f>
        <v>342.20000000000005</v>
      </c>
      <c r="G50" s="52">
        <f t="shared" si="17"/>
        <v>342.20000000000005</v>
      </c>
      <c r="H50" s="299">
        <f t="shared" si="2"/>
        <v>0</v>
      </c>
      <c r="I50" s="52">
        <f t="shared" ref="I50:L52" si="18">I51</f>
        <v>339.7</v>
      </c>
      <c r="J50" s="52">
        <f t="shared" si="18"/>
        <v>342.20000000000005</v>
      </c>
      <c r="K50" s="299">
        <f t="shared" si="4"/>
        <v>0</v>
      </c>
      <c r="L50" s="52">
        <f t="shared" si="18"/>
        <v>339.7</v>
      </c>
      <c r="M50" s="299">
        <f t="shared" si="0"/>
        <v>0</v>
      </c>
      <c r="N50" s="52">
        <f t="shared" ref="N50:O52" si="19">N51</f>
        <v>339.7</v>
      </c>
      <c r="O50" s="52">
        <f t="shared" si="19"/>
        <v>339.7</v>
      </c>
      <c r="P50" s="299">
        <f t="shared" si="6"/>
        <v>0</v>
      </c>
    </row>
    <row r="51" spans="1:17" s="32" customFormat="1" ht="15.75" customHeight="1" x14ac:dyDescent="0.2">
      <c r="A51" s="62" t="s">
        <v>52</v>
      </c>
      <c r="B51" s="78" t="s">
        <v>45</v>
      </c>
      <c r="C51" s="78" t="s">
        <v>108</v>
      </c>
      <c r="D51" s="54" t="s">
        <v>286</v>
      </c>
      <c r="E51" s="78"/>
      <c r="F51" s="52">
        <f t="shared" si="17"/>
        <v>342.20000000000005</v>
      </c>
      <c r="G51" s="52">
        <f t="shared" si="17"/>
        <v>342.20000000000005</v>
      </c>
      <c r="H51" s="299">
        <f t="shared" si="2"/>
        <v>0</v>
      </c>
      <c r="I51" s="52">
        <f t="shared" si="18"/>
        <v>339.7</v>
      </c>
      <c r="J51" s="52">
        <f t="shared" si="18"/>
        <v>342.20000000000005</v>
      </c>
      <c r="K51" s="299">
        <f t="shared" si="4"/>
        <v>0</v>
      </c>
      <c r="L51" s="52">
        <f t="shared" si="18"/>
        <v>339.7</v>
      </c>
      <c r="M51" s="299">
        <f t="shared" si="0"/>
        <v>0</v>
      </c>
      <c r="N51" s="52">
        <f t="shared" si="19"/>
        <v>339.7</v>
      </c>
      <c r="O51" s="52">
        <f t="shared" si="19"/>
        <v>339.7</v>
      </c>
      <c r="P51" s="299">
        <f t="shared" si="6"/>
        <v>0</v>
      </c>
    </row>
    <row r="52" spans="1:17" s="32" customFormat="1" ht="24.75" customHeight="1" x14ac:dyDescent="0.2">
      <c r="A52" s="66" t="s">
        <v>626</v>
      </c>
      <c r="B52" s="78" t="s">
        <v>45</v>
      </c>
      <c r="C52" s="78" t="s">
        <v>108</v>
      </c>
      <c r="D52" s="54" t="s">
        <v>625</v>
      </c>
      <c r="E52" s="78"/>
      <c r="F52" s="52">
        <f t="shared" si="17"/>
        <v>342.20000000000005</v>
      </c>
      <c r="G52" s="52">
        <f t="shared" si="17"/>
        <v>342.20000000000005</v>
      </c>
      <c r="H52" s="299">
        <f t="shared" si="2"/>
        <v>0</v>
      </c>
      <c r="I52" s="52">
        <f t="shared" si="18"/>
        <v>339.7</v>
      </c>
      <c r="J52" s="52">
        <f t="shared" si="18"/>
        <v>342.20000000000005</v>
      </c>
      <c r="K52" s="299">
        <f t="shared" si="4"/>
        <v>0</v>
      </c>
      <c r="L52" s="52">
        <f t="shared" si="18"/>
        <v>339.7</v>
      </c>
      <c r="M52" s="299">
        <f t="shared" si="0"/>
        <v>0</v>
      </c>
      <c r="N52" s="52">
        <f t="shared" si="19"/>
        <v>339.7</v>
      </c>
      <c r="O52" s="52">
        <f t="shared" si="19"/>
        <v>339.7</v>
      </c>
      <c r="P52" s="299">
        <f t="shared" si="6"/>
        <v>0</v>
      </c>
    </row>
    <row r="53" spans="1:17" s="32" customFormat="1" ht="63.75" customHeight="1" x14ac:dyDescent="0.2">
      <c r="A53" s="62" t="s">
        <v>624</v>
      </c>
      <c r="B53" s="78" t="s">
        <v>45</v>
      </c>
      <c r="C53" s="78" t="s">
        <v>108</v>
      </c>
      <c r="D53" s="54" t="s">
        <v>623</v>
      </c>
      <c r="E53" s="78"/>
      <c r="F53" s="52">
        <f>F54+F55</f>
        <v>342.20000000000005</v>
      </c>
      <c r="G53" s="52">
        <f>G54+G55</f>
        <v>342.20000000000005</v>
      </c>
      <c r="H53" s="299">
        <f t="shared" si="2"/>
        <v>0</v>
      </c>
      <c r="I53" s="52">
        <f>I54+I55</f>
        <v>339.7</v>
      </c>
      <c r="J53" s="52">
        <f>J54+J55</f>
        <v>342.20000000000005</v>
      </c>
      <c r="K53" s="299">
        <f t="shared" si="4"/>
        <v>0</v>
      </c>
      <c r="L53" s="52">
        <f>L54+L55</f>
        <v>339.7</v>
      </c>
      <c r="M53" s="299">
        <f t="shared" si="0"/>
        <v>0</v>
      </c>
      <c r="N53" s="52">
        <f>N54+N55</f>
        <v>339.7</v>
      </c>
      <c r="O53" s="52">
        <f>O54+O55</f>
        <v>339.7</v>
      </c>
      <c r="P53" s="299">
        <f t="shared" si="6"/>
        <v>0</v>
      </c>
    </row>
    <row r="54" spans="1:17" s="32" customFormat="1" ht="24.75" customHeight="1" x14ac:dyDescent="0.2">
      <c r="A54" s="56" t="s">
        <v>84</v>
      </c>
      <c r="B54" s="78" t="s">
        <v>45</v>
      </c>
      <c r="C54" s="78" t="s">
        <v>108</v>
      </c>
      <c r="D54" s="54" t="s">
        <v>623</v>
      </c>
      <c r="E54" s="78" t="s">
        <v>83</v>
      </c>
      <c r="F54" s="52">
        <v>229.3</v>
      </c>
      <c r="G54" s="52">
        <v>229.3</v>
      </c>
      <c r="H54" s="299">
        <f t="shared" si="2"/>
        <v>0</v>
      </c>
      <c r="I54" s="52">
        <v>227.6</v>
      </c>
      <c r="J54" s="52">
        <v>229.3</v>
      </c>
      <c r="K54" s="299">
        <f t="shared" si="4"/>
        <v>0</v>
      </c>
      <c r="L54" s="52">
        <v>227.6</v>
      </c>
      <c r="M54" s="299">
        <f t="shared" si="0"/>
        <v>0</v>
      </c>
      <c r="N54" s="52">
        <v>227.6</v>
      </c>
      <c r="O54" s="52">
        <v>227.6</v>
      </c>
      <c r="P54" s="299">
        <f t="shared" si="6"/>
        <v>0</v>
      </c>
    </row>
    <row r="55" spans="1:17" s="32" customFormat="1" ht="30.75" customHeight="1" x14ac:dyDescent="0.2">
      <c r="A55" s="56" t="s">
        <v>73</v>
      </c>
      <c r="B55" s="78" t="s">
        <v>45</v>
      </c>
      <c r="C55" s="78" t="s">
        <v>108</v>
      </c>
      <c r="D55" s="54" t="s">
        <v>623</v>
      </c>
      <c r="E55" s="78" t="s">
        <v>70</v>
      </c>
      <c r="F55" s="52">
        <v>112.9</v>
      </c>
      <c r="G55" s="52">
        <v>112.9</v>
      </c>
      <c r="H55" s="299">
        <f t="shared" si="2"/>
        <v>0</v>
      </c>
      <c r="I55" s="52">
        <v>112.1</v>
      </c>
      <c r="J55" s="52">
        <v>112.9</v>
      </c>
      <c r="K55" s="299">
        <f t="shared" si="4"/>
        <v>0</v>
      </c>
      <c r="L55" s="52">
        <v>112.1</v>
      </c>
      <c r="M55" s="299">
        <f t="shared" si="0"/>
        <v>0</v>
      </c>
      <c r="N55" s="52">
        <v>112.1</v>
      </c>
      <c r="O55" s="52">
        <v>112.1</v>
      </c>
      <c r="P55" s="299">
        <f t="shared" si="6"/>
        <v>0</v>
      </c>
    </row>
    <row r="56" spans="1:17" s="154" customFormat="1" ht="14.25" customHeight="1" x14ac:dyDescent="0.2">
      <c r="A56" s="155" t="s">
        <v>622</v>
      </c>
      <c r="B56" s="71" t="s">
        <v>45</v>
      </c>
      <c r="C56" s="71" t="s">
        <v>59</v>
      </c>
      <c r="D56" s="53"/>
      <c r="E56" s="78"/>
      <c r="F56" s="52">
        <f t="shared" ref="F56:G58" si="20">F57</f>
        <v>1.7</v>
      </c>
      <c r="G56" s="52">
        <f t="shared" si="20"/>
        <v>1.7</v>
      </c>
      <c r="H56" s="299">
        <f t="shared" si="2"/>
        <v>0</v>
      </c>
      <c r="I56" s="52">
        <f t="shared" ref="I56:L58" si="21">I57</f>
        <v>12.2</v>
      </c>
      <c r="J56" s="52">
        <f t="shared" si="21"/>
        <v>1.7</v>
      </c>
      <c r="K56" s="299">
        <f t="shared" si="4"/>
        <v>0</v>
      </c>
      <c r="L56" s="52">
        <f t="shared" si="21"/>
        <v>12.2</v>
      </c>
      <c r="M56" s="299">
        <f t="shared" si="0"/>
        <v>0</v>
      </c>
      <c r="N56" s="52">
        <f t="shared" ref="N56:O58" si="22">N57</f>
        <v>1.7</v>
      </c>
      <c r="O56" s="52">
        <f t="shared" si="22"/>
        <v>1.7</v>
      </c>
      <c r="P56" s="299">
        <f t="shared" si="6"/>
        <v>0</v>
      </c>
    </row>
    <row r="57" spans="1:17" s="32" customFormat="1" ht="14.25" customHeight="1" x14ac:dyDescent="0.2">
      <c r="A57" s="69" t="s">
        <v>151</v>
      </c>
      <c r="B57" s="78" t="s">
        <v>45</v>
      </c>
      <c r="C57" s="78" t="s">
        <v>59</v>
      </c>
      <c r="D57" s="78" t="s">
        <v>150</v>
      </c>
      <c r="E57" s="78"/>
      <c r="F57" s="52">
        <f t="shared" si="20"/>
        <v>1.7</v>
      </c>
      <c r="G57" s="52">
        <f t="shared" si="20"/>
        <v>1.7</v>
      </c>
      <c r="H57" s="299">
        <f t="shared" si="2"/>
        <v>0</v>
      </c>
      <c r="I57" s="52">
        <f t="shared" si="21"/>
        <v>12.2</v>
      </c>
      <c r="J57" s="52">
        <f t="shared" si="21"/>
        <v>1.7</v>
      </c>
      <c r="K57" s="299">
        <f t="shared" si="4"/>
        <v>0</v>
      </c>
      <c r="L57" s="52">
        <f t="shared" si="21"/>
        <v>12.2</v>
      </c>
      <c r="M57" s="299">
        <f t="shared" si="0"/>
        <v>0</v>
      </c>
      <c r="N57" s="52">
        <f t="shared" si="22"/>
        <v>1.7</v>
      </c>
      <c r="O57" s="52">
        <f t="shared" si="22"/>
        <v>1.7</v>
      </c>
      <c r="P57" s="299">
        <f t="shared" si="6"/>
        <v>0</v>
      </c>
    </row>
    <row r="58" spans="1:17" s="32" customFormat="1" ht="37.5" customHeight="1" x14ac:dyDescent="0.2">
      <c r="A58" s="69" t="s">
        <v>621</v>
      </c>
      <c r="B58" s="78" t="s">
        <v>45</v>
      </c>
      <c r="C58" s="78" t="s">
        <v>59</v>
      </c>
      <c r="D58" s="53" t="s">
        <v>620</v>
      </c>
      <c r="E58" s="78"/>
      <c r="F58" s="52">
        <f t="shared" si="20"/>
        <v>1.7</v>
      </c>
      <c r="G58" s="52">
        <f t="shared" si="20"/>
        <v>1.7</v>
      </c>
      <c r="H58" s="299">
        <f t="shared" si="2"/>
        <v>0</v>
      </c>
      <c r="I58" s="52">
        <f t="shared" si="21"/>
        <v>12.2</v>
      </c>
      <c r="J58" s="52">
        <f t="shared" si="21"/>
        <v>1.7</v>
      </c>
      <c r="K58" s="299">
        <f t="shared" si="4"/>
        <v>0</v>
      </c>
      <c r="L58" s="52">
        <f t="shared" si="21"/>
        <v>12.2</v>
      </c>
      <c r="M58" s="299">
        <f t="shared" si="0"/>
        <v>0</v>
      </c>
      <c r="N58" s="52">
        <f t="shared" si="22"/>
        <v>1.7</v>
      </c>
      <c r="O58" s="52">
        <f t="shared" si="22"/>
        <v>1.7</v>
      </c>
      <c r="P58" s="299">
        <f t="shared" si="6"/>
        <v>0</v>
      </c>
    </row>
    <row r="59" spans="1:17" s="32" customFormat="1" ht="24.75" customHeight="1" x14ac:dyDescent="0.2">
      <c r="A59" s="69" t="s">
        <v>73</v>
      </c>
      <c r="B59" s="78" t="s">
        <v>45</v>
      </c>
      <c r="C59" s="78" t="s">
        <v>59</v>
      </c>
      <c r="D59" s="53" t="s">
        <v>620</v>
      </c>
      <c r="E59" s="78" t="s">
        <v>70</v>
      </c>
      <c r="F59" s="52">
        <v>1.7</v>
      </c>
      <c r="G59" s="52">
        <v>1.7</v>
      </c>
      <c r="H59" s="299">
        <f t="shared" si="2"/>
        <v>0</v>
      </c>
      <c r="I59" s="52">
        <v>12.2</v>
      </c>
      <c r="J59" s="52">
        <v>1.7</v>
      </c>
      <c r="K59" s="299">
        <f t="shared" si="4"/>
        <v>0</v>
      </c>
      <c r="L59" s="52">
        <v>12.2</v>
      </c>
      <c r="M59" s="299">
        <f t="shared" si="0"/>
        <v>0</v>
      </c>
      <c r="N59" s="52">
        <v>1.7</v>
      </c>
      <c r="O59" s="52">
        <v>1.7</v>
      </c>
      <c r="P59" s="299">
        <f t="shared" si="6"/>
        <v>0</v>
      </c>
    </row>
    <row r="60" spans="1:17" s="43" customFormat="1" ht="37.5" customHeight="1" x14ac:dyDescent="0.2">
      <c r="A60" s="50" t="s">
        <v>619</v>
      </c>
      <c r="B60" s="71" t="s">
        <v>45</v>
      </c>
      <c r="C60" s="71" t="s">
        <v>96</v>
      </c>
      <c r="D60" s="71"/>
      <c r="E60" s="71"/>
      <c r="F60" s="132">
        <f>F64+F61+F69</f>
        <v>11728.5</v>
      </c>
      <c r="G60" s="132">
        <f>G64+G61+G69</f>
        <v>11723.5</v>
      </c>
      <c r="H60" s="299">
        <f t="shared" si="2"/>
        <v>-5</v>
      </c>
      <c r="I60" s="132">
        <f>I64+I61+I69</f>
        <v>11449.2</v>
      </c>
      <c r="J60" s="132">
        <f>J64+J61+J69</f>
        <v>11723.5</v>
      </c>
      <c r="K60" s="299">
        <f t="shared" si="4"/>
        <v>0</v>
      </c>
      <c r="L60" s="132">
        <f>L64+L61+L69</f>
        <v>11449.2</v>
      </c>
      <c r="M60" s="299">
        <f t="shared" si="0"/>
        <v>0</v>
      </c>
      <c r="N60" s="132">
        <f>N64+N61+N69</f>
        <v>11419.2</v>
      </c>
      <c r="O60" s="132">
        <f>O64+O61+O69</f>
        <v>11419.2</v>
      </c>
      <c r="P60" s="299">
        <f t="shared" si="6"/>
        <v>0</v>
      </c>
    </row>
    <row r="61" spans="1:17" s="32" customFormat="1" ht="15" customHeight="1" x14ac:dyDescent="0.2">
      <c r="A61" s="69" t="s">
        <v>151</v>
      </c>
      <c r="B61" s="78" t="s">
        <v>45</v>
      </c>
      <c r="C61" s="78" t="s">
        <v>96</v>
      </c>
      <c r="D61" s="78" t="s">
        <v>150</v>
      </c>
      <c r="E61" s="78"/>
      <c r="F61" s="133">
        <f>F62</f>
        <v>47.4</v>
      </c>
      <c r="G61" s="133">
        <f>G62</f>
        <v>47.4</v>
      </c>
      <c r="H61" s="299">
        <f t="shared" si="2"/>
        <v>0</v>
      </c>
      <c r="I61" s="133">
        <f>I62</f>
        <v>47.1</v>
      </c>
      <c r="J61" s="133">
        <f>J62</f>
        <v>47.4</v>
      </c>
      <c r="K61" s="299">
        <f t="shared" si="4"/>
        <v>0</v>
      </c>
      <c r="L61" s="133">
        <f>L62</f>
        <v>47.1</v>
      </c>
      <c r="M61" s="299">
        <f t="shared" si="0"/>
        <v>0</v>
      </c>
      <c r="N61" s="133">
        <f>N62</f>
        <v>47.1</v>
      </c>
      <c r="O61" s="133">
        <f>O62</f>
        <v>47.1</v>
      </c>
      <c r="P61" s="299">
        <f t="shared" si="6"/>
        <v>0</v>
      </c>
    </row>
    <row r="62" spans="1:17" s="32" customFormat="1" ht="76.5" customHeight="1" x14ac:dyDescent="0.2">
      <c r="A62" s="69" t="s">
        <v>618</v>
      </c>
      <c r="B62" s="78" t="s">
        <v>45</v>
      </c>
      <c r="C62" s="78" t="s">
        <v>96</v>
      </c>
      <c r="D62" s="53" t="s">
        <v>617</v>
      </c>
      <c r="E62" s="78"/>
      <c r="F62" s="52">
        <f>F63</f>
        <v>47.4</v>
      </c>
      <c r="G62" s="52">
        <f>G63</f>
        <v>47.4</v>
      </c>
      <c r="H62" s="299">
        <f t="shared" si="2"/>
        <v>0</v>
      </c>
      <c r="I62" s="52">
        <f>I63</f>
        <v>47.1</v>
      </c>
      <c r="J62" s="52">
        <f>J63</f>
        <v>47.4</v>
      </c>
      <c r="K62" s="299">
        <f t="shared" si="4"/>
        <v>0</v>
      </c>
      <c r="L62" s="52">
        <f>L63</f>
        <v>47.1</v>
      </c>
      <c r="M62" s="299">
        <f t="shared" si="0"/>
        <v>0</v>
      </c>
      <c r="N62" s="52">
        <f>N63</f>
        <v>47.1</v>
      </c>
      <c r="O62" s="52">
        <f>O63</f>
        <v>47.1</v>
      </c>
      <c r="P62" s="299">
        <f t="shared" si="6"/>
        <v>0</v>
      </c>
      <c r="Q62" s="153"/>
    </row>
    <row r="63" spans="1:17" s="32" customFormat="1" ht="25.5" customHeight="1" x14ac:dyDescent="0.2">
      <c r="A63" s="69" t="s">
        <v>84</v>
      </c>
      <c r="B63" s="78" t="s">
        <v>45</v>
      </c>
      <c r="C63" s="78" t="s">
        <v>96</v>
      </c>
      <c r="D63" s="53" t="s">
        <v>617</v>
      </c>
      <c r="E63" s="78" t="s">
        <v>83</v>
      </c>
      <c r="F63" s="52">
        <v>47.4</v>
      </c>
      <c r="G63" s="52">
        <v>47.4</v>
      </c>
      <c r="H63" s="299">
        <f t="shared" si="2"/>
        <v>0</v>
      </c>
      <c r="I63" s="52">
        <v>47.1</v>
      </c>
      <c r="J63" s="52">
        <v>47.4</v>
      </c>
      <c r="K63" s="299">
        <f t="shared" si="4"/>
        <v>0</v>
      </c>
      <c r="L63" s="52">
        <v>47.1</v>
      </c>
      <c r="M63" s="299">
        <f t="shared" si="0"/>
        <v>0</v>
      </c>
      <c r="N63" s="52">
        <v>47.1</v>
      </c>
      <c r="O63" s="52">
        <v>47.1</v>
      </c>
      <c r="P63" s="299">
        <f t="shared" si="6"/>
        <v>0</v>
      </c>
    </row>
    <row r="64" spans="1:17" s="47" customFormat="1" ht="12.75" customHeight="1" x14ac:dyDescent="0.2">
      <c r="A64" s="152" t="s">
        <v>616</v>
      </c>
      <c r="B64" s="78" t="s">
        <v>45</v>
      </c>
      <c r="C64" s="78" t="s">
        <v>96</v>
      </c>
      <c r="D64" s="78" t="s">
        <v>615</v>
      </c>
      <c r="E64" s="78"/>
      <c r="F64" s="133">
        <f>F65</f>
        <v>1211.9000000000001</v>
      </c>
      <c r="G64" s="133">
        <f>G65</f>
        <v>1211.9000000000001</v>
      </c>
      <c r="H64" s="299">
        <f t="shared" si="2"/>
        <v>0</v>
      </c>
      <c r="I64" s="133">
        <f>I65</f>
        <v>1211.9000000000001</v>
      </c>
      <c r="J64" s="133">
        <f>J65</f>
        <v>1211.9000000000001</v>
      </c>
      <c r="K64" s="299">
        <f t="shared" si="4"/>
        <v>0</v>
      </c>
      <c r="L64" s="133">
        <f>L65</f>
        <v>1211.9000000000001</v>
      </c>
      <c r="M64" s="299">
        <f t="shared" si="0"/>
        <v>0</v>
      </c>
      <c r="N64" s="133">
        <f>N65</f>
        <v>1211.9000000000001</v>
      </c>
      <c r="O64" s="133">
        <f>O65</f>
        <v>1211.9000000000001</v>
      </c>
      <c r="P64" s="299">
        <f t="shared" si="6"/>
        <v>0</v>
      </c>
    </row>
    <row r="65" spans="1:16" s="47" customFormat="1" ht="17.25" customHeight="1" x14ac:dyDescent="0.2">
      <c r="A65" s="58" t="s">
        <v>414</v>
      </c>
      <c r="B65" s="78" t="s">
        <v>45</v>
      </c>
      <c r="C65" s="78" t="s">
        <v>96</v>
      </c>
      <c r="D65" s="78" t="s">
        <v>614</v>
      </c>
      <c r="E65" s="78"/>
      <c r="F65" s="133">
        <f>F66+F67+F68</f>
        <v>1211.9000000000001</v>
      </c>
      <c r="G65" s="133">
        <f t="shared" ref="G65:O65" si="23">G66+G67+G68</f>
        <v>1211.9000000000001</v>
      </c>
      <c r="H65" s="299">
        <f t="shared" si="2"/>
        <v>0</v>
      </c>
      <c r="I65" s="133">
        <f t="shared" si="23"/>
        <v>1211.9000000000001</v>
      </c>
      <c r="J65" s="133">
        <f t="shared" si="23"/>
        <v>1211.9000000000001</v>
      </c>
      <c r="K65" s="299">
        <f t="shared" si="4"/>
        <v>0</v>
      </c>
      <c r="L65" s="133">
        <f t="shared" si="23"/>
        <v>1211.9000000000001</v>
      </c>
      <c r="M65" s="299">
        <f t="shared" si="0"/>
        <v>0</v>
      </c>
      <c r="N65" s="133">
        <f t="shared" si="23"/>
        <v>1211.9000000000001</v>
      </c>
      <c r="O65" s="133">
        <f t="shared" si="23"/>
        <v>1211.9000000000001</v>
      </c>
      <c r="P65" s="299">
        <f t="shared" si="6"/>
        <v>0</v>
      </c>
    </row>
    <row r="66" spans="1:16" s="47" customFormat="1" ht="25.5" customHeight="1" x14ac:dyDescent="0.2">
      <c r="A66" s="69" t="s">
        <v>84</v>
      </c>
      <c r="B66" s="78" t="s">
        <v>45</v>
      </c>
      <c r="C66" s="78" t="s">
        <v>96</v>
      </c>
      <c r="D66" s="78" t="s">
        <v>614</v>
      </c>
      <c r="E66" s="78" t="s">
        <v>83</v>
      </c>
      <c r="F66" s="133">
        <f>948.2+8</f>
        <v>956.2</v>
      </c>
      <c r="G66" s="133">
        <f>948.2+8</f>
        <v>956.2</v>
      </c>
      <c r="H66" s="299">
        <f t="shared" si="2"/>
        <v>0</v>
      </c>
      <c r="I66" s="133">
        <f>948.2+8</f>
        <v>956.2</v>
      </c>
      <c r="J66" s="133">
        <f>948.2+8</f>
        <v>956.2</v>
      </c>
      <c r="K66" s="299">
        <f t="shared" si="4"/>
        <v>0</v>
      </c>
      <c r="L66" s="133">
        <f>948.2+8</f>
        <v>956.2</v>
      </c>
      <c r="M66" s="299">
        <f t="shared" si="0"/>
        <v>0</v>
      </c>
      <c r="N66" s="133">
        <f>948.2+8</f>
        <v>956.2</v>
      </c>
      <c r="O66" s="133">
        <f>948.2+8</f>
        <v>956.2</v>
      </c>
      <c r="P66" s="299">
        <f t="shared" si="6"/>
        <v>0</v>
      </c>
    </row>
    <row r="67" spans="1:16" s="47" customFormat="1" ht="25.5" customHeight="1" x14ac:dyDescent="0.2">
      <c r="A67" s="69" t="s">
        <v>73</v>
      </c>
      <c r="B67" s="78" t="s">
        <v>45</v>
      </c>
      <c r="C67" s="78" t="s">
        <v>96</v>
      </c>
      <c r="D67" s="78" t="s">
        <v>614</v>
      </c>
      <c r="E67" s="78" t="s">
        <v>70</v>
      </c>
      <c r="F67" s="133">
        <v>255.7</v>
      </c>
      <c r="G67" s="133">
        <f>255.7-3</f>
        <v>252.7</v>
      </c>
      <c r="H67" s="299">
        <f t="shared" si="2"/>
        <v>-3</v>
      </c>
      <c r="I67" s="133">
        <v>255.7</v>
      </c>
      <c r="J67" s="133">
        <f>255.7-3</f>
        <v>252.7</v>
      </c>
      <c r="K67" s="299">
        <f t="shared" si="4"/>
        <v>0</v>
      </c>
      <c r="L67" s="133">
        <v>255.7</v>
      </c>
      <c r="M67" s="299">
        <f t="shared" si="0"/>
        <v>0</v>
      </c>
      <c r="N67" s="133">
        <v>255.7</v>
      </c>
      <c r="O67" s="133">
        <v>255.7</v>
      </c>
      <c r="P67" s="299">
        <f t="shared" si="6"/>
        <v>0</v>
      </c>
    </row>
    <row r="68" spans="1:16" s="47" customFormat="1" ht="14.25" customHeight="1" x14ac:dyDescent="0.2">
      <c r="A68" s="56" t="s">
        <v>413</v>
      </c>
      <c r="B68" s="78" t="s">
        <v>45</v>
      </c>
      <c r="C68" s="78" t="s">
        <v>96</v>
      </c>
      <c r="D68" s="78" t="s">
        <v>614</v>
      </c>
      <c r="E68" s="78" t="s">
        <v>320</v>
      </c>
      <c r="F68" s="133">
        <v>0</v>
      </c>
      <c r="G68" s="133">
        <v>3</v>
      </c>
      <c r="H68" s="299">
        <f t="shared" si="2"/>
        <v>3</v>
      </c>
      <c r="I68" s="133">
        <v>0</v>
      </c>
      <c r="J68" s="133">
        <v>3</v>
      </c>
      <c r="K68" s="299">
        <f t="shared" si="4"/>
        <v>0</v>
      </c>
      <c r="L68" s="133">
        <v>0</v>
      </c>
      <c r="M68" s="299">
        <f t="shared" si="0"/>
        <v>0</v>
      </c>
      <c r="N68" s="133">
        <v>0</v>
      </c>
      <c r="O68" s="133">
        <v>0</v>
      </c>
      <c r="P68" s="299">
        <f t="shared" si="6"/>
        <v>0</v>
      </c>
    </row>
    <row r="69" spans="1:16" s="51" customFormat="1" ht="26.25" customHeight="1" x14ac:dyDescent="0.2">
      <c r="A69" s="56" t="s">
        <v>54</v>
      </c>
      <c r="B69" s="53" t="s">
        <v>45</v>
      </c>
      <c r="C69" s="53" t="s">
        <v>96</v>
      </c>
      <c r="D69" s="54" t="s">
        <v>53</v>
      </c>
      <c r="E69" s="53"/>
      <c r="F69" s="52">
        <f>F70</f>
        <v>10469.200000000001</v>
      </c>
      <c r="G69" s="52">
        <f>G70</f>
        <v>10464.200000000001</v>
      </c>
      <c r="H69" s="299">
        <f t="shared" si="2"/>
        <v>-5</v>
      </c>
      <c r="I69" s="52">
        <f>I70</f>
        <v>10190.200000000001</v>
      </c>
      <c r="J69" s="52">
        <f>J70</f>
        <v>10464.200000000001</v>
      </c>
      <c r="K69" s="299">
        <f t="shared" si="4"/>
        <v>0</v>
      </c>
      <c r="L69" s="52">
        <f>L70</f>
        <v>10190.200000000001</v>
      </c>
      <c r="M69" s="299">
        <f t="shared" si="0"/>
        <v>0</v>
      </c>
      <c r="N69" s="52">
        <f>N70</f>
        <v>10160.200000000001</v>
      </c>
      <c r="O69" s="52">
        <f>O70</f>
        <v>10160.200000000001</v>
      </c>
      <c r="P69" s="299">
        <f t="shared" si="6"/>
        <v>0</v>
      </c>
    </row>
    <row r="70" spans="1:16" s="51" customFormat="1" ht="18.75" customHeight="1" x14ac:dyDescent="0.2">
      <c r="A70" s="141" t="s">
        <v>52</v>
      </c>
      <c r="B70" s="53" t="s">
        <v>45</v>
      </c>
      <c r="C70" s="53" t="s">
        <v>96</v>
      </c>
      <c r="D70" s="54" t="s">
        <v>51</v>
      </c>
      <c r="E70" s="53"/>
      <c r="F70" s="52">
        <f>F71</f>
        <v>10469.200000000001</v>
      </c>
      <c r="G70" s="52">
        <f>G71</f>
        <v>10464.200000000001</v>
      </c>
      <c r="H70" s="299">
        <f t="shared" si="2"/>
        <v>-5</v>
      </c>
      <c r="I70" s="52">
        <f>I71</f>
        <v>10190.200000000001</v>
      </c>
      <c r="J70" s="52">
        <f>J71</f>
        <v>10464.200000000001</v>
      </c>
      <c r="K70" s="299">
        <f t="shared" si="4"/>
        <v>0</v>
      </c>
      <c r="L70" s="52">
        <f>L71</f>
        <v>10190.200000000001</v>
      </c>
      <c r="M70" s="299">
        <f t="shared" ref="M70:M137" si="24">L70-I70</f>
        <v>0</v>
      </c>
      <c r="N70" s="52">
        <f>N71</f>
        <v>10160.200000000001</v>
      </c>
      <c r="O70" s="52">
        <f>O71</f>
        <v>10160.200000000001</v>
      </c>
      <c r="P70" s="299">
        <f t="shared" si="6"/>
        <v>0</v>
      </c>
    </row>
    <row r="71" spans="1:16" s="51" customFormat="1" ht="28.5" customHeight="1" x14ac:dyDescent="0.2">
      <c r="A71" s="141" t="s">
        <v>544</v>
      </c>
      <c r="B71" s="53" t="s">
        <v>45</v>
      </c>
      <c r="C71" s="53" t="s">
        <v>96</v>
      </c>
      <c r="D71" s="54" t="s">
        <v>543</v>
      </c>
      <c r="E71" s="60"/>
      <c r="F71" s="52">
        <f>F72+F76</f>
        <v>10469.200000000001</v>
      </c>
      <c r="G71" s="52">
        <f>G72+G76</f>
        <v>10464.200000000001</v>
      </c>
      <c r="H71" s="299">
        <f t="shared" si="2"/>
        <v>-5</v>
      </c>
      <c r="I71" s="52">
        <f>I72+I76</f>
        <v>10190.200000000001</v>
      </c>
      <c r="J71" s="52">
        <f>J72+J76</f>
        <v>10464.200000000001</v>
      </c>
      <c r="K71" s="299">
        <f t="shared" ref="K71:K138" si="25">J71-G71</f>
        <v>0</v>
      </c>
      <c r="L71" s="52">
        <f>L72+L76</f>
        <v>10190.200000000001</v>
      </c>
      <c r="M71" s="299">
        <f t="shared" si="24"/>
        <v>0</v>
      </c>
      <c r="N71" s="52">
        <f>N72+N76</f>
        <v>10160.200000000001</v>
      </c>
      <c r="O71" s="52">
        <f>O72+O76</f>
        <v>10160.200000000001</v>
      </c>
      <c r="P71" s="299">
        <f t="shared" si="6"/>
        <v>0</v>
      </c>
    </row>
    <row r="72" spans="1:16" s="51" customFormat="1" ht="15" customHeight="1" x14ac:dyDescent="0.2">
      <c r="A72" s="57" t="s">
        <v>414</v>
      </c>
      <c r="B72" s="53" t="s">
        <v>45</v>
      </c>
      <c r="C72" s="53" t="s">
        <v>96</v>
      </c>
      <c r="D72" s="54" t="s">
        <v>613</v>
      </c>
      <c r="E72" s="60"/>
      <c r="F72" s="52">
        <f>F73+F74+F75</f>
        <v>10444.200000000001</v>
      </c>
      <c r="G72" s="52">
        <f>G73+G74+G75</f>
        <v>10439.200000000001</v>
      </c>
      <c r="H72" s="299">
        <f t="shared" si="2"/>
        <v>-5</v>
      </c>
      <c r="I72" s="52">
        <f>I73+I74+I75</f>
        <v>10165.200000000001</v>
      </c>
      <c r="J72" s="52">
        <f>J73+J74+J75</f>
        <v>10439.200000000001</v>
      </c>
      <c r="K72" s="299">
        <f t="shared" si="25"/>
        <v>0</v>
      </c>
      <c r="L72" s="52">
        <f>L73+L74+L75</f>
        <v>10165.200000000001</v>
      </c>
      <c r="M72" s="299">
        <f t="shared" si="24"/>
        <v>0</v>
      </c>
      <c r="N72" s="52">
        <f>N73+N74+N75</f>
        <v>10135.200000000001</v>
      </c>
      <c r="O72" s="52">
        <f>O73+O74+O75</f>
        <v>10135.200000000001</v>
      </c>
      <c r="P72" s="299">
        <f t="shared" si="6"/>
        <v>0</v>
      </c>
    </row>
    <row r="73" spans="1:16" s="51" customFormat="1" ht="25.5" customHeight="1" x14ac:dyDescent="0.2">
      <c r="A73" s="56" t="s">
        <v>84</v>
      </c>
      <c r="B73" s="53" t="s">
        <v>45</v>
      </c>
      <c r="C73" s="53" t="s">
        <v>96</v>
      </c>
      <c r="D73" s="54" t="s">
        <v>613</v>
      </c>
      <c r="E73" s="60" t="s">
        <v>83</v>
      </c>
      <c r="F73" s="52">
        <f>9501.4+30.2+279</f>
        <v>9810.6</v>
      </c>
      <c r="G73" s="52">
        <f>9810.6-5</f>
        <v>9805.6</v>
      </c>
      <c r="H73" s="299">
        <f t="shared" ref="H73:H143" si="26">G73-F73</f>
        <v>-5</v>
      </c>
      <c r="I73" s="52">
        <f>9501.4+30.2</f>
        <v>9531.6</v>
      </c>
      <c r="J73" s="52">
        <f>9810.6-5</f>
        <v>9805.6</v>
      </c>
      <c r="K73" s="299">
        <f t="shared" si="25"/>
        <v>0</v>
      </c>
      <c r="L73" s="52">
        <f>9501.4+30.2</f>
        <v>9531.6</v>
      </c>
      <c r="M73" s="299">
        <f t="shared" si="24"/>
        <v>0</v>
      </c>
      <c r="N73" s="52">
        <f>9501.4+30.2</f>
        <v>9531.6</v>
      </c>
      <c r="O73" s="52">
        <f>9501.4+30.2</f>
        <v>9531.6</v>
      </c>
      <c r="P73" s="299">
        <f t="shared" ref="P73:P143" si="27">O73-N73</f>
        <v>0</v>
      </c>
    </row>
    <row r="74" spans="1:16" s="51" customFormat="1" ht="25.5" customHeight="1" x14ac:dyDescent="0.2">
      <c r="A74" s="56" t="s">
        <v>73</v>
      </c>
      <c r="B74" s="53" t="s">
        <v>45</v>
      </c>
      <c r="C74" s="53" t="s">
        <v>96</v>
      </c>
      <c r="D74" s="54" t="s">
        <v>613</v>
      </c>
      <c r="E74" s="60" t="s">
        <v>70</v>
      </c>
      <c r="F74" s="52">
        <v>632.6</v>
      </c>
      <c r="G74" s="52">
        <v>632.6</v>
      </c>
      <c r="H74" s="299">
        <f t="shared" si="26"/>
        <v>0</v>
      </c>
      <c r="I74" s="52">
        <v>632.6</v>
      </c>
      <c r="J74" s="52">
        <v>632.6</v>
      </c>
      <c r="K74" s="299">
        <f t="shared" si="25"/>
        <v>0</v>
      </c>
      <c r="L74" s="52">
        <v>632.6</v>
      </c>
      <c r="M74" s="299">
        <f t="shared" si="24"/>
        <v>0</v>
      </c>
      <c r="N74" s="52">
        <f>632.6-30</f>
        <v>602.6</v>
      </c>
      <c r="O74" s="52">
        <f>632.6-30</f>
        <v>602.6</v>
      </c>
      <c r="P74" s="299">
        <f t="shared" si="27"/>
        <v>0</v>
      </c>
    </row>
    <row r="75" spans="1:16" s="51" customFormat="1" ht="12.75" customHeight="1" x14ac:dyDescent="0.2">
      <c r="A75" s="56" t="s">
        <v>413</v>
      </c>
      <c r="B75" s="53" t="s">
        <v>45</v>
      </c>
      <c r="C75" s="53" t="s">
        <v>96</v>
      </c>
      <c r="D75" s="54" t="s">
        <v>613</v>
      </c>
      <c r="E75" s="60" t="s">
        <v>320</v>
      </c>
      <c r="F75" s="52">
        <v>1</v>
      </c>
      <c r="G75" s="52">
        <v>1</v>
      </c>
      <c r="H75" s="299">
        <f t="shared" si="26"/>
        <v>0</v>
      </c>
      <c r="I75" s="52">
        <v>1</v>
      </c>
      <c r="J75" s="52">
        <v>1</v>
      </c>
      <c r="K75" s="299">
        <f t="shared" si="25"/>
        <v>0</v>
      </c>
      <c r="L75" s="52">
        <v>1</v>
      </c>
      <c r="M75" s="299">
        <f t="shared" si="24"/>
        <v>0</v>
      </c>
      <c r="N75" s="52">
        <v>1</v>
      </c>
      <c r="O75" s="52">
        <v>1</v>
      </c>
      <c r="P75" s="299">
        <f t="shared" si="27"/>
        <v>0</v>
      </c>
    </row>
    <row r="76" spans="1:16" s="51" customFormat="1" ht="25.5" customHeight="1" x14ac:dyDescent="0.2">
      <c r="A76" s="56" t="s">
        <v>568</v>
      </c>
      <c r="B76" s="53" t="s">
        <v>45</v>
      </c>
      <c r="C76" s="53" t="s">
        <v>96</v>
      </c>
      <c r="D76" s="54" t="s">
        <v>612</v>
      </c>
      <c r="E76" s="53"/>
      <c r="F76" s="52">
        <f>F77</f>
        <v>25</v>
      </c>
      <c r="G76" s="52">
        <f>G77</f>
        <v>25</v>
      </c>
      <c r="H76" s="299">
        <f t="shared" si="26"/>
        <v>0</v>
      </c>
      <c r="I76" s="52">
        <f>I77</f>
        <v>25</v>
      </c>
      <c r="J76" s="52">
        <f>J77</f>
        <v>25</v>
      </c>
      <c r="K76" s="299">
        <f t="shared" si="25"/>
        <v>0</v>
      </c>
      <c r="L76" s="52">
        <f>L77</f>
        <v>25</v>
      </c>
      <c r="M76" s="299">
        <f t="shared" si="24"/>
        <v>0</v>
      </c>
      <c r="N76" s="52">
        <f>N77</f>
        <v>25</v>
      </c>
      <c r="O76" s="52">
        <f>O77</f>
        <v>25</v>
      </c>
      <c r="P76" s="299">
        <f t="shared" si="27"/>
        <v>0</v>
      </c>
    </row>
    <row r="77" spans="1:16" s="51" customFormat="1" ht="25.5" customHeight="1" x14ac:dyDescent="0.2">
      <c r="A77" s="56" t="s">
        <v>73</v>
      </c>
      <c r="B77" s="53" t="s">
        <v>45</v>
      </c>
      <c r="C77" s="53" t="s">
        <v>96</v>
      </c>
      <c r="D77" s="54" t="s">
        <v>612</v>
      </c>
      <c r="E77" s="53" t="s">
        <v>70</v>
      </c>
      <c r="F77" s="52">
        <v>25</v>
      </c>
      <c r="G77" s="52">
        <v>25</v>
      </c>
      <c r="H77" s="299">
        <f t="shared" si="26"/>
        <v>0</v>
      </c>
      <c r="I77" s="52">
        <v>25</v>
      </c>
      <c r="J77" s="52">
        <v>25</v>
      </c>
      <c r="K77" s="299">
        <f t="shared" si="25"/>
        <v>0</v>
      </c>
      <c r="L77" s="52">
        <v>25</v>
      </c>
      <c r="M77" s="299">
        <f t="shared" si="24"/>
        <v>0</v>
      </c>
      <c r="N77" s="52">
        <v>25</v>
      </c>
      <c r="O77" s="52">
        <v>25</v>
      </c>
      <c r="P77" s="299">
        <f t="shared" si="27"/>
        <v>0</v>
      </c>
    </row>
    <row r="78" spans="1:16" s="51" customFormat="1" ht="15.75" hidden="1" customHeight="1" x14ac:dyDescent="0.2">
      <c r="A78" s="151" t="s">
        <v>611</v>
      </c>
      <c r="B78" s="71" t="s">
        <v>45</v>
      </c>
      <c r="C78" s="71" t="s">
        <v>159</v>
      </c>
      <c r="D78" s="54"/>
      <c r="E78" s="53"/>
      <c r="F78" s="44">
        <f t="shared" ref="F78:G80" si="28">F79</f>
        <v>0</v>
      </c>
      <c r="G78" s="44">
        <f t="shared" si="28"/>
        <v>0</v>
      </c>
      <c r="H78" s="299">
        <f t="shared" si="26"/>
        <v>0</v>
      </c>
      <c r="I78" s="44">
        <f t="shared" ref="I78:L80" si="29">I79</f>
        <v>0</v>
      </c>
      <c r="J78" s="44">
        <f t="shared" si="29"/>
        <v>0</v>
      </c>
      <c r="K78" s="299">
        <f t="shared" si="25"/>
        <v>0</v>
      </c>
      <c r="L78" s="44">
        <f t="shared" si="29"/>
        <v>0</v>
      </c>
      <c r="M78" s="299">
        <f t="shared" si="24"/>
        <v>0</v>
      </c>
      <c r="N78" s="44">
        <f t="shared" ref="N78:O80" si="30">N79</f>
        <v>0</v>
      </c>
      <c r="O78" s="44">
        <f t="shared" si="30"/>
        <v>0</v>
      </c>
      <c r="P78" s="299">
        <f t="shared" si="27"/>
        <v>0</v>
      </c>
    </row>
    <row r="79" spans="1:16" s="51" customFormat="1" ht="12.75" hidden="1" customHeight="1" x14ac:dyDescent="0.2">
      <c r="A79" s="69" t="s">
        <v>610</v>
      </c>
      <c r="B79" s="78" t="s">
        <v>45</v>
      </c>
      <c r="C79" s="78" t="s">
        <v>159</v>
      </c>
      <c r="D79" s="54" t="s">
        <v>609</v>
      </c>
      <c r="E79" s="53"/>
      <c r="F79" s="52">
        <f t="shared" si="28"/>
        <v>0</v>
      </c>
      <c r="G79" s="52">
        <f t="shared" si="28"/>
        <v>0</v>
      </c>
      <c r="H79" s="299">
        <f t="shared" si="26"/>
        <v>0</v>
      </c>
      <c r="I79" s="52">
        <f t="shared" si="29"/>
        <v>0</v>
      </c>
      <c r="J79" s="52">
        <f t="shared" si="29"/>
        <v>0</v>
      </c>
      <c r="K79" s="299">
        <f t="shared" si="25"/>
        <v>0</v>
      </c>
      <c r="L79" s="52">
        <f t="shared" si="29"/>
        <v>0</v>
      </c>
      <c r="M79" s="299">
        <f t="shared" si="24"/>
        <v>0</v>
      </c>
      <c r="N79" s="52">
        <f t="shared" si="30"/>
        <v>0</v>
      </c>
      <c r="O79" s="52">
        <f t="shared" si="30"/>
        <v>0</v>
      </c>
      <c r="P79" s="299">
        <f t="shared" si="27"/>
        <v>0</v>
      </c>
    </row>
    <row r="80" spans="1:16" s="51" customFormat="1" ht="12.75" hidden="1" customHeight="1" x14ac:dyDescent="0.2">
      <c r="A80" s="69" t="s">
        <v>608</v>
      </c>
      <c r="B80" s="78" t="s">
        <v>45</v>
      </c>
      <c r="C80" s="78" t="s">
        <v>159</v>
      </c>
      <c r="D80" s="54" t="s">
        <v>606</v>
      </c>
      <c r="E80" s="53"/>
      <c r="F80" s="52">
        <f t="shared" si="28"/>
        <v>0</v>
      </c>
      <c r="G80" s="52">
        <f t="shared" si="28"/>
        <v>0</v>
      </c>
      <c r="H80" s="299">
        <f t="shared" si="26"/>
        <v>0</v>
      </c>
      <c r="I80" s="52">
        <f t="shared" si="29"/>
        <v>0</v>
      </c>
      <c r="J80" s="52">
        <f t="shared" si="29"/>
        <v>0</v>
      </c>
      <c r="K80" s="299">
        <f t="shared" si="25"/>
        <v>0</v>
      </c>
      <c r="L80" s="52">
        <f t="shared" si="29"/>
        <v>0</v>
      </c>
      <c r="M80" s="299">
        <f t="shared" si="24"/>
        <v>0</v>
      </c>
      <c r="N80" s="52">
        <f t="shared" si="30"/>
        <v>0</v>
      </c>
      <c r="O80" s="52">
        <f t="shared" si="30"/>
        <v>0</v>
      </c>
      <c r="P80" s="299">
        <f t="shared" si="27"/>
        <v>0</v>
      </c>
    </row>
    <row r="81" spans="1:16" s="51" customFormat="1" ht="12.75" hidden="1" customHeight="1" x14ac:dyDescent="0.2">
      <c r="A81" s="69" t="s">
        <v>607</v>
      </c>
      <c r="B81" s="78" t="s">
        <v>45</v>
      </c>
      <c r="C81" s="78" t="s">
        <v>159</v>
      </c>
      <c r="D81" s="54" t="s">
        <v>606</v>
      </c>
      <c r="E81" s="53" t="s">
        <v>605</v>
      </c>
      <c r="F81" s="52"/>
      <c r="G81" s="52"/>
      <c r="H81" s="299">
        <f t="shared" si="26"/>
        <v>0</v>
      </c>
      <c r="I81" s="52">
        <v>0</v>
      </c>
      <c r="J81" s="52"/>
      <c r="K81" s="299">
        <f t="shared" si="25"/>
        <v>0</v>
      </c>
      <c r="L81" s="52">
        <v>0</v>
      </c>
      <c r="M81" s="299">
        <f t="shared" si="24"/>
        <v>0</v>
      </c>
      <c r="N81" s="52">
        <v>0</v>
      </c>
      <c r="O81" s="52">
        <v>0</v>
      </c>
      <c r="P81" s="299">
        <f t="shared" si="27"/>
        <v>0</v>
      </c>
    </row>
    <row r="82" spans="1:16" s="43" customFormat="1" ht="15" customHeight="1" x14ac:dyDescent="0.2">
      <c r="A82" s="50" t="s">
        <v>604</v>
      </c>
      <c r="B82" s="48" t="s">
        <v>45</v>
      </c>
      <c r="C82" s="48" t="s">
        <v>60</v>
      </c>
      <c r="D82" s="48"/>
      <c r="E82" s="48"/>
      <c r="F82" s="44">
        <f t="shared" ref="F82:G84" si="31">F83</f>
        <v>1000</v>
      </c>
      <c r="G82" s="44">
        <f t="shared" si="31"/>
        <v>950</v>
      </c>
      <c r="H82" s="299">
        <f t="shared" si="26"/>
        <v>-50</v>
      </c>
      <c r="I82" s="44">
        <f t="shared" ref="I82:L84" si="32">I83</f>
        <v>0</v>
      </c>
      <c r="J82" s="44">
        <f t="shared" si="32"/>
        <v>900</v>
      </c>
      <c r="K82" s="299">
        <f t="shared" si="25"/>
        <v>-50</v>
      </c>
      <c r="L82" s="44">
        <f t="shared" si="32"/>
        <v>0</v>
      </c>
      <c r="M82" s="299">
        <f t="shared" si="24"/>
        <v>0</v>
      </c>
      <c r="N82" s="44">
        <f t="shared" ref="N82:O84" si="33">N83</f>
        <v>0</v>
      </c>
      <c r="O82" s="44">
        <f t="shared" si="33"/>
        <v>0</v>
      </c>
      <c r="P82" s="299">
        <f t="shared" si="27"/>
        <v>0</v>
      </c>
    </row>
    <row r="83" spans="1:16" s="32" customFormat="1" ht="15" customHeight="1" x14ac:dyDescent="0.2">
      <c r="A83" s="69" t="s">
        <v>604</v>
      </c>
      <c r="B83" s="53" t="s">
        <v>45</v>
      </c>
      <c r="C83" s="53" t="s">
        <v>60</v>
      </c>
      <c r="D83" s="53" t="s">
        <v>603</v>
      </c>
      <c r="E83" s="53"/>
      <c r="F83" s="52">
        <f t="shared" si="31"/>
        <v>1000</v>
      </c>
      <c r="G83" s="52">
        <f t="shared" si="31"/>
        <v>950</v>
      </c>
      <c r="H83" s="299">
        <f t="shared" si="26"/>
        <v>-50</v>
      </c>
      <c r="I83" s="52">
        <f t="shared" si="32"/>
        <v>0</v>
      </c>
      <c r="J83" s="52">
        <f t="shared" si="32"/>
        <v>900</v>
      </c>
      <c r="K83" s="299">
        <f t="shared" si="25"/>
        <v>-50</v>
      </c>
      <c r="L83" s="52">
        <f t="shared" si="32"/>
        <v>0</v>
      </c>
      <c r="M83" s="299">
        <f t="shared" si="24"/>
        <v>0</v>
      </c>
      <c r="N83" s="52">
        <f t="shared" si="33"/>
        <v>0</v>
      </c>
      <c r="O83" s="52">
        <f t="shared" si="33"/>
        <v>0</v>
      </c>
      <c r="P83" s="299">
        <f t="shared" si="27"/>
        <v>0</v>
      </c>
    </row>
    <row r="84" spans="1:16" s="32" customFormat="1" ht="15" customHeight="1" x14ac:dyDescent="0.2">
      <c r="A84" s="69" t="s">
        <v>602</v>
      </c>
      <c r="B84" s="53" t="s">
        <v>45</v>
      </c>
      <c r="C84" s="53" t="s">
        <v>60</v>
      </c>
      <c r="D84" s="53" t="s">
        <v>600</v>
      </c>
      <c r="E84" s="53"/>
      <c r="F84" s="52">
        <f t="shared" si="31"/>
        <v>1000</v>
      </c>
      <c r="G84" s="52">
        <f t="shared" si="31"/>
        <v>950</v>
      </c>
      <c r="H84" s="299">
        <f t="shared" si="26"/>
        <v>-50</v>
      </c>
      <c r="I84" s="52">
        <f t="shared" si="32"/>
        <v>0</v>
      </c>
      <c r="J84" s="52">
        <f t="shared" si="32"/>
        <v>900</v>
      </c>
      <c r="K84" s="299">
        <f t="shared" si="25"/>
        <v>-50</v>
      </c>
      <c r="L84" s="52">
        <f t="shared" si="32"/>
        <v>0</v>
      </c>
      <c r="M84" s="299">
        <f t="shared" si="24"/>
        <v>0</v>
      </c>
      <c r="N84" s="52">
        <f t="shared" si="33"/>
        <v>0</v>
      </c>
      <c r="O84" s="52">
        <f t="shared" si="33"/>
        <v>0</v>
      </c>
      <c r="P84" s="299">
        <f t="shared" si="27"/>
        <v>0</v>
      </c>
    </row>
    <row r="85" spans="1:16" s="32" customFormat="1" ht="15" customHeight="1" x14ac:dyDescent="0.2">
      <c r="A85" s="69" t="s">
        <v>601</v>
      </c>
      <c r="B85" s="53" t="s">
        <v>45</v>
      </c>
      <c r="C85" s="53" t="s">
        <v>60</v>
      </c>
      <c r="D85" s="53" t="s">
        <v>600</v>
      </c>
      <c r="E85" s="53" t="s">
        <v>599</v>
      </c>
      <c r="F85" s="52">
        <v>1000</v>
      </c>
      <c r="G85" s="52">
        <f>1000-50</f>
        <v>950</v>
      </c>
      <c r="H85" s="299">
        <f t="shared" si="26"/>
        <v>-50</v>
      </c>
      <c r="I85" s="52">
        <v>0</v>
      </c>
      <c r="J85" s="52">
        <f>950-50</f>
        <v>900</v>
      </c>
      <c r="K85" s="299">
        <f t="shared" si="25"/>
        <v>-50</v>
      </c>
      <c r="L85" s="52">
        <v>0</v>
      </c>
      <c r="M85" s="299">
        <f t="shared" si="24"/>
        <v>0</v>
      </c>
      <c r="N85" s="52">
        <v>0</v>
      </c>
      <c r="O85" s="52">
        <v>0</v>
      </c>
      <c r="P85" s="299">
        <f t="shared" si="27"/>
        <v>0</v>
      </c>
    </row>
    <row r="86" spans="1:16" s="43" customFormat="1" ht="14.25" customHeight="1" x14ac:dyDescent="0.2">
      <c r="A86" s="90" t="s">
        <v>598</v>
      </c>
      <c r="B86" s="71" t="s">
        <v>45</v>
      </c>
      <c r="C86" s="71" t="s">
        <v>46</v>
      </c>
      <c r="D86" s="71"/>
      <c r="E86" s="71"/>
      <c r="F86" s="132">
        <f>F90+F138+F115+F155+F166+F95+F150+F87</f>
        <v>24372.9</v>
      </c>
      <c r="G86" s="132">
        <f t="shared" ref="G86:O86" si="34">G90+G138+G115+G155+G166+G95+G150+G87</f>
        <v>25152.800000000003</v>
      </c>
      <c r="H86" s="299">
        <f t="shared" si="26"/>
        <v>779.90000000000146</v>
      </c>
      <c r="I86" s="132">
        <f t="shared" si="34"/>
        <v>23045.9</v>
      </c>
      <c r="J86" s="132">
        <f t="shared" si="34"/>
        <v>25147.300000000003</v>
      </c>
      <c r="K86" s="299">
        <f t="shared" si="25"/>
        <v>-5.5</v>
      </c>
      <c r="L86" s="132">
        <f t="shared" si="34"/>
        <v>23045.9</v>
      </c>
      <c r="M86" s="299">
        <f t="shared" si="24"/>
        <v>0</v>
      </c>
      <c r="N86" s="132">
        <f t="shared" si="34"/>
        <v>23045.9</v>
      </c>
      <c r="O86" s="132">
        <f t="shared" si="34"/>
        <v>23045.9</v>
      </c>
      <c r="P86" s="299">
        <f t="shared" si="27"/>
        <v>0</v>
      </c>
    </row>
    <row r="87" spans="1:16" s="43" customFormat="1" ht="14.25" customHeight="1" x14ac:dyDescent="0.2">
      <c r="A87" s="69" t="s">
        <v>604</v>
      </c>
      <c r="B87" s="53" t="s">
        <v>45</v>
      </c>
      <c r="C87" s="53" t="s">
        <v>46</v>
      </c>
      <c r="D87" s="53" t="s">
        <v>603</v>
      </c>
      <c r="E87" s="53"/>
      <c r="F87" s="133">
        <f>F88</f>
        <v>0</v>
      </c>
      <c r="G87" s="133">
        <f t="shared" ref="G87:O88" si="35">G88</f>
        <v>50</v>
      </c>
      <c r="H87" s="299">
        <f t="shared" si="26"/>
        <v>50</v>
      </c>
      <c r="I87" s="133">
        <f t="shared" si="35"/>
        <v>0</v>
      </c>
      <c r="J87" s="133">
        <f t="shared" si="35"/>
        <v>100</v>
      </c>
      <c r="K87" s="299">
        <f t="shared" si="25"/>
        <v>50</v>
      </c>
      <c r="L87" s="133">
        <f t="shared" si="35"/>
        <v>0</v>
      </c>
      <c r="M87" s="299">
        <f t="shared" si="24"/>
        <v>0</v>
      </c>
      <c r="N87" s="133">
        <f t="shared" si="35"/>
        <v>0</v>
      </c>
      <c r="O87" s="133">
        <f t="shared" si="35"/>
        <v>0</v>
      </c>
      <c r="P87" s="299">
        <f t="shared" si="27"/>
        <v>0</v>
      </c>
    </row>
    <row r="88" spans="1:16" s="43" customFormat="1" ht="14.25" customHeight="1" x14ac:dyDescent="0.2">
      <c r="A88" s="69" t="s">
        <v>602</v>
      </c>
      <c r="B88" s="53" t="s">
        <v>45</v>
      </c>
      <c r="C88" s="53" t="s">
        <v>46</v>
      </c>
      <c r="D88" s="53" t="s">
        <v>600</v>
      </c>
      <c r="E88" s="53"/>
      <c r="F88" s="133">
        <f>F89</f>
        <v>0</v>
      </c>
      <c r="G88" s="133">
        <f t="shared" si="35"/>
        <v>50</v>
      </c>
      <c r="H88" s="299">
        <f t="shared" si="26"/>
        <v>50</v>
      </c>
      <c r="I88" s="133">
        <f t="shared" si="35"/>
        <v>0</v>
      </c>
      <c r="J88" s="133">
        <f t="shared" si="35"/>
        <v>100</v>
      </c>
      <c r="K88" s="299">
        <f t="shared" si="25"/>
        <v>50</v>
      </c>
      <c r="L88" s="133">
        <f t="shared" si="35"/>
        <v>0</v>
      </c>
      <c r="M88" s="299">
        <f t="shared" si="24"/>
        <v>0</v>
      </c>
      <c r="N88" s="133">
        <f t="shared" si="35"/>
        <v>0</v>
      </c>
      <c r="O88" s="133">
        <f t="shared" si="35"/>
        <v>0</v>
      </c>
      <c r="P88" s="299">
        <f t="shared" si="27"/>
        <v>0</v>
      </c>
    </row>
    <row r="89" spans="1:16" s="43" customFormat="1" ht="14.25" customHeight="1" x14ac:dyDescent="0.2">
      <c r="A89" s="69" t="s">
        <v>601</v>
      </c>
      <c r="B89" s="53" t="s">
        <v>45</v>
      </c>
      <c r="C89" s="53" t="s">
        <v>46</v>
      </c>
      <c r="D89" s="53" t="s">
        <v>600</v>
      </c>
      <c r="E89" s="53" t="s">
        <v>487</v>
      </c>
      <c r="F89" s="133">
        <v>0</v>
      </c>
      <c r="G89" s="133">
        <v>50</v>
      </c>
      <c r="H89" s="299">
        <f t="shared" si="26"/>
        <v>50</v>
      </c>
      <c r="I89" s="133">
        <v>0</v>
      </c>
      <c r="J89" s="133">
        <f>50+50</f>
        <v>100</v>
      </c>
      <c r="K89" s="299">
        <f t="shared" si="25"/>
        <v>50</v>
      </c>
      <c r="L89" s="133">
        <v>0</v>
      </c>
      <c r="M89" s="299">
        <f t="shared" si="24"/>
        <v>0</v>
      </c>
      <c r="N89" s="133">
        <v>0</v>
      </c>
      <c r="O89" s="133">
        <v>0</v>
      </c>
      <c r="P89" s="299">
        <f t="shared" si="27"/>
        <v>0</v>
      </c>
    </row>
    <row r="90" spans="1:16" s="32" customFormat="1" ht="24.75" customHeight="1" x14ac:dyDescent="0.2">
      <c r="A90" s="150" t="s">
        <v>597</v>
      </c>
      <c r="B90" s="78" t="s">
        <v>45</v>
      </c>
      <c r="C90" s="78" t="s">
        <v>46</v>
      </c>
      <c r="D90" s="78" t="s">
        <v>596</v>
      </c>
      <c r="E90" s="78"/>
      <c r="F90" s="133">
        <f>F93+F91</f>
        <v>970</v>
      </c>
      <c r="G90" s="133">
        <f>G93+G91</f>
        <v>970</v>
      </c>
      <c r="H90" s="299">
        <f t="shared" si="26"/>
        <v>0</v>
      </c>
      <c r="I90" s="133">
        <f>I93+I91</f>
        <v>0</v>
      </c>
      <c r="J90" s="133">
        <f>J93+J91</f>
        <v>970</v>
      </c>
      <c r="K90" s="299">
        <f t="shared" si="25"/>
        <v>0</v>
      </c>
      <c r="L90" s="133">
        <f>L93+L91</f>
        <v>0</v>
      </c>
      <c r="M90" s="299">
        <f t="shared" si="24"/>
        <v>0</v>
      </c>
      <c r="N90" s="133">
        <f>N93+N91</f>
        <v>0</v>
      </c>
      <c r="O90" s="133">
        <f>O93+O91</f>
        <v>0</v>
      </c>
      <c r="P90" s="299">
        <f t="shared" si="27"/>
        <v>0</v>
      </c>
    </row>
    <row r="91" spans="1:16" s="32" customFormat="1" ht="17.25" customHeight="1" x14ac:dyDescent="0.2">
      <c r="A91" s="149" t="s">
        <v>595</v>
      </c>
      <c r="B91" s="53" t="s">
        <v>45</v>
      </c>
      <c r="C91" s="53" t="s">
        <v>46</v>
      </c>
      <c r="D91" s="53" t="s">
        <v>594</v>
      </c>
      <c r="E91" s="53"/>
      <c r="F91" s="52">
        <f>F92</f>
        <v>320</v>
      </c>
      <c r="G91" s="52">
        <f>G92</f>
        <v>320</v>
      </c>
      <c r="H91" s="299">
        <f t="shared" si="26"/>
        <v>0</v>
      </c>
      <c r="I91" s="52">
        <f>I92</f>
        <v>0</v>
      </c>
      <c r="J91" s="52">
        <f>J92</f>
        <v>320</v>
      </c>
      <c r="K91" s="299">
        <f t="shared" si="25"/>
        <v>0</v>
      </c>
      <c r="L91" s="52">
        <f>L92</f>
        <v>0</v>
      </c>
      <c r="M91" s="299">
        <f t="shared" si="24"/>
        <v>0</v>
      </c>
      <c r="N91" s="52">
        <f>N92</f>
        <v>0</v>
      </c>
      <c r="O91" s="52">
        <f>O92</f>
        <v>0</v>
      </c>
      <c r="P91" s="299">
        <f t="shared" si="27"/>
        <v>0</v>
      </c>
    </row>
    <row r="92" spans="1:16" s="32" customFormat="1" ht="24.75" customHeight="1" x14ac:dyDescent="0.2">
      <c r="A92" s="69" t="s">
        <v>73</v>
      </c>
      <c r="B92" s="53" t="s">
        <v>45</v>
      </c>
      <c r="C92" s="53" t="s">
        <v>46</v>
      </c>
      <c r="D92" s="53" t="s">
        <v>594</v>
      </c>
      <c r="E92" s="53" t="s">
        <v>70</v>
      </c>
      <c r="F92" s="52">
        <v>320</v>
      </c>
      <c r="G92" s="52">
        <v>320</v>
      </c>
      <c r="H92" s="299">
        <f t="shared" si="26"/>
        <v>0</v>
      </c>
      <c r="I92" s="52">
        <v>0</v>
      </c>
      <c r="J92" s="52">
        <v>320</v>
      </c>
      <c r="K92" s="299">
        <f t="shared" si="25"/>
        <v>0</v>
      </c>
      <c r="L92" s="52">
        <v>0</v>
      </c>
      <c r="M92" s="299">
        <f t="shared" si="24"/>
        <v>0</v>
      </c>
      <c r="N92" s="52">
        <v>0</v>
      </c>
      <c r="O92" s="52">
        <v>0</v>
      </c>
      <c r="P92" s="299">
        <f t="shared" si="27"/>
        <v>0</v>
      </c>
    </row>
    <row r="93" spans="1:16" s="32" customFormat="1" ht="25.5" customHeight="1" x14ac:dyDescent="0.2">
      <c r="A93" s="148" t="s">
        <v>593</v>
      </c>
      <c r="B93" s="53" t="s">
        <v>45</v>
      </c>
      <c r="C93" s="53" t="s">
        <v>46</v>
      </c>
      <c r="D93" s="53" t="s">
        <v>592</v>
      </c>
      <c r="E93" s="53"/>
      <c r="F93" s="52">
        <f>F94</f>
        <v>650</v>
      </c>
      <c r="G93" s="52">
        <f>G94</f>
        <v>650</v>
      </c>
      <c r="H93" s="299">
        <f t="shared" si="26"/>
        <v>0</v>
      </c>
      <c r="I93" s="52">
        <f>I94</f>
        <v>0</v>
      </c>
      <c r="J93" s="52">
        <f>J94</f>
        <v>650</v>
      </c>
      <c r="K93" s="299">
        <f t="shared" si="25"/>
        <v>0</v>
      </c>
      <c r="L93" s="52">
        <f>L94</f>
        <v>0</v>
      </c>
      <c r="M93" s="299">
        <f t="shared" si="24"/>
        <v>0</v>
      </c>
      <c r="N93" s="52">
        <f>N94</f>
        <v>0</v>
      </c>
      <c r="O93" s="52">
        <f>O94</f>
        <v>0</v>
      </c>
      <c r="P93" s="299">
        <f t="shared" si="27"/>
        <v>0</v>
      </c>
    </row>
    <row r="94" spans="1:16" s="32" customFormat="1" ht="24.75" customHeight="1" x14ac:dyDescent="0.2">
      <c r="A94" s="69" t="s">
        <v>73</v>
      </c>
      <c r="B94" s="53" t="s">
        <v>45</v>
      </c>
      <c r="C94" s="53" t="s">
        <v>46</v>
      </c>
      <c r="D94" s="53" t="s">
        <v>592</v>
      </c>
      <c r="E94" s="53" t="s">
        <v>70</v>
      </c>
      <c r="F94" s="52">
        <v>650</v>
      </c>
      <c r="G94" s="52">
        <v>650</v>
      </c>
      <c r="H94" s="299">
        <f t="shared" si="26"/>
        <v>0</v>
      </c>
      <c r="I94" s="52">
        <v>0</v>
      </c>
      <c r="J94" s="52">
        <v>650</v>
      </c>
      <c r="K94" s="299">
        <f t="shared" si="25"/>
        <v>0</v>
      </c>
      <c r="L94" s="52">
        <v>0</v>
      </c>
      <c r="M94" s="299">
        <f t="shared" si="24"/>
        <v>0</v>
      </c>
      <c r="N94" s="52">
        <v>0</v>
      </c>
      <c r="O94" s="52">
        <v>0</v>
      </c>
      <c r="P94" s="299">
        <f t="shared" si="27"/>
        <v>0</v>
      </c>
    </row>
    <row r="95" spans="1:16" s="51" customFormat="1" ht="27" customHeight="1" x14ac:dyDescent="0.2">
      <c r="A95" s="108" t="s">
        <v>147</v>
      </c>
      <c r="B95" s="78" t="s">
        <v>45</v>
      </c>
      <c r="C95" s="78" t="s">
        <v>46</v>
      </c>
      <c r="D95" s="54" t="s">
        <v>105</v>
      </c>
      <c r="E95" s="78"/>
      <c r="F95" s="52">
        <f>F96+F107</f>
        <v>500.4</v>
      </c>
      <c r="G95" s="52">
        <f>G96+G107</f>
        <v>500.4</v>
      </c>
      <c r="H95" s="299">
        <f t="shared" si="26"/>
        <v>0</v>
      </c>
      <c r="I95" s="52">
        <f>I96+I107</f>
        <v>110.4</v>
      </c>
      <c r="J95" s="52">
        <f>J96+J107</f>
        <v>674.4</v>
      </c>
      <c r="K95" s="299">
        <f t="shared" si="25"/>
        <v>174</v>
      </c>
      <c r="L95" s="52">
        <f>L96+L107</f>
        <v>110.4</v>
      </c>
      <c r="M95" s="299">
        <f t="shared" si="24"/>
        <v>0</v>
      </c>
      <c r="N95" s="52">
        <f>N96+N107</f>
        <v>110.4</v>
      </c>
      <c r="O95" s="52">
        <f>O96+O107</f>
        <v>110.4</v>
      </c>
      <c r="P95" s="299">
        <f t="shared" si="27"/>
        <v>0</v>
      </c>
    </row>
    <row r="96" spans="1:16" s="51" customFormat="1" ht="17.25" customHeight="1" x14ac:dyDescent="0.2">
      <c r="A96" s="77" t="s">
        <v>66</v>
      </c>
      <c r="B96" s="53" t="s">
        <v>45</v>
      </c>
      <c r="C96" s="53" t="s">
        <v>46</v>
      </c>
      <c r="D96" s="74" t="s">
        <v>591</v>
      </c>
      <c r="E96" s="73"/>
      <c r="F96" s="52">
        <f>F97+F100</f>
        <v>390</v>
      </c>
      <c r="G96" s="52">
        <f>G97+G100</f>
        <v>390</v>
      </c>
      <c r="H96" s="299">
        <f t="shared" si="26"/>
        <v>0</v>
      </c>
      <c r="I96" s="52">
        <f>I97+I100</f>
        <v>0</v>
      </c>
      <c r="J96" s="52">
        <f>J97+J100</f>
        <v>390</v>
      </c>
      <c r="K96" s="299">
        <f t="shared" si="25"/>
        <v>0</v>
      </c>
      <c r="L96" s="52">
        <f>L97+L100</f>
        <v>0</v>
      </c>
      <c r="M96" s="299">
        <f t="shared" si="24"/>
        <v>0</v>
      </c>
      <c r="N96" s="52">
        <f>N97+N100</f>
        <v>0</v>
      </c>
      <c r="O96" s="52">
        <f>O97+O100</f>
        <v>0</v>
      </c>
      <c r="P96" s="299">
        <f t="shared" si="27"/>
        <v>0</v>
      </c>
    </row>
    <row r="97" spans="1:17" s="51" customFormat="1" ht="38.25" customHeight="1" x14ac:dyDescent="0.2">
      <c r="A97" s="77" t="s">
        <v>590</v>
      </c>
      <c r="B97" s="53" t="s">
        <v>45</v>
      </c>
      <c r="C97" s="53" t="s">
        <v>46</v>
      </c>
      <c r="D97" s="74" t="s">
        <v>589</v>
      </c>
      <c r="E97" s="73"/>
      <c r="F97" s="52">
        <f>F98</f>
        <v>300</v>
      </c>
      <c r="G97" s="52">
        <f>G98</f>
        <v>300</v>
      </c>
      <c r="H97" s="299">
        <f t="shared" si="26"/>
        <v>0</v>
      </c>
      <c r="I97" s="52">
        <f>I98</f>
        <v>0</v>
      </c>
      <c r="J97" s="52">
        <f>J98</f>
        <v>300</v>
      </c>
      <c r="K97" s="299">
        <f t="shared" si="25"/>
        <v>0</v>
      </c>
      <c r="L97" s="52">
        <f>L98</f>
        <v>0</v>
      </c>
      <c r="M97" s="299">
        <f t="shared" si="24"/>
        <v>0</v>
      </c>
      <c r="N97" s="52">
        <f>N98</f>
        <v>0</v>
      </c>
      <c r="O97" s="52">
        <f>O98</f>
        <v>0</v>
      </c>
      <c r="P97" s="299">
        <f t="shared" si="27"/>
        <v>0</v>
      </c>
    </row>
    <row r="98" spans="1:17" s="51" customFormat="1" ht="31.5" customHeight="1" x14ac:dyDescent="0.2">
      <c r="A98" s="76" t="s">
        <v>588</v>
      </c>
      <c r="B98" s="53" t="s">
        <v>45</v>
      </c>
      <c r="C98" s="53" t="s">
        <v>46</v>
      </c>
      <c r="D98" s="74" t="s">
        <v>587</v>
      </c>
      <c r="E98" s="73"/>
      <c r="F98" s="52">
        <f>F99</f>
        <v>300</v>
      </c>
      <c r="G98" s="52">
        <f>G99</f>
        <v>300</v>
      </c>
      <c r="H98" s="299">
        <f t="shared" si="26"/>
        <v>0</v>
      </c>
      <c r="I98" s="52">
        <f>I99</f>
        <v>0</v>
      </c>
      <c r="J98" s="52">
        <f>J99</f>
        <v>300</v>
      </c>
      <c r="K98" s="299">
        <f t="shared" si="25"/>
        <v>0</v>
      </c>
      <c r="L98" s="52">
        <f>L99</f>
        <v>0</v>
      </c>
      <c r="M98" s="299">
        <f t="shared" si="24"/>
        <v>0</v>
      </c>
      <c r="N98" s="52">
        <f>N99</f>
        <v>0</v>
      </c>
      <c r="O98" s="52">
        <f>O99</f>
        <v>0</v>
      </c>
      <c r="P98" s="299">
        <f t="shared" si="27"/>
        <v>0</v>
      </c>
    </row>
    <row r="99" spans="1:17" s="51" customFormat="1" ht="38.25" customHeight="1" x14ac:dyDescent="0.2">
      <c r="A99" s="56" t="s">
        <v>426</v>
      </c>
      <c r="B99" s="53" t="s">
        <v>45</v>
      </c>
      <c r="C99" s="53" t="s">
        <v>46</v>
      </c>
      <c r="D99" s="74" t="s">
        <v>587</v>
      </c>
      <c r="E99" s="73" t="s">
        <v>424</v>
      </c>
      <c r="F99" s="52">
        <v>300</v>
      </c>
      <c r="G99" s="52">
        <v>300</v>
      </c>
      <c r="H99" s="299">
        <f t="shared" si="26"/>
        <v>0</v>
      </c>
      <c r="I99" s="52">
        <v>0</v>
      </c>
      <c r="J99" s="52">
        <v>300</v>
      </c>
      <c r="K99" s="299">
        <f t="shared" si="25"/>
        <v>0</v>
      </c>
      <c r="L99" s="52">
        <v>0</v>
      </c>
      <c r="M99" s="299">
        <f t="shared" si="24"/>
        <v>0</v>
      </c>
      <c r="N99" s="52">
        <v>0</v>
      </c>
      <c r="O99" s="52">
        <v>0</v>
      </c>
      <c r="P99" s="299">
        <f t="shared" si="27"/>
        <v>0</v>
      </c>
    </row>
    <row r="100" spans="1:17" s="51" customFormat="1" ht="15.75" customHeight="1" x14ac:dyDescent="0.2">
      <c r="A100" s="77" t="s">
        <v>586</v>
      </c>
      <c r="B100" s="53" t="s">
        <v>45</v>
      </c>
      <c r="C100" s="53" t="s">
        <v>46</v>
      </c>
      <c r="D100" s="74" t="s">
        <v>585</v>
      </c>
      <c r="E100" s="73"/>
      <c r="F100" s="52">
        <f>F101+F104</f>
        <v>90</v>
      </c>
      <c r="G100" s="52">
        <f>G101+G104</f>
        <v>90</v>
      </c>
      <c r="H100" s="299">
        <f t="shared" si="26"/>
        <v>0</v>
      </c>
      <c r="I100" s="52">
        <f>I101+I104</f>
        <v>0</v>
      </c>
      <c r="J100" s="52">
        <f>J101+J104</f>
        <v>90</v>
      </c>
      <c r="K100" s="299">
        <f t="shared" si="25"/>
        <v>0</v>
      </c>
      <c r="L100" s="52">
        <f>L101+L104</f>
        <v>0</v>
      </c>
      <c r="M100" s="299">
        <f t="shared" si="24"/>
        <v>0</v>
      </c>
      <c r="N100" s="52">
        <f>N101+N104</f>
        <v>0</v>
      </c>
      <c r="O100" s="52">
        <f>O101+O104</f>
        <v>0</v>
      </c>
      <c r="P100" s="299">
        <f t="shared" si="27"/>
        <v>0</v>
      </c>
    </row>
    <row r="101" spans="1:17" s="51" customFormat="1" ht="26.25" customHeight="1" x14ac:dyDescent="0.2">
      <c r="A101" s="56" t="s">
        <v>584</v>
      </c>
      <c r="B101" s="53" t="s">
        <v>45</v>
      </c>
      <c r="C101" s="53" t="s">
        <v>46</v>
      </c>
      <c r="D101" s="54" t="s">
        <v>583</v>
      </c>
      <c r="E101" s="60"/>
      <c r="F101" s="52">
        <f>F102+F103</f>
        <v>90</v>
      </c>
      <c r="G101" s="52">
        <f>G102+G103</f>
        <v>90</v>
      </c>
      <c r="H101" s="299">
        <f t="shared" si="26"/>
        <v>0</v>
      </c>
      <c r="I101" s="52">
        <f>I102+I103</f>
        <v>0</v>
      </c>
      <c r="J101" s="52">
        <f>J102+J103</f>
        <v>90</v>
      </c>
      <c r="K101" s="299">
        <f t="shared" si="25"/>
        <v>0</v>
      </c>
      <c r="L101" s="52">
        <f>L102+L103</f>
        <v>0</v>
      </c>
      <c r="M101" s="299">
        <f t="shared" si="24"/>
        <v>0</v>
      </c>
      <c r="N101" s="52">
        <f>N102+N103</f>
        <v>0</v>
      </c>
      <c r="O101" s="52">
        <f>O102+O103</f>
        <v>0</v>
      </c>
      <c r="P101" s="299">
        <f t="shared" si="27"/>
        <v>0</v>
      </c>
    </row>
    <row r="102" spans="1:17" s="51" customFormat="1" ht="27" customHeight="1" x14ac:dyDescent="0.2">
      <c r="A102" s="69" t="s">
        <v>73</v>
      </c>
      <c r="B102" s="53" t="s">
        <v>45</v>
      </c>
      <c r="C102" s="53" t="s">
        <v>46</v>
      </c>
      <c r="D102" s="54" t="s">
        <v>583</v>
      </c>
      <c r="E102" s="60" t="s">
        <v>70</v>
      </c>
      <c r="F102" s="52">
        <v>10</v>
      </c>
      <c r="G102" s="52">
        <v>10</v>
      </c>
      <c r="H102" s="299">
        <f t="shared" si="26"/>
        <v>0</v>
      </c>
      <c r="I102" s="52">
        <v>0</v>
      </c>
      <c r="J102" s="52">
        <v>10</v>
      </c>
      <c r="K102" s="299">
        <f t="shared" si="25"/>
        <v>0</v>
      </c>
      <c r="L102" s="52">
        <v>0</v>
      </c>
      <c r="M102" s="299">
        <f t="shared" si="24"/>
        <v>0</v>
      </c>
      <c r="N102" s="52">
        <v>0</v>
      </c>
      <c r="O102" s="52">
        <v>0</v>
      </c>
      <c r="P102" s="299">
        <f t="shared" si="27"/>
        <v>0</v>
      </c>
    </row>
    <row r="103" spans="1:17" s="51" customFormat="1" ht="18" customHeight="1" x14ac:dyDescent="0.2">
      <c r="A103" s="64" t="s">
        <v>98</v>
      </c>
      <c r="B103" s="53" t="s">
        <v>45</v>
      </c>
      <c r="C103" s="53" t="s">
        <v>46</v>
      </c>
      <c r="D103" s="54" t="s">
        <v>583</v>
      </c>
      <c r="E103" s="60" t="s">
        <v>81</v>
      </c>
      <c r="F103" s="52">
        <v>80</v>
      </c>
      <c r="G103" s="52">
        <v>80</v>
      </c>
      <c r="H103" s="299">
        <f t="shared" si="26"/>
        <v>0</v>
      </c>
      <c r="I103" s="52">
        <v>0</v>
      </c>
      <c r="J103" s="52">
        <v>80</v>
      </c>
      <c r="K103" s="299">
        <f t="shared" si="25"/>
        <v>0</v>
      </c>
      <c r="L103" s="52">
        <v>0</v>
      </c>
      <c r="M103" s="299">
        <f t="shared" si="24"/>
        <v>0</v>
      </c>
      <c r="N103" s="52">
        <v>0</v>
      </c>
      <c r="O103" s="52">
        <v>0</v>
      </c>
      <c r="P103" s="299">
        <f t="shared" si="27"/>
        <v>0</v>
      </c>
    </row>
    <row r="104" spans="1:17" s="51" customFormat="1" ht="26.25" hidden="1" customHeight="1" x14ac:dyDescent="0.2">
      <c r="A104" s="56" t="s">
        <v>582</v>
      </c>
      <c r="B104" s="53" t="s">
        <v>45</v>
      </c>
      <c r="C104" s="53" t="s">
        <v>46</v>
      </c>
      <c r="D104" s="54" t="s">
        <v>580</v>
      </c>
      <c r="E104" s="60"/>
      <c r="F104" s="52">
        <f>F105</f>
        <v>0</v>
      </c>
      <c r="G104" s="52">
        <f>G105</f>
        <v>0</v>
      </c>
      <c r="H104" s="299">
        <f t="shared" si="26"/>
        <v>0</v>
      </c>
      <c r="I104" s="52">
        <f>I105</f>
        <v>0</v>
      </c>
      <c r="J104" s="52">
        <f>J105</f>
        <v>0</v>
      </c>
      <c r="K104" s="299">
        <f t="shared" si="25"/>
        <v>0</v>
      </c>
      <c r="L104" s="52">
        <f>L105</f>
        <v>0</v>
      </c>
      <c r="M104" s="299">
        <f t="shared" si="24"/>
        <v>0</v>
      </c>
      <c r="N104" s="52">
        <f>N105</f>
        <v>0</v>
      </c>
      <c r="O104" s="52">
        <f>O105</f>
        <v>0</v>
      </c>
      <c r="P104" s="299">
        <f t="shared" si="27"/>
        <v>0</v>
      </c>
    </row>
    <row r="105" spans="1:17" s="51" customFormat="1" hidden="1" x14ac:dyDescent="0.2">
      <c r="A105" s="81" t="s">
        <v>581</v>
      </c>
      <c r="B105" s="53" t="s">
        <v>45</v>
      </c>
      <c r="C105" s="53" t="s">
        <v>46</v>
      </c>
      <c r="D105" s="54" t="s">
        <v>580</v>
      </c>
      <c r="E105" s="60"/>
      <c r="F105" s="52">
        <f>F106</f>
        <v>0</v>
      </c>
      <c r="G105" s="52">
        <f>G106</f>
        <v>0</v>
      </c>
      <c r="H105" s="299">
        <f t="shared" si="26"/>
        <v>0</v>
      </c>
      <c r="I105" s="52">
        <f>I106</f>
        <v>0</v>
      </c>
      <c r="J105" s="52">
        <f>J106</f>
        <v>0</v>
      </c>
      <c r="K105" s="299">
        <f t="shared" si="25"/>
        <v>0</v>
      </c>
      <c r="L105" s="52">
        <f>L106</f>
        <v>0</v>
      </c>
      <c r="M105" s="299">
        <f t="shared" si="24"/>
        <v>0</v>
      </c>
      <c r="N105" s="52">
        <f>N106</f>
        <v>0</v>
      </c>
      <c r="O105" s="52">
        <f>O106</f>
        <v>0</v>
      </c>
      <c r="P105" s="299">
        <f t="shared" si="27"/>
        <v>0</v>
      </c>
    </row>
    <row r="106" spans="1:17" s="51" customFormat="1" ht="17.25" hidden="1" customHeight="1" x14ac:dyDescent="0.2">
      <c r="A106" s="64" t="s">
        <v>98</v>
      </c>
      <c r="B106" s="53" t="s">
        <v>45</v>
      </c>
      <c r="C106" s="53" t="s">
        <v>46</v>
      </c>
      <c r="D106" s="54" t="s">
        <v>580</v>
      </c>
      <c r="E106" s="60" t="s">
        <v>81</v>
      </c>
      <c r="F106" s="52">
        <v>0</v>
      </c>
      <c r="G106" s="52">
        <v>0</v>
      </c>
      <c r="H106" s="299">
        <f t="shared" si="26"/>
        <v>0</v>
      </c>
      <c r="I106" s="52">
        <v>0</v>
      </c>
      <c r="J106" s="52">
        <v>0</v>
      </c>
      <c r="K106" s="299">
        <f t="shared" si="25"/>
        <v>0</v>
      </c>
      <c r="L106" s="52">
        <v>0</v>
      </c>
      <c r="M106" s="299">
        <f t="shared" si="24"/>
        <v>0</v>
      </c>
      <c r="N106" s="52">
        <v>0</v>
      </c>
      <c r="O106" s="52">
        <v>0</v>
      </c>
      <c r="P106" s="299">
        <f t="shared" si="27"/>
        <v>0</v>
      </c>
    </row>
    <row r="107" spans="1:17" s="51" customFormat="1" ht="15.75" customHeight="1" x14ac:dyDescent="0.2">
      <c r="A107" s="77" t="s">
        <v>52</v>
      </c>
      <c r="B107" s="53" t="s">
        <v>45</v>
      </c>
      <c r="C107" s="53" t="s">
        <v>46</v>
      </c>
      <c r="D107" s="54" t="s">
        <v>104</v>
      </c>
      <c r="E107" s="60"/>
      <c r="F107" s="52">
        <f t="shared" ref="F107:G109" si="36">F108</f>
        <v>110.4</v>
      </c>
      <c r="G107" s="52">
        <f t="shared" si="36"/>
        <v>110.4</v>
      </c>
      <c r="H107" s="299">
        <f t="shared" si="26"/>
        <v>0</v>
      </c>
      <c r="I107" s="52">
        <f t="shared" ref="I107:L109" si="37">I108</f>
        <v>110.4</v>
      </c>
      <c r="J107" s="52">
        <f t="shared" si="37"/>
        <v>284.39999999999998</v>
      </c>
      <c r="K107" s="299">
        <f t="shared" si="25"/>
        <v>173.99999999999997</v>
      </c>
      <c r="L107" s="52">
        <f t="shared" si="37"/>
        <v>110.4</v>
      </c>
      <c r="M107" s="299">
        <f t="shared" si="24"/>
        <v>0</v>
      </c>
      <c r="N107" s="52">
        <f t="shared" ref="N107:O109" si="38">N108</f>
        <v>110.4</v>
      </c>
      <c r="O107" s="52">
        <f t="shared" si="38"/>
        <v>110.4</v>
      </c>
      <c r="P107" s="299">
        <f t="shared" si="27"/>
        <v>0</v>
      </c>
    </row>
    <row r="108" spans="1:17" s="51" customFormat="1" ht="39" customHeight="1" x14ac:dyDescent="0.2">
      <c r="A108" s="147" t="s">
        <v>103</v>
      </c>
      <c r="B108" s="53" t="s">
        <v>45</v>
      </c>
      <c r="C108" s="53" t="s">
        <v>46</v>
      </c>
      <c r="D108" s="54" t="s">
        <v>102</v>
      </c>
      <c r="E108" s="60"/>
      <c r="F108" s="52">
        <f t="shared" si="36"/>
        <v>110.4</v>
      </c>
      <c r="G108" s="52">
        <f>G109+G111+G113</f>
        <v>110.4</v>
      </c>
      <c r="H108" s="52">
        <f t="shared" ref="H108:O108" si="39">H109+H111+H113</f>
        <v>0</v>
      </c>
      <c r="I108" s="52">
        <f t="shared" si="39"/>
        <v>110.4</v>
      </c>
      <c r="J108" s="52">
        <f t="shared" si="39"/>
        <v>284.39999999999998</v>
      </c>
      <c r="K108" s="299">
        <f t="shared" si="25"/>
        <v>173.99999999999997</v>
      </c>
      <c r="L108" s="52">
        <f t="shared" si="39"/>
        <v>110.4</v>
      </c>
      <c r="M108" s="52">
        <f t="shared" si="39"/>
        <v>0</v>
      </c>
      <c r="N108" s="52">
        <f t="shared" si="39"/>
        <v>110.4</v>
      </c>
      <c r="O108" s="52">
        <f t="shared" si="39"/>
        <v>110.4</v>
      </c>
      <c r="P108" s="299">
        <f t="shared" si="27"/>
        <v>0</v>
      </c>
    </row>
    <row r="109" spans="1:17" s="51" customFormat="1" ht="29.25" customHeight="1" x14ac:dyDescent="0.2">
      <c r="A109" s="56" t="s">
        <v>579</v>
      </c>
      <c r="B109" s="53" t="s">
        <v>45</v>
      </c>
      <c r="C109" s="53" t="s">
        <v>46</v>
      </c>
      <c r="D109" s="53" t="s">
        <v>578</v>
      </c>
      <c r="E109" s="73"/>
      <c r="F109" s="52">
        <f t="shared" si="36"/>
        <v>110.4</v>
      </c>
      <c r="G109" s="52">
        <f t="shared" si="36"/>
        <v>110.4</v>
      </c>
      <c r="H109" s="299">
        <f t="shared" si="26"/>
        <v>0</v>
      </c>
      <c r="I109" s="52">
        <f t="shared" si="37"/>
        <v>110.4</v>
      </c>
      <c r="J109" s="52">
        <f t="shared" si="37"/>
        <v>110.4</v>
      </c>
      <c r="K109" s="299">
        <f t="shared" si="25"/>
        <v>0</v>
      </c>
      <c r="L109" s="52">
        <f t="shared" si="37"/>
        <v>110.4</v>
      </c>
      <c r="M109" s="299">
        <f t="shared" si="24"/>
        <v>0</v>
      </c>
      <c r="N109" s="52">
        <f t="shared" si="38"/>
        <v>110.4</v>
      </c>
      <c r="O109" s="52">
        <f t="shared" si="38"/>
        <v>110.4</v>
      </c>
      <c r="P109" s="299">
        <f t="shared" si="27"/>
        <v>0</v>
      </c>
    </row>
    <row r="110" spans="1:17" s="51" customFormat="1" ht="21" customHeight="1" x14ac:dyDescent="0.2">
      <c r="A110" s="120" t="s">
        <v>573</v>
      </c>
      <c r="B110" s="53" t="s">
        <v>45</v>
      </c>
      <c r="C110" s="53" t="s">
        <v>46</v>
      </c>
      <c r="D110" s="53" t="s">
        <v>578</v>
      </c>
      <c r="E110" s="73" t="s">
        <v>571</v>
      </c>
      <c r="F110" s="52">
        <v>110.4</v>
      </c>
      <c r="G110" s="52">
        <v>110.4</v>
      </c>
      <c r="H110" s="299">
        <f t="shared" si="26"/>
        <v>0</v>
      </c>
      <c r="I110" s="52">
        <v>110.4</v>
      </c>
      <c r="J110" s="52">
        <v>110.4</v>
      </c>
      <c r="K110" s="299">
        <f t="shared" si="25"/>
        <v>0</v>
      </c>
      <c r="L110" s="52">
        <v>110.4</v>
      </c>
      <c r="M110" s="299">
        <f t="shared" si="24"/>
        <v>0</v>
      </c>
      <c r="N110" s="52">
        <v>110.4</v>
      </c>
      <c r="O110" s="52">
        <v>110.4</v>
      </c>
      <c r="P110" s="299">
        <f t="shared" si="27"/>
        <v>0</v>
      </c>
    </row>
    <row r="111" spans="1:17" s="51" customFormat="1" ht="54.75" customHeight="1" x14ac:dyDescent="0.2">
      <c r="A111" s="174" t="s">
        <v>1115</v>
      </c>
      <c r="B111" s="53" t="s">
        <v>45</v>
      </c>
      <c r="C111" s="53" t="s">
        <v>46</v>
      </c>
      <c r="D111" s="53" t="s">
        <v>1118</v>
      </c>
      <c r="E111" s="60"/>
      <c r="F111" s="52"/>
      <c r="G111" s="52">
        <f>G112</f>
        <v>0</v>
      </c>
      <c r="H111" s="52">
        <f t="shared" ref="H111:O111" si="40">H112</f>
        <v>0</v>
      </c>
      <c r="I111" s="52">
        <f t="shared" si="40"/>
        <v>0</v>
      </c>
      <c r="J111" s="52">
        <f t="shared" si="40"/>
        <v>15</v>
      </c>
      <c r="K111" s="299">
        <f t="shared" si="25"/>
        <v>15</v>
      </c>
      <c r="L111" s="52">
        <f t="shared" si="40"/>
        <v>0</v>
      </c>
      <c r="M111" s="52">
        <f t="shared" si="40"/>
        <v>0</v>
      </c>
      <c r="N111" s="52">
        <f t="shared" si="40"/>
        <v>0</v>
      </c>
      <c r="O111" s="52">
        <f t="shared" si="40"/>
        <v>0</v>
      </c>
      <c r="P111" s="299"/>
      <c r="Q111" s="32"/>
    </row>
    <row r="112" spans="1:17" s="51" customFormat="1" ht="15.75" customHeight="1" x14ac:dyDescent="0.2">
      <c r="A112" s="88" t="s">
        <v>1116</v>
      </c>
      <c r="B112" s="53" t="s">
        <v>45</v>
      </c>
      <c r="C112" s="53" t="s">
        <v>46</v>
      </c>
      <c r="D112" s="53" t="s">
        <v>1118</v>
      </c>
      <c r="E112" s="60" t="s">
        <v>571</v>
      </c>
      <c r="F112" s="52"/>
      <c r="G112" s="52">
        <v>0</v>
      </c>
      <c r="H112" s="315"/>
      <c r="I112" s="52"/>
      <c r="J112" s="52">
        <v>15</v>
      </c>
      <c r="K112" s="299">
        <f t="shared" si="25"/>
        <v>15</v>
      </c>
      <c r="L112" s="52">
        <v>0</v>
      </c>
      <c r="M112" s="320"/>
      <c r="N112" s="65"/>
      <c r="O112" s="52">
        <v>0</v>
      </c>
      <c r="P112" s="299"/>
      <c r="Q112" s="32"/>
    </row>
    <row r="113" spans="1:17" s="51" customFormat="1" ht="28.5" customHeight="1" x14ac:dyDescent="0.2">
      <c r="A113" s="399" t="s">
        <v>1117</v>
      </c>
      <c r="B113" s="53" t="s">
        <v>45</v>
      </c>
      <c r="C113" s="53" t="s">
        <v>46</v>
      </c>
      <c r="D113" s="53" t="s">
        <v>1119</v>
      </c>
      <c r="E113" s="60"/>
      <c r="F113" s="52"/>
      <c r="G113" s="52">
        <f>G114</f>
        <v>0</v>
      </c>
      <c r="H113" s="52">
        <f t="shared" ref="H113:O113" si="41">H114</f>
        <v>0</v>
      </c>
      <c r="I113" s="52">
        <f t="shared" si="41"/>
        <v>0</v>
      </c>
      <c r="J113" s="52">
        <f t="shared" si="41"/>
        <v>159</v>
      </c>
      <c r="K113" s="299">
        <f t="shared" si="25"/>
        <v>159</v>
      </c>
      <c r="L113" s="52">
        <f t="shared" si="41"/>
        <v>0</v>
      </c>
      <c r="M113" s="52">
        <f t="shared" si="41"/>
        <v>0</v>
      </c>
      <c r="N113" s="52">
        <f t="shared" si="41"/>
        <v>0</v>
      </c>
      <c r="O113" s="52">
        <f t="shared" si="41"/>
        <v>0</v>
      </c>
      <c r="P113" s="299"/>
      <c r="Q113" s="32"/>
    </row>
    <row r="114" spans="1:17" s="51" customFormat="1" ht="15.75" customHeight="1" x14ac:dyDescent="0.2">
      <c r="A114" s="88" t="s">
        <v>1116</v>
      </c>
      <c r="B114" s="53" t="s">
        <v>45</v>
      </c>
      <c r="C114" s="53" t="s">
        <v>46</v>
      </c>
      <c r="D114" s="53" t="s">
        <v>1119</v>
      </c>
      <c r="E114" s="60" t="s">
        <v>571</v>
      </c>
      <c r="F114" s="52"/>
      <c r="G114" s="52">
        <v>0</v>
      </c>
      <c r="H114" s="315"/>
      <c r="I114" s="52"/>
      <c r="J114" s="52">
        <v>159</v>
      </c>
      <c r="K114" s="299">
        <f t="shared" si="25"/>
        <v>159</v>
      </c>
      <c r="L114" s="52">
        <v>0</v>
      </c>
      <c r="M114" s="320"/>
      <c r="N114" s="65"/>
      <c r="O114" s="52">
        <v>0</v>
      </c>
      <c r="P114" s="299"/>
      <c r="Q114" s="32"/>
    </row>
    <row r="115" spans="1:17" s="51" customFormat="1" ht="27" customHeight="1" x14ac:dyDescent="0.2">
      <c r="A115" s="141" t="s">
        <v>577</v>
      </c>
      <c r="B115" s="78" t="s">
        <v>45</v>
      </c>
      <c r="C115" s="78" t="s">
        <v>46</v>
      </c>
      <c r="D115" s="54" t="s">
        <v>535</v>
      </c>
      <c r="E115" s="53"/>
      <c r="F115" s="52">
        <f>F116</f>
        <v>3511.4</v>
      </c>
      <c r="G115" s="52">
        <f>G116</f>
        <v>4111.3999999999996</v>
      </c>
      <c r="H115" s="299">
        <f t="shared" si="26"/>
        <v>599.99999999999955</v>
      </c>
      <c r="I115" s="52">
        <f>I116</f>
        <v>3511.4</v>
      </c>
      <c r="J115" s="52">
        <f>J116</f>
        <v>4111.3999999999996</v>
      </c>
      <c r="K115" s="299">
        <f t="shared" si="25"/>
        <v>0</v>
      </c>
      <c r="L115" s="52">
        <f>L116</f>
        <v>3511.4</v>
      </c>
      <c r="M115" s="299">
        <f t="shared" si="24"/>
        <v>0</v>
      </c>
      <c r="N115" s="52">
        <f>N116</f>
        <v>3511.4</v>
      </c>
      <c r="O115" s="52">
        <f>O116</f>
        <v>3511.4</v>
      </c>
      <c r="P115" s="299">
        <f t="shared" si="27"/>
        <v>0</v>
      </c>
    </row>
    <row r="116" spans="1:17" s="143" customFormat="1" ht="16.5" customHeight="1" x14ac:dyDescent="0.2">
      <c r="A116" s="145" t="s">
        <v>52</v>
      </c>
      <c r="B116" s="78" t="s">
        <v>45</v>
      </c>
      <c r="C116" s="78" t="s">
        <v>46</v>
      </c>
      <c r="D116" s="54" t="s">
        <v>534</v>
      </c>
      <c r="E116" s="53"/>
      <c r="F116" s="52">
        <f>F117+F120+F123+F126+F135+F130</f>
        <v>3511.4</v>
      </c>
      <c r="G116" s="52">
        <f>G117+G120+G123+G126+G135+G130</f>
        <v>4111.3999999999996</v>
      </c>
      <c r="H116" s="299">
        <f t="shared" si="26"/>
        <v>599.99999999999955</v>
      </c>
      <c r="I116" s="52">
        <f>I117+I120+I123+I126+I135+I130</f>
        <v>3511.4</v>
      </c>
      <c r="J116" s="52">
        <f>J117+J120+J123+J126+J135+J130</f>
        <v>4111.3999999999996</v>
      </c>
      <c r="K116" s="299">
        <f t="shared" si="25"/>
        <v>0</v>
      </c>
      <c r="L116" s="52">
        <f>L117+L120+L123+L126+L135+L130</f>
        <v>3511.4</v>
      </c>
      <c r="M116" s="299">
        <f t="shared" si="24"/>
        <v>0</v>
      </c>
      <c r="N116" s="52">
        <f>N117+N120+N123+N126+N135+N130</f>
        <v>3511.4</v>
      </c>
      <c r="O116" s="52">
        <f>O117+O120+O123+O126+O135+O130</f>
        <v>3511.4</v>
      </c>
      <c r="P116" s="299">
        <f t="shared" si="27"/>
        <v>0</v>
      </c>
    </row>
    <row r="117" spans="1:17" s="143" customFormat="1" ht="27" customHeight="1" x14ac:dyDescent="0.2">
      <c r="A117" s="145" t="s">
        <v>576</v>
      </c>
      <c r="B117" s="78" t="s">
        <v>45</v>
      </c>
      <c r="C117" s="78" t="s">
        <v>46</v>
      </c>
      <c r="D117" s="54" t="s">
        <v>575</v>
      </c>
      <c r="E117" s="53"/>
      <c r="F117" s="52">
        <f>F118</f>
        <v>390</v>
      </c>
      <c r="G117" s="52">
        <f>G118</f>
        <v>390</v>
      </c>
      <c r="H117" s="299">
        <f t="shared" si="26"/>
        <v>0</v>
      </c>
      <c r="I117" s="52">
        <f>I118</f>
        <v>390</v>
      </c>
      <c r="J117" s="52">
        <f>J118</f>
        <v>390</v>
      </c>
      <c r="K117" s="299">
        <f t="shared" si="25"/>
        <v>0</v>
      </c>
      <c r="L117" s="52">
        <f>L118</f>
        <v>390</v>
      </c>
      <c r="M117" s="299">
        <f t="shared" si="24"/>
        <v>0</v>
      </c>
      <c r="N117" s="52">
        <f>N118</f>
        <v>390</v>
      </c>
      <c r="O117" s="52">
        <f>O118</f>
        <v>390</v>
      </c>
      <c r="P117" s="299">
        <f t="shared" si="27"/>
        <v>0</v>
      </c>
    </row>
    <row r="118" spans="1:17" s="143" customFormat="1" ht="27.75" customHeight="1" x14ac:dyDescent="0.2">
      <c r="A118" s="84" t="s">
        <v>574</v>
      </c>
      <c r="B118" s="78" t="s">
        <v>45</v>
      </c>
      <c r="C118" s="78" t="s">
        <v>46</v>
      </c>
      <c r="D118" s="54" t="s">
        <v>572</v>
      </c>
      <c r="E118" s="53"/>
      <c r="F118" s="52">
        <f>F119</f>
        <v>390</v>
      </c>
      <c r="G118" s="52">
        <f>G119</f>
        <v>390</v>
      </c>
      <c r="H118" s="299">
        <f t="shared" si="26"/>
        <v>0</v>
      </c>
      <c r="I118" s="52">
        <f>I119</f>
        <v>390</v>
      </c>
      <c r="J118" s="52">
        <f>J119</f>
        <v>390</v>
      </c>
      <c r="K118" s="299">
        <f t="shared" si="25"/>
        <v>0</v>
      </c>
      <c r="L118" s="52">
        <f>L119</f>
        <v>390</v>
      </c>
      <c r="M118" s="299">
        <f t="shared" si="24"/>
        <v>0</v>
      </c>
      <c r="N118" s="52">
        <f>N119</f>
        <v>390</v>
      </c>
      <c r="O118" s="52">
        <f>O119</f>
        <v>390</v>
      </c>
      <c r="P118" s="299">
        <f t="shared" si="27"/>
        <v>0</v>
      </c>
    </row>
    <row r="119" spans="1:17" s="143" customFormat="1" ht="17.25" customHeight="1" x14ac:dyDescent="0.2">
      <c r="A119" s="93" t="s">
        <v>573</v>
      </c>
      <c r="B119" s="78" t="s">
        <v>45</v>
      </c>
      <c r="C119" s="78" t="s">
        <v>46</v>
      </c>
      <c r="D119" s="54" t="s">
        <v>572</v>
      </c>
      <c r="E119" s="53" t="s">
        <v>571</v>
      </c>
      <c r="F119" s="52">
        <v>390</v>
      </c>
      <c r="G119" s="52">
        <v>390</v>
      </c>
      <c r="H119" s="299">
        <f t="shared" si="26"/>
        <v>0</v>
      </c>
      <c r="I119" s="52">
        <v>390</v>
      </c>
      <c r="J119" s="52">
        <v>390</v>
      </c>
      <c r="K119" s="299">
        <f t="shared" si="25"/>
        <v>0</v>
      </c>
      <c r="L119" s="52">
        <v>390</v>
      </c>
      <c r="M119" s="299">
        <f t="shared" si="24"/>
        <v>0</v>
      </c>
      <c r="N119" s="52">
        <v>390</v>
      </c>
      <c r="O119" s="52">
        <v>390</v>
      </c>
      <c r="P119" s="299">
        <f t="shared" si="27"/>
        <v>0</v>
      </c>
    </row>
    <row r="120" spans="1:17" s="143" customFormat="1" ht="27" customHeight="1" x14ac:dyDescent="0.2">
      <c r="A120" s="146" t="s">
        <v>570</v>
      </c>
      <c r="B120" s="78" t="s">
        <v>45</v>
      </c>
      <c r="C120" s="78" t="s">
        <v>46</v>
      </c>
      <c r="D120" s="54" t="s">
        <v>569</v>
      </c>
      <c r="E120" s="53"/>
      <c r="F120" s="52">
        <f>F121</f>
        <v>80</v>
      </c>
      <c r="G120" s="52">
        <f>G121</f>
        <v>680</v>
      </c>
      <c r="H120" s="299">
        <f t="shared" si="26"/>
        <v>600</v>
      </c>
      <c r="I120" s="52">
        <f>I121</f>
        <v>80</v>
      </c>
      <c r="J120" s="52">
        <f>J121</f>
        <v>680</v>
      </c>
      <c r="K120" s="299">
        <f t="shared" si="25"/>
        <v>0</v>
      </c>
      <c r="L120" s="52">
        <f>L121</f>
        <v>80</v>
      </c>
      <c r="M120" s="299">
        <f t="shared" si="24"/>
        <v>0</v>
      </c>
      <c r="N120" s="52">
        <f>N121</f>
        <v>80</v>
      </c>
      <c r="O120" s="52">
        <f>O121</f>
        <v>80</v>
      </c>
      <c r="P120" s="299">
        <f t="shared" si="27"/>
        <v>0</v>
      </c>
    </row>
    <row r="121" spans="1:17" s="143" customFormat="1" ht="18.75" customHeight="1" x14ac:dyDescent="0.2">
      <c r="A121" s="84" t="s">
        <v>568</v>
      </c>
      <c r="B121" s="78" t="s">
        <v>45</v>
      </c>
      <c r="C121" s="78" t="s">
        <v>46</v>
      </c>
      <c r="D121" s="54" t="s">
        <v>567</v>
      </c>
      <c r="E121" s="53"/>
      <c r="F121" s="52">
        <f>F122</f>
        <v>80</v>
      </c>
      <c r="G121" s="52">
        <f>G122</f>
        <v>680</v>
      </c>
      <c r="H121" s="299">
        <f t="shared" si="26"/>
        <v>600</v>
      </c>
      <c r="I121" s="52">
        <f>I122</f>
        <v>80</v>
      </c>
      <c r="J121" s="52">
        <f>J122</f>
        <v>680</v>
      </c>
      <c r="K121" s="299">
        <f t="shared" si="25"/>
        <v>0</v>
      </c>
      <c r="L121" s="52">
        <f>L122</f>
        <v>80</v>
      </c>
      <c r="M121" s="299">
        <f t="shared" si="24"/>
        <v>0</v>
      </c>
      <c r="N121" s="52">
        <f>N122</f>
        <v>80</v>
      </c>
      <c r="O121" s="52">
        <f>O122</f>
        <v>80</v>
      </c>
      <c r="P121" s="299">
        <f t="shared" si="27"/>
        <v>0</v>
      </c>
    </row>
    <row r="122" spans="1:17" s="143" customFormat="1" ht="25.5" customHeight="1" x14ac:dyDescent="0.2">
      <c r="A122" s="84" t="s">
        <v>73</v>
      </c>
      <c r="B122" s="78" t="s">
        <v>45</v>
      </c>
      <c r="C122" s="78" t="s">
        <v>46</v>
      </c>
      <c r="D122" s="54" t="s">
        <v>567</v>
      </c>
      <c r="E122" s="53" t="s">
        <v>70</v>
      </c>
      <c r="F122" s="52">
        <v>80</v>
      </c>
      <c r="G122" s="52">
        <f>80+600</f>
        <v>680</v>
      </c>
      <c r="H122" s="299">
        <f t="shared" si="26"/>
        <v>600</v>
      </c>
      <c r="I122" s="52">
        <v>80</v>
      </c>
      <c r="J122" s="52">
        <f>80+600</f>
        <v>680</v>
      </c>
      <c r="K122" s="299">
        <f t="shared" si="25"/>
        <v>0</v>
      </c>
      <c r="L122" s="52">
        <v>80</v>
      </c>
      <c r="M122" s="299">
        <f t="shared" si="24"/>
        <v>0</v>
      </c>
      <c r="N122" s="52">
        <v>80</v>
      </c>
      <c r="O122" s="52">
        <v>80</v>
      </c>
      <c r="P122" s="299">
        <f t="shared" si="27"/>
        <v>0</v>
      </c>
    </row>
    <row r="123" spans="1:17" s="143" customFormat="1" ht="37.5" customHeight="1" x14ac:dyDescent="0.2">
      <c r="A123" s="145" t="s">
        <v>566</v>
      </c>
      <c r="B123" s="78" t="s">
        <v>45</v>
      </c>
      <c r="C123" s="78" t="s">
        <v>46</v>
      </c>
      <c r="D123" s="54" t="s">
        <v>565</v>
      </c>
      <c r="E123" s="53"/>
      <c r="F123" s="52">
        <f>F124</f>
        <v>10</v>
      </c>
      <c r="G123" s="52">
        <f>G124</f>
        <v>10</v>
      </c>
      <c r="H123" s="299">
        <f t="shared" si="26"/>
        <v>0</v>
      </c>
      <c r="I123" s="52">
        <f>I124</f>
        <v>10</v>
      </c>
      <c r="J123" s="52">
        <f>J124</f>
        <v>10</v>
      </c>
      <c r="K123" s="299">
        <f t="shared" si="25"/>
        <v>0</v>
      </c>
      <c r="L123" s="52">
        <f>L124</f>
        <v>10</v>
      </c>
      <c r="M123" s="299">
        <f t="shared" si="24"/>
        <v>0</v>
      </c>
      <c r="N123" s="52">
        <f>N124</f>
        <v>10</v>
      </c>
      <c r="O123" s="52">
        <f>O124</f>
        <v>10</v>
      </c>
      <c r="P123" s="299">
        <f t="shared" si="27"/>
        <v>0</v>
      </c>
    </row>
    <row r="124" spans="1:17" s="143" customFormat="1" ht="27.75" customHeight="1" x14ac:dyDescent="0.2">
      <c r="A124" s="139" t="s">
        <v>564</v>
      </c>
      <c r="B124" s="78" t="s">
        <v>45</v>
      </c>
      <c r="C124" s="78" t="s">
        <v>46</v>
      </c>
      <c r="D124" s="54" t="s">
        <v>563</v>
      </c>
      <c r="E124" s="53"/>
      <c r="F124" s="52">
        <f>F125</f>
        <v>10</v>
      </c>
      <c r="G124" s="52">
        <f>G125</f>
        <v>10</v>
      </c>
      <c r="H124" s="299">
        <f t="shared" si="26"/>
        <v>0</v>
      </c>
      <c r="I124" s="52">
        <f>I125</f>
        <v>10</v>
      </c>
      <c r="J124" s="52">
        <f>J125</f>
        <v>10</v>
      </c>
      <c r="K124" s="299">
        <f t="shared" si="25"/>
        <v>0</v>
      </c>
      <c r="L124" s="52">
        <f>L125</f>
        <v>10</v>
      </c>
      <c r="M124" s="299">
        <f t="shared" si="24"/>
        <v>0</v>
      </c>
      <c r="N124" s="52">
        <f>N125</f>
        <v>10</v>
      </c>
      <c r="O124" s="52">
        <f>O125</f>
        <v>10</v>
      </c>
      <c r="P124" s="299">
        <f t="shared" si="27"/>
        <v>0</v>
      </c>
    </row>
    <row r="125" spans="1:17" s="143" customFormat="1" ht="24.75" customHeight="1" x14ac:dyDescent="0.2">
      <c r="A125" s="84" t="s">
        <v>73</v>
      </c>
      <c r="B125" s="78" t="s">
        <v>45</v>
      </c>
      <c r="C125" s="78" t="s">
        <v>46</v>
      </c>
      <c r="D125" s="54" t="s">
        <v>563</v>
      </c>
      <c r="E125" s="53" t="s">
        <v>70</v>
      </c>
      <c r="F125" s="52">
        <v>10</v>
      </c>
      <c r="G125" s="52">
        <v>10</v>
      </c>
      <c r="H125" s="299">
        <f t="shared" si="26"/>
        <v>0</v>
      </c>
      <c r="I125" s="52">
        <v>10</v>
      </c>
      <c r="J125" s="52">
        <v>10</v>
      </c>
      <c r="K125" s="299">
        <f t="shared" si="25"/>
        <v>0</v>
      </c>
      <c r="L125" s="52">
        <v>10</v>
      </c>
      <c r="M125" s="299">
        <f t="shared" si="24"/>
        <v>0</v>
      </c>
      <c r="N125" s="52">
        <v>10</v>
      </c>
      <c r="O125" s="52">
        <v>10</v>
      </c>
      <c r="P125" s="299">
        <f t="shared" si="27"/>
        <v>0</v>
      </c>
    </row>
    <row r="126" spans="1:17" s="143" customFormat="1" ht="54" customHeight="1" x14ac:dyDescent="0.2">
      <c r="A126" s="66" t="s">
        <v>562</v>
      </c>
      <c r="B126" s="78" t="s">
        <v>45</v>
      </c>
      <c r="C126" s="78" t="s">
        <v>46</v>
      </c>
      <c r="D126" s="54" t="s">
        <v>561</v>
      </c>
      <c r="E126" s="53"/>
      <c r="F126" s="52">
        <f>F127</f>
        <v>2744</v>
      </c>
      <c r="G126" s="52">
        <f>G127</f>
        <v>2744</v>
      </c>
      <c r="H126" s="299">
        <f t="shared" si="26"/>
        <v>0</v>
      </c>
      <c r="I126" s="52">
        <f>I127</f>
        <v>2744</v>
      </c>
      <c r="J126" s="52">
        <f>J127</f>
        <v>2744</v>
      </c>
      <c r="K126" s="299">
        <f t="shared" si="25"/>
        <v>0</v>
      </c>
      <c r="L126" s="52">
        <f>L127</f>
        <v>2744</v>
      </c>
      <c r="M126" s="299">
        <f t="shared" si="24"/>
        <v>0</v>
      </c>
      <c r="N126" s="52">
        <f>N127</f>
        <v>2744</v>
      </c>
      <c r="O126" s="52">
        <f>O127</f>
        <v>2744</v>
      </c>
      <c r="P126" s="299">
        <f t="shared" si="27"/>
        <v>0</v>
      </c>
    </row>
    <row r="127" spans="1:17" s="143" customFormat="1" ht="37.5" customHeight="1" x14ac:dyDescent="0.2">
      <c r="A127" s="144" t="s">
        <v>560</v>
      </c>
      <c r="B127" s="78" t="s">
        <v>45</v>
      </c>
      <c r="C127" s="78" t="s">
        <v>46</v>
      </c>
      <c r="D127" s="54" t="s">
        <v>559</v>
      </c>
      <c r="E127" s="53"/>
      <c r="F127" s="52">
        <f>F128+F129</f>
        <v>2744</v>
      </c>
      <c r="G127" s="52">
        <f>G128+G129</f>
        <v>2744</v>
      </c>
      <c r="H127" s="299">
        <f t="shared" si="26"/>
        <v>0</v>
      </c>
      <c r="I127" s="52">
        <f>I128+I129</f>
        <v>2744</v>
      </c>
      <c r="J127" s="52">
        <f>J128+J129</f>
        <v>2744</v>
      </c>
      <c r="K127" s="299">
        <f t="shared" si="25"/>
        <v>0</v>
      </c>
      <c r="L127" s="52">
        <f>L128+L129</f>
        <v>2744</v>
      </c>
      <c r="M127" s="299">
        <f t="shared" si="24"/>
        <v>0</v>
      </c>
      <c r="N127" s="52">
        <f>N128+N129</f>
        <v>2744</v>
      </c>
      <c r="O127" s="52">
        <f>O128+O129</f>
        <v>2744</v>
      </c>
      <c r="P127" s="299">
        <f t="shared" si="27"/>
        <v>0</v>
      </c>
    </row>
    <row r="128" spans="1:17" s="143" customFormat="1" ht="18" customHeight="1" x14ac:dyDescent="0.2">
      <c r="A128" s="85" t="s">
        <v>145</v>
      </c>
      <c r="B128" s="78" t="s">
        <v>45</v>
      </c>
      <c r="C128" s="78" t="s">
        <v>46</v>
      </c>
      <c r="D128" s="54" t="s">
        <v>559</v>
      </c>
      <c r="E128" s="53" t="s">
        <v>144</v>
      </c>
      <c r="F128" s="52">
        <v>2360.4</v>
      </c>
      <c r="G128" s="52">
        <v>2360.4</v>
      </c>
      <c r="H128" s="299">
        <f t="shared" si="26"/>
        <v>0</v>
      </c>
      <c r="I128" s="52">
        <v>2360.4</v>
      </c>
      <c r="J128" s="52">
        <v>2360.4</v>
      </c>
      <c r="K128" s="299">
        <f t="shared" si="25"/>
        <v>0</v>
      </c>
      <c r="L128" s="52">
        <v>2360.4</v>
      </c>
      <c r="M128" s="299">
        <f t="shared" si="24"/>
        <v>0</v>
      </c>
      <c r="N128" s="52">
        <v>2360.4</v>
      </c>
      <c r="O128" s="52">
        <v>2360.4</v>
      </c>
      <c r="P128" s="299">
        <f t="shared" si="27"/>
        <v>0</v>
      </c>
    </row>
    <row r="129" spans="1:16" s="143" customFormat="1" ht="28.5" customHeight="1" x14ac:dyDescent="0.2">
      <c r="A129" s="56" t="s">
        <v>73</v>
      </c>
      <c r="B129" s="78" t="s">
        <v>45</v>
      </c>
      <c r="C129" s="78" t="s">
        <v>46</v>
      </c>
      <c r="D129" s="54" t="s">
        <v>559</v>
      </c>
      <c r="E129" s="53" t="s">
        <v>70</v>
      </c>
      <c r="F129" s="52">
        <v>383.6</v>
      </c>
      <c r="G129" s="52">
        <v>383.6</v>
      </c>
      <c r="H129" s="299">
        <f t="shared" si="26"/>
        <v>0</v>
      </c>
      <c r="I129" s="52">
        <v>383.6</v>
      </c>
      <c r="J129" s="52">
        <v>383.6</v>
      </c>
      <c r="K129" s="299">
        <f t="shared" si="25"/>
        <v>0</v>
      </c>
      <c r="L129" s="52">
        <v>383.6</v>
      </c>
      <c r="M129" s="299">
        <f t="shared" si="24"/>
        <v>0</v>
      </c>
      <c r="N129" s="52">
        <v>383.6</v>
      </c>
      <c r="O129" s="52">
        <v>383.6</v>
      </c>
      <c r="P129" s="299">
        <f t="shared" si="27"/>
        <v>0</v>
      </c>
    </row>
    <row r="130" spans="1:16" s="143" customFormat="1" ht="28.5" customHeight="1" x14ac:dyDescent="0.2">
      <c r="A130" s="139" t="s">
        <v>533</v>
      </c>
      <c r="B130" s="53" t="s">
        <v>45</v>
      </c>
      <c r="C130" s="53" t="s">
        <v>46</v>
      </c>
      <c r="D130" s="54" t="s">
        <v>532</v>
      </c>
      <c r="E130" s="78"/>
      <c r="F130" s="52">
        <f>F131+F133</f>
        <v>147</v>
      </c>
      <c r="G130" s="52">
        <f>G131+G133</f>
        <v>147</v>
      </c>
      <c r="H130" s="299">
        <f t="shared" si="26"/>
        <v>0</v>
      </c>
      <c r="I130" s="52">
        <f>I131+I133</f>
        <v>147</v>
      </c>
      <c r="J130" s="52">
        <f>J131+J133</f>
        <v>147</v>
      </c>
      <c r="K130" s="299">
        <f t="shared" si="25"/>
        <v>0</v>
      </c>
      <c r="L130" s="52">
        <f>L131+L133</f>
        <v>147</v>
      </c>
      <c r="M130" s="299">
        <f t="shared" si="24"/>
        <v>0</v>
      </c>
      <c r="N130" s="52">
        <f>N131+N133</f>
        <v>147</v>
      </c>
      <c r="O130" s="52">
        <f>O131+O133</f>
        <v>147</v>
      </c>
      <c r="P130" s="299">
        <f t="shared" si="27"/>
        <v>0</v>
      </c>
    </row>
    <row r="131" spans="1:16" s="143" customFormat="1" ht="19.5" customHeight="1" x14ac:dyDescent="0.2">
      <c r="A131" s="85" t="s">
        <v>558</v>
      </c>
      <c r="B131" s="53" t="s">
        <v>45</v>
      </c>
      <c r="C131" s="53" t="s">
        <v>46</v>
      </c>
      <c r="D131" s="53" t="s">
        <v>557</v>
      </c>
      <c r="E131" s="78"/>
      <c r="F131" s="52">
        <f>F132</f>
        <v>138</v>
      </c>
      <c r="G131" s="52">
        <f>G132</f>
        <v>138</v>
      </c>
      <c r="H131" s="299">
        <f t="shared" si="26"/>
        <v>0</v>
      </c>
      <c r="I131" s="52">
        <f>I132</f>
        <v>138</v>
      </c>
      <c r="J131" s="52">
        <f>J132</f>
        <v>138</v>
      </c>
      <c r="K131" s="299">
        <f t="shared" si="25"/>
        <v>0</v>
      </c>
      <c r="L131" s="52">
        <f>L132</f>
        <v>138</v>
      </c>
      <c r="M131" s="299">
        <f t="shared" si="24"/>
        <v>0</v>
      </c>
      <c r="N131" s="52">
        <f>N132</f>
        <v>138</v>
      </c>
      <c r="O131" s="52">
        <f>O132</f>
        <v>138</v>
      </c>
      <c r="P131" s="299">
        <f t="shared" si="27"/>
        <v>0</v>
      </c>
    </row>
    <row r="132" spans="1:16" s="143" customFormat="1" ht="16.5" customHeight="1" x14ac:dyDescent="0.2">
      <c r="A132" s="56" t="s">
        <v>413</v>
      </c>
      <c r="B132" s="53" t="s">
        <v>45</v>
      </c>
      <c r="C132" s="53" t="s">
        <v>46</v>
      </c>
      <c r="D132" s="53" t="s">
        <v>557</v>
      </c>
      <c r="E132" s="78" t="s">
        <v>320</v>
      </c>
      <c r="F132" s="52">
        <v>138</v>
      </c>
      <c r="G132" s="52">
        <v>138</v>
      </c>
      <c r="H132" s="299">
        <f t="shared" si="26"/>
        <v>0</v>
      </c>
      <c r="I132" s="52">
        <v>138</v>
      </c>
      <c r="J132" s="52">
        <v>138</v>
      </c>
      <c r="K132" s="299">
        <f t="shared" si="25"/>
        <v>0</v>
      </c>
      <c r="L132" s="52">
        <v>138</v>
      </c>
      <c r="M132" s="299">
        <f t="shared" si="24"/>
        <v>0</v>
      </c>
      <c r="N132" s="52">
        <v>138</v>
      </c>
      <c r="O132" s="52">
        <v>138</v>
      </c>
      <c r="P132" s="299">
        <f t="shared" si="27"/>
        <v>0</v>
      </c>
    </row>
    <row r="133" spans="1:16" s="143" customFormat="1" ht="15.75" customHeight="1" x14ac:dyDescent="0.2">
      <c r="A133" s="56" t="s">
        <v>556</v>
      </c>
      <c r="B133" s="53" t="s">
        <v>45</v>
      </c>
      <c r="C133" s="53" t="s">
        <v>46</v>
      </c>
      <c r="D133" s="53" t="s">
        <v>555</v>
      </c>
      <c r="E133" s="78"/>
      <c r="F133" s="52">
        <f>F134</f>
        <v>9</v>
      </c>
      <c r="G133" s="52">
        <f>G134</f>
        <v>9</v>
      </c>
      <c r="H133" s="299">
        <f t="shared" si="26"/>
        <v>0</v>
      </c>
      <c r="I133" s="52">
        <f>I134</f>
        <v>9</v>
      </c>
      <c r="J133" s="52">
        <f>J134</f>
        <v>9</v>
      </c>
      <c r="K133" s="299">
        <f t="shared" si="25"/>
        <v>0</v>
      </c>
      <c r="L133" s="52">
        <f>L134</f>
        <v>9</v>
      </c>
      <c r="M133" s="299">
        <f t="shared" si="24"/>
        <v>0</v>
      </c>
      <c r="N133" s="52">
        <f>N134</f>
        <v>9</v>
      </c>
      <c r="O133" s="52">
        <f>O134</f>
        <v>9</v>
      </c>
      <c r="P133" s="299">
        <f t="shared" si="27"/>
        <v>0</v>
      </c>
    </row>
    <row r="134" spans="1:16" s="143" customFormat="1" ht="14.25" customHeight="1" x14ac:dyDescent="0.2">
      <c r="A134" s="56" t="s">
        <v>413</v>
      </c>
      <c r="B134" s="53" t="s">
        <v>45</v>
      </c>
      <c r="C134" s="53" t="s">
        <v>46</v>
      </c>
      <c r="D134" s="53" t="s">
        <v>555</v>
      </c>
      <c r="E134" s="78" t="s">
        <v>320</v>
      </c>
      <c r="F134" s="52">
        <v>9</v>
      </c>
      <c r="G134" s="52">
        <v>9</v>
      </c>
      <c r="H134" s="299">
        <f t="shared" si="26"/>
        <v>0</v>
      </c>
      <c r="I134" s="52">
        <v>9</v>
      </c>
      <c r="J134" s="52">
        <v>9</v>
      </c>
      <c r="K134" s="299">
        <f t="shared" si="25"/>
        <v>0</v>
      </c>
      <c r="L134" s="52">
        <v>9</v>
      </c>
      <c r="M134" s="299">
        <f t="shared" si="24"/>
        <v>0</v>
      </c>
      <c r="N134" s="52">
        <v>9</v>
      </c>
      <c r="O134" s="52">
        <v>9</v>
      </c>
      <c r="P134" s="299">
        <f t="shared" si="27"/>
        <v>0</v>
      </c>
    </row>
    <row r="135" spans="1:16" s="143" customFormat="1" ht="26.25" customHeight="1" x14ac:dyDescent="0.2">
      <c r="A135" s="62" t="s">
        <v>554</v>
      </c>
      <c r="B135" s="53" t="s">
        <v>45</v>
      </c>
      <c r="C135" s="53" t="s">
        <v>46</v>
      </c>
      <c r="D135" s="54" t="s">
        <v>553</v>
      </c>
      <c r="E135" s="60"/>
      <c r="F135" s="52">
        <f>F136</f>
        <v>140.4</v>
      </c>
      <c r="G135" s="52">
        <f>G136</f>
        <v>140.4</v>
      </c>
      <c r="H135" s="299">
        <f t="shared" si="26"/>
        <v>0</v>
      </c>
      <c r="I135" s="52">
        <f>I136</f>
        <v>140.4</v>
      </c>
      <c r="J135" s="52">
        <f>J136</f>
        <v>140.4</v>
      </c>
      <c r="K135" s="299">
        <f t="shared" si="25"/>
        <v>0</v>
      </c>
      <c r="L135" s="52">
        <f>L136</f>
        <v>140.4</v>
      </c>
      <c r="M135" s="299">
        <f t="shared" si="24"/>
        <v>0</v>
      </c>
      <c r="N135" s="52">
        <f>N136</f>
        <v>140.4</v>
      </c>
      <c r="O135" s="52">
        <f>O136</f>
        <v>140.4</v>
      </c>
      <c r="P135" s="299">
        <f t="shared" si="27"/>
        <v>0</v>
      </c>
    </row>
    <row r="136" spans="1:16" s="143" customFormat="1" ht="25.5" customHeight="1" x14ac:dyDescent="0.2">
      <c r="A136" s="81" t="s">
        <v>552</v>
      </c>
      <c r="B136" s="53" t="s">
        <v>45</v>
      </c>
      <c r="C136" s="53" t="s">
        <v>46</v>
      </c>
      <c r="D136" s="54" t="s">
        <v>551</v>
      </c>
      <c r="E136" s="60"/>
      <c r="F136" s="52">
        <f>F137</f>
        <v>140.4</v>
      </c>
      <c r="G136" s="52">
        <f>G137</f>
        <v>140.4</v>
      </c>
      <c r="H136" s="299">
        <f t="shared" si="26"/>
        <v>0</v>
      </c>
      <c r="I136" s="52">
        <f>I137</f>
        <v>140.4</v>
      </c>
      <c r="J136" s="52">
        <f>J137</f>
        <v>140.4</v>
      </c>
      <c r="K136" s="299">
        <f t="shared" si="25"/>
        <v>0</v>
      </c>
      <c r="L136" s="52">
        <f>L137</f>
        <v>140.4</v>
      </c>
      <c r="M136" s="299">
        <f t="shared" si="24"/>
        <v>0</v>
      </c>
      <c r="N136" s="52">
        <f>N137</f>
        <v>140.4</v>
      </c>
      <c r="O136" s="52">
        <f>O137</f>
        <v>140.4</v>
      </c>
      <c r="P136" s="299">
        <f t="shared" si="27"/>
        <v>0</v>
      </c>
    </row>
    <row r="137" spans="1:16" s="143" customFormat="1" ht="29.25" customHeight="1" x14ac:dyDescent="0.2">
      <c r="A137" s="81" t="s">
        <v>73</v>
      </c>
      <c r="B137" s="53" t="s">
        <v>45</v>
      </c>
      <c r="C137" s="53" t="s">
        <v>46</v>
      </c>
      <c r="D137" s="54" t="s">
        <v>551</v>
      </c>
      <c r="E137" s="60" t="s">
        <v>70</v>
      </c>
      <c r="F137" s="52">
        <v>140.4</v>
      </c>
      <c r="G137" s="52">
        <v>140.4</v>
      </c>
      <c r="H137" s="299">
        <f t="shared" si="26"/>
        <v>0</v>
      </c>
      <c r="I137" s="52">
        <v>140.4</v>
      </c>
      <c r="J137" s="52">
        <v>140.4</v>
      </c>
      <c r="K137" s="299">
        <f t="shared" si="25"/>
        <v>0</v>
      </c>
      <c r="L137" s="52">
        <v>140.4</v>
      </c>
      <c r="M137" s="299">
        <f t="shared" si="24"/>
        <v>0</v>
      </c>
      <c r="N137" s="52">
        <v>140.4</v>
      </c>
      <c r="O137" s="52">
        <v>140.4</v>
      </c>
      <c r="P137" s="299">
        <f t="shared" si="27"/>
        <v>0</v>
      </c>
    </row>
    <row r="138" spans="1:16" s="143" customFormat="1" ht="43.5" customHeight="1" x14ac:dyDescent="0.2">
      <c r="A138" s="64" t="s">
        <v>68</v>
      </c>
      <c r="B138" s="78" t="s">
        <v>45</v>
      </c>
      <c r="C138" s="78" t="s">
        <v>46</v>
      </c>
      <c r="D138" s="54" t="s">
        <v>67</v>
      </c>
      <c r="E138" s="78"/>
      <c r="F138" s="52">
        <f>F139+F145</f>
        <v>240</v>
      </c>
      <c r="G138" s="52">
        <f>G139+G145</f>
        <v>240</v>
      </c>
      <c r="H138" s="299">
        <f t="shared" si="26"/>
        <v>0</v>
      </c>
      <c r="I138" s="52">
        <f>I139+I145</f>
        <v>840</v>
      </c>
      <c r="J138" s="52">
        <f>J139+J145</f>
        <v>240</v>
      </c>
      <c r="K138" s="299">
        <f t="shared" si="25"/>
        <v>0</v>
      </c>
      <c r="L138" s="52">
        <f>L139+L145</f>
        <v>840</v>
      </c>
      <c r="M138" s="299">
        <f t="shared" ref="M138:M201" si="42">L138-I138</f>
        <v>0</v>
      </c>
      <c r="N138" s="52">
        <f>N139+N145</f>
        <v>840</v>
      </c>
      <c r="O138" s="52">
        <f>O139+O145</f>
        <v>840</v>
      </c>
      <c r="P138" s="299">
        <f t="shared" si="27"/>
        <v>0</v>
      </c>
    </row>
    <row r="139" spans="1:16" s="143" customFormat="1" ht="14.25" hidden="1" customHeight="1" x14ac:dyDescent="0.2">
      <c r="A139" s="62" t="s">
        <v>66</v>
      </c>
      <c r="B139" s="78" t="s">
        <v>45</v>
      </c>
      <c r="C139" s="78" t="s">
        <v>46</v>
      </c>
      <c r="D139" s="54" t="s">
        <v>65</v>
      </c>
      <c r="E139" s="60"/>
      <c r="F139" s="52">
        <f>F140</f>
        <v>0</v>
      </c>
      <c r="G139" s="52">
        <f>G140</f>
        <v>0</v>
      </c>
      <c r="H139" s="299">
        <f t="shared" si="26"/>
        <v>0</v>
      </c>
      <c r="I139" s="52">
        <f>I140</f>
        <v>0</v>
      </c>
      <c r="J139" s="52">
        <f>J140</f>
        <v>0</v>
      </c>
      <c r="K139" s="299">
        <f t="shared" ref="K139:K202" si="43">J139-G139</f>
        <v>0</v>
      </c>
      <c r="L139" s="52">
        <f>L140</f>
        <v>0</v>
      </c>
      <c r="M139" s="299">
        <f t="shared" si="42"/>
        <v>0</v>
      </c>
      <c r="N139" s="52">
        <f>N140</f>
        <v>0</v>
      </c>
      <c r="O139" s="52">
        <f>O140</f>
        <v>0</v>
      </c>
      <c r="P139" s="299">
        <f t="shared" si="27"/>
        <v>0</v>
      </c>
    </row>
    <row r="140" spans="1:16" s="143" customFormat="1" ht="27" hidden="1" customHeight="1" x14ac:dyDescent="0.2">
      <c r="A140" s="62" t="s">
        <v>550</v>
      </c>
      <c r="B140" s="78" t="s">
        <v>45</v>
      </c>
      <c r="C140" s="78" t="s">
        <v>46</v>
      </c>
      <c r="D140" s="54" t="s">
        <v>549</v>
      </c>
      <c r="E140" s="60"/>
      <c r="F140" s="52">
        <f>F141</f>
        <v>0</v>
      </c>
      <c r="G140" s="52">
        <f>G141</f>
        <v>0</v>
      </c>
      <c r="H140" s="299">
        <f t="shared" si="26"/>
        <v>0</v>
      </c>
      <c r="I140" s="52">
        <f>I141</f>
        <v>0</v>
      </c>
      <c r="J140" s="52">
        <f>J141</f>
        <v>0</v>
      </c>
      <c r="K140" s="299">
        <f t="shared" si="43"/>
        <v>0</v>
      </c>
      <c r="L140" s="52">
        <f>L141</f>
        <v>0</v>
      </c>
      <c r="M140" s="299">
        <f t="shared" si="42"/>
        <v>0</v>
      </c>
      <c r="N140" s="52">
        <f>N141</f>
        <v>0</v>
      </c>
      <c r="O140" s="52">
        <f>O141</f>
        <v>0</v>
      </c>
      <c r="P140" s="299">
        <f t="shared" si="27"/>
        <v>0</v>
      </c>
    </row>
    <row r="141" spans="1:16" s="143" customFormat="1" ht="27" hidden="1" customHeight="1" x14ac:dyDescent="0.2">
      <c r="A141" s="62" t="s">
        <v>546</v>
      </c>
      <c r="B141" s="53" t="s">
        <v>45</v>
      </c>
      <c r="C141" s="53" t="s">
        <v>46</v>
      </c>
      <c r="D141" s="54" t="s">
        <v>1093</v>
      </c>
      <c r="E141" s="60"/>
      <c r="F141" s="52">
        <f>F142+F143+F144</f>
        <v>0</v>
      </c>
      <c r="G141" s="52">
        <f>G142+G143+G144</f>
        <v>0</v>
      </c>
      <c r="H141" s="299">
        <f t="shared" si="26"/>
        <v>0</v>
      </c>
      <c r="I141" s="52">
        <f>I142+I143+I144</f>
        <v>0</v>
      </c>
      <c r="J141" s="52">
        <f>J142+J143+J144</f>
        <v>0</v>
      </c>
      <c r="K141" s="299">
        <f t="shared" si="43"/>
        <v>0</v>
      </c>
      <c r="L141" s="52">
        <f>L142+L143+L144</f>
        <v>0</v>
      </c>
      <c r="M141" s="299">
        <f t="shared" si="42"/>
        <v>0</v>
      </c>
      <c r="N141" s="52">
        <f>N142+N143+N144</f>
        <v>0</v>
      </c>
      <c r="O141" s="52">
        <f>O142+O143+O144</f>
        <v>0</v>
      </c>
      <c r="P141" s="299">
        <f t="shared" si="27"/>
        <v>0</v>
      </c>
    </row>
    <row r="142" spans="1:16" s="143" customFormat="1" ht="27" hidden="1" customHeight="1" x14ac:dyDescent="0.2">
      <c r="A142" s="56" t="s">
        <v>73</v>
      </c>
      <c r="B142" s="53" t="s">
        <v>45</v>
      </c>
      <c r="C142" s="53" t="s">
        <v>46</v>
      </c>
      <c r="D142" s="54" t="s">
        <v>1093</v>
      </c>
      <c r="E142" s="60" t="s">
        <v>70</v>
      </c>
      <c r="F142" s="52"/>
      <c r="G142" s="52"/>
      <c r="H142" s="299">
        <f t="shared" si="26"/>
        <v>0</v>
      </c>
      <c r="I142" s="52"/>
      <c r="J142" s="52"/>
      <c r="K142" s="299">
        <f t="shared" si="43"/>
        <v>0</v>
      </c>
      <c r="L142" s="52"/>
      <c r="M142" s="299">
        <f t="shared" si="42"/>
        <v>0</v>
      </c>
      <c r="N142" s="52"/>
      <c r="O142" s="52"/>
      <c r="P142" s="299">
        <f t="shared" si="27"/>
        <v>0</v>
      </c>
    </row>
    <row r="143" spans="1:16" s="143" customFormat="1" ht="14.25" hidden="1" customHeight="1" x14ac:dyDescent="0.2">
      <c r="A143" s="64" t="s">
        <v>82</v>
      </c>
      <c r="B143" s="53" t="s">
        <v>45</v>
      </c>
      <c r="C143" s="53" t="s">
        <v>46</v>
      </c>
      <c r="D143" s="54" t="s">
        <v>1093</v>
      </c>
      <c r="E143" s="60" t="s">
        <v>81</v>
      </c>
      <c r="F143" s="52"/>
      <c r="G143" s="52"/>
      <c r="H143" s="299">
        <f t="shared" si="26"/>
        <v>0</v>
      </c>
      <c r="I143" s="52"/>
      <c r="J143" s="52"/>
      <c r="K143" s="299">
        <f t="shared" si="43"/>
        <v>0</v>
      </c>
      <c r="L143" s="52"/>
      <c r="M143" s="299">
        <f t="shared" si="42"/>
        <v>0</v>
      </c>
      <c r="N143" s="52"/>
      <c r="O143" s="52"/>
      <c r="P143" s="299">
        <f t="shared" si="27"/>
        <v>0</v>
      </c>
    </row>
    <row r="144" spans="1:16" s="143" customFormat="1" ht="14.25" hidden="1" customHeight="1" x14ac:dyDescent="0.2">
      <c r="A144" s="61" t="s">
        <v>61</v>
      </c>
      <c r="B144" s="53" t="s">
        <v>45</v>
      </c>
      <c r="C144" s="53" t="s">
        <v>46</v>
      </c>
      <c r="D144" s="54" t="s">
        <v>1093</v>
      </c>
      <c r="E144" s="60" t="s">
        <v>57</v>
      </c>
      <c r="F144" s="52"/>
      <c r="G144" s="52"/>
      <c r="H144" s="299">
        <f t="shared" ref="H144:H207" si="44">G144-F144</f>
        <v>0</v>
      </c>
      <c r="I144" s="52"/>
      <c r="J144" s="52"/>
      <c r="K144" s="299">
        <f t="shared" si="43"/>
        <v>0</v>
      </c>
      <c r="L144" s="52"/>
      <c r="M144" s="299">
        <f t="shared" si="42"/>
        <v>0</v>
      </c>
      <c r="N144" s="52"/>
      <c r="O144" s="52"/>
      <c r="P144" s="299">
        <f t="shared" ref="P144:P207" si="45">O144-N144</f>
        <v>0</v>
      </c>
    </row>
    <row r="145" spans="1:19" s="143" customFormat="1" ht="16.5" customHeight="1" x14ac:dyDescent="0.2">
      <c r="A145" s="62" t="s">
        <v>52</v>
      </c>
      <c r="B145" s="78" t="s">
        <v>45</v>
      </c>
      <c r="C145" s="78" t="s">
        <v>46</v>
      </c>
      <c r="D145" s="54" t="s">
        <v>92</v>
      </c>
      <c r="E145" s="78"/>
      <c r="F145" s="52">
        <f>F146</f>
        <v>240</v>
      </c>
      <c r="G145" s="52">
        <f>G146</f>
        <v>240</v>
      </c>
      <c r="H145" s="299">
        <f t="shared" si="44"/>
        <v>0</v>
      </c>
      <c r="I145" s="52">
        <f>I146</f>
        <v>840</v>
      </c>
      <c r="J145" s="52">
        <f>J146</f>
        <v>240</v>
      </c>
      <c r="K145" s="299">
        <f t="shared" si="43"/>
        <v>0</v>
      </c>
      <c r="L145" s="52">
        <f>L146</f>
        <v>840</v>
      </c>
      <c r="M145" s="299">
        <f t="shared" si="42"/>
        <v>0</v>
      </c>
      <c r="N145" s="52">
        <f>N146</f>
        <v>840</v>
      </c>
      <c r="O145" s="52">
        <f>O146</f>
        <v>840</v>
      </c>
      <c r="P145" s="299">
        <f t="shared" si="45"/>
        <v>0</v>
      </c>
    </row>
    <row r="146" spans="1:19" s="143" customFormat="1" ht="26.25" customHeight="1" x14ac:dyDescent="0.2">
      <c r="A146" s="62" t="s">
        <v>548</v>
      </c>
      <c r="B146" s="78" t="s">
        <v>45</v>
      </c>
      <c r="C146" s="78" t="s">
        <v>46</v>
      </c>
      <c r="D146" s="54" t="s">
        <v>547</v>
      </c>
      <c r="E146" s="60"/>
      <c r="F146" s="52">
        <f>F147</f>
        <v>240</v>
      </c>
      <c r="G146" s="52">
        <f>G147</f>
        <v>240</v>
      </c>
      <c r="H146" s="299">
        <f t="shared" si="44"/>
        <v>0</v>
      </c>
      <c r="I146" s="52">
        <f>I147</f>
        <v>840</v>
      </c>
      <c r="J146" s="52">
        <f>J147</f>
        <v>240</v>
      </c>
      <c r="K146" s="299">
        <f t="shared" si="43"/>
        <v>0</v>
      </c>
      <c r="L146" s="52">
        <f>L147</f>
        <v>840</v>
      </c>
      <c r="M146" s="299">
        <f t="shared" si="42"/>
        <v>0</v>
      </c>
      <c r="N146" s="52">
        <f>N147</f>
        <v>840</v>
      </c>
      <c r="O146" s="52">
        <f>O147</f>
        <v>840</v>
      </c>
      <c r="P146" s="299">
        <f t="shared" si="45"/>
        <v>0</v>
      </c>
      <c r="Q146" s="51"/>
      <c r="R146" s="51"/>
      <c r="S146" s="51"/>
    </row>
    <row r="147" spans="1:19" s="143" customFormat="1" ht="26.25" customHeight="1" x14ac:dyDescent="0.2">
      <c r="A147" s="62" t="s">
        <v>546</v>
      </c>
      <c r="B147" s="53" t="s">
        <v>45</v>
      </c>
      <c r="C147" s="53" t="s">
        <v>46</v>
      </c>
      <c r="D147" s="54" t="s">
        <v>545</v>
      </c>
      <c r="E147" s="60"/>
      <c r="F147" s="52">
        <f>F148+F149</f>
        <v>240</v>
      </c>
      <c r="G147" s="52">
        <f>G148+G149</f>
        <v>240</v>
      </c>
      <c r="H147" s="299">
        <f t="shared" si="44"/>
        <v>0</v>
      </c>
      <c r="I147" s="52">
        <f>I148+I149</f>
        <v>840</v>
      </c>
      <c r="J147" s="52">
        <f>J148+J149</f>
        <v>240</v>
      </c>
      <c r="K147" s="299">
        <f t="shared" si="43"/>
        <v>0</v>
      </c>
      <c r="L147" s="52">
        <f>L148+L149</f>
        <v>840</v>
      </c>
      <c r="M147" s="299">
        <f t="shared" si="42"/>
        <v>0</v>
      </c>
      <c r="N147" s="52">
        <f>N148+N149</f>
        <v>840</v>
      </c>
      <c r="O147" s="52">
        <f>O148+O149</f>
        <v>840</v>
      </c>
      <c r="P147" s="299">
        <f t="shared" si="45"/>
        <v>0</v>
      </c>
      <c r="Q147" s="51"/>
      <c r="R147" s="51"/>
      <c r="S147" s="51"/>
    </row>
    <row r="148" spans="1:19" s="143" customFormat="1" ht="14.25" customHeight="1" x14ac:dyDescent="0.2">
      <c r="A148" s="64" t="s">
        <v>82</v>
      </c>
      <c r="B148" s="53" t="s">
        <v>45</v>
      </c>
      <c r="C148" s="53" t="s">
        <v>46</v>
      </c>
      <c r="D148" s="54" t="s">
        <v>545</v>
      </c>
      <c r="E148" s="60" t="s">
        <v>81</v>
      </c>
      <c r="F148" s="52">
        <f>340-200</f>
        <v>140</v>
      </c>
      <c r="G148" s="52">
        <f>340-200</f>
        <v>140</v>
      </c>
      <c r="H148" s="299">
        <f t="shared" si="44"/>
        <v>0</v>
      </c>
      <c r="I148" s="52">
        <v>340</v>
      </c>
      <c r="J148" s="52">
        <f>340-200</f>
        <v>140</v>
      </c>
      <c r="K148" s="299">
        <f t="shared" si="43"/>
        <v>0</v>
      </c>
      <c r="L148" s="52">
        <v>340</v>
      </c>
      <c r="M148" s="299">
        <f t="shared" si="42"/>
        <v>0</v>
      </c>
      <c r="N148" s="65">
        <v>340</v>
      </c>
      <c r="O148" s="65">
        <v>340</v>
      </c>
      <c r="P148" s="299">
        <f t="shared" si="45"/>
        <v>0</v>
      </c>
      <c r="Q148" s="142"/>
      <c r="R148" s="142"/>
      <c r="S148" s="51"/>
    </row>
    <row r="149" spans="1:19" s="143" customFormat="1" ht="14.25" customHeight="1" x14ac:dyDescent="0.2">
      <c r="A149" s="61" t="s">
        <v>61</v>
      </c>
      <c r="B149" s="53" t="s">
        <v>45</v>
      </c>
      <c r="C149" s="53" t="s">
        <v>46</v>
      </c>
      <c r="D149" s="54" t="s">
        <v>545</v>
      </c>
      <c r="E149" s="60" t="s">
        <v>57</v>
      </c>
      <c r="F149" s="52">
        <f>500-500+100</f>
        <v>100</v>
      </c>
      <c r="G149" s="52">
        <f>500-500+100</f>
        <v>100</v>
      </c>
      <c r="H149" s="299">
        <f t="shared" si="44"/>
        <v>0</v>
      </c>
      <c r="I149" s="52">
        <v>500</v>
      </c>
      <c r="J149" s="52">
        <f>500-500+100</f>
        <v>100</v>
      </c>
      <c r="K149" s="299">
        <f t="shared" si="43"/>
        <v>0</v>
      </c>
      <c r="L149" s="52">
        <v>500</v>
      </c>
      <c r="M149" s="299">
        <f t="shared" si="42"/>
        <v>0</v>
      </c>
      <c r="N149" s="65">
        <v>500</v>
      </c>
      <c r="O149" s="65">
        <v>500</v>
      </c>
      <c r="P149" s="299">
        <f t="shared" si="45"/>
        <v>0</v>
      </c>
    </row>
    <row r="150" spans="1:19" s="51" customFormat="1" ht="39" customHeight="1" x14ac:dyDescent="0.2">
      <c r="A150" s="56" t="s">
        <v>453</v>
      </c>
      <c r="B150" s="53" t="s">
        <v>45</v>
      </c>
      <c r="C150" s="53" t="s">
        <v>46</v>
      </c>
      <c r="D150" s="54" t="s">
        <v>452</v>
      </c>
      <c r="E150" s="53"/>
      <c r="F150" s="52">
        <f t="shared" ref="F150:G153" si="46">F151</f>
        <v>30</v>
      </c>
      <c r="G150" s="52">
        <f t="shared" si="46"/>
        <v>30</v>
      </c>
      <c r="H150" s="299">
        <f t="shared" si="44"/>
        <v>0</v>
      </c>
      <c r="I150" s="52">
        <f t="shared" ref="I150:L153" si="47">I151</f>
        <v>30</v>
      </c>
      <c r="J150" s="52">
        <f t="shared" si="47"/>
        <v>30</v>
      </c>
      <c r="K150" s="299">
        <f t="shared" si="43"/>
        <v>0</v>
      </c>
      <c r="L150" s="52">
        <f t="shared" si="47"/>
        <v>30</v>
      </c>
      <c r="M150" s="299">
        <f t="shared" si="42"/>
        <v>0</v>
      </c>
      <c r="N150" s="52">
        <f t="shared" ref="N150:O153" si="48">N151</f>
        <v>30</v>
      </c>
      <c r="O150" s="52">
        <f t="shared" si="48"/>
        <v>30</v>
      </c>
      <c r="P150" s="299">
        <f t="shared" si="45"/>
        <v>0</v>
      </c>
    </row>
    <row r="151" spans="1:19" s="51" customFormat="1" ht="15" customHeight="1" x14ac:dyDescent="0.2">
      <c r="A151" s="56" t="s">
        <v>52</v>
      </c>
      <c r="B151" s="53" t="s">
        <v>45</v>
      </c>
      <c r="C151" s="53" t="s">
        <v>46</v>
      </c>
      <c r="D151" s="54" t="s">
        <v>451</v>
      </c>
      <c r="E151" s="53"/>
      <c r="F151" s="52">
        <f t="shared" si="46"/>
        <v>30</v>
      </c>
      <c r="G151" s="52">
        <f t="shared" si="46"/>
        <v>30</v>
      </c>
      <c r="H151" s="299">
        <f t="shared" si="44"/>
        <v>0</v>
      </c>
      <c r="I151" s="52">
        <f t="shared" si="47"/>
        <v>30</v>
      </c>
      <c r="J151" s="52">
        <f t="shared" si="47"/>
        <v>30</v>
      </c>
      <c r="K151" s="299">
        <f t="shared" si="43"/>
        <v>0</v>
      </c>
      <c r="L151" s="52">
        <f t="shared" si="47"/>
        <v>30</v>
      </c>
      <c r="M151" s="299">
        <f t="shared" si="42"/>
        <v>0</v>
      </c>
      <c r="N151" s="52">
        <f t="shared" si="48"/>
        <v>30</v>
      </c>
      <c r="O151" s="52">
        <f t="shared" si="48"/>
        <v>30</v>
      </c>
      <c r="P151" s="299">
        <f t="shared" si="45"/>
        <v>0</v>
      </c>
    </row>
    <row r="152" spans="1:19" s="51" customFormat="1" ht="29.25" customHeight="1" x14ac:dyDescent="0.2">
      <c r="A152" s="56" t="s">
        <v>450</v>
      </c>
      <c r="B152" s="53" t="s">
        <v>45</v>
      </c>
      <c r="C152" s="53" t="s">
        <v>46</v>
      </c>
      <c r="D152" s="54" t="s">
        <v>449</v>
      </c>
      <c r="E152" s="53"/>
      <c r="F152" s="52">
        <f t="shared" si="46"/>
        <v>30</v>
      </c>
      <c r="G152" s="52">
        <f t="shared" si="46"/>
        <v>30</v>
      </c>
      <c r="H152" s="299">
        <f t="shared" si="44"/>
        <v>0</v>
      </c>
      <c r="I152" s="52">
        <f t="shared" si="47"/>
        <v>30</v>
      </c>
      <c r="J152" s="52">
        <f t="shared" si="47"/>
        <v>30</v>
      </c>
      <c r="K152" s="299">
        <f t="shared" si="43"/>
        <v>0</v>
      </c>
      <c r="L152" s="52">
        <f t="shared" si="47"/>
        <v>30</v>
      </c>
      <c r="M152" s="299">
        <f t="shared" si="42"/>
        <v>0</v>
      </c>
      <c r="N152" s="52">
        <f t="shared" si="48"/>
        <v>30</v>
      </c>
      <c r="O152" s="52">
        <f t="shared" si="48"/>
        <v>30</v>
      </c>
      <c r="P152" s="299">
        <f t="shared" si="45"/>
        <v>0</v>
      </c>
    </row>
    <row r="153" spans="1:19" s="51" customFormat="1" ht="54.75" customHeight="1" x14ac:dyDescent="0.2">
      <c r="A153" s="56" t="s">
        <v>491</v>
      </c>
      <c r="B153" s="53" t="s">
        <v>45</v>
      </c>
      <c r="C153" s="53" t="s">
        <v>46</v>
      </c>
      <c r="D153" s="54" t="s">
        <v>488</v>
      </c>
      <c r="E153" s="53"/>
      <c r="F153" s="52">
        <f t="shared" si="46"/>
        <v>30</v>
      </c>
      <c r="G153" s="52">
        <f t="shared" si="46"/>
        <v>30</v>
      </c>
      <c r="H153" s="299">
        <f t="shared" si="44"/>
        <v>0</v>
      </c>
      <c r="I153" s="52">
        <f t="shared" si="47"/>
        <v>30</v>
      </c>
      <c r="J153" s="52">
        <f t="shared" si="47"/>
        <v>30</v>
      </c>
      <c r="K153" s="299">
        <f t="shared" si="43"/>
        <v>0</v>
      </c>
      <c r="L153" s="52">
        <f t="shared" si="47"/>
        <v>30</v>
      </c>
      <c r="M153" s="299">
        <f t="shared" si="42"/>
        <v>0</v>
      </c>
      <c r="N153" s="52">
        <f t="shared" si="48"/>
        <v>30</v>
      </c>
      <c r="O153" s="52">
        <f t="shared" si="48"/>
        <v>30</v>
      </c>
      <c r="P153" s="299">
        <f t="shared" si="45"/>
        <v>0</v>
      </c>
    </row>
    <row r="154" spans="1:19" s="51" customFormat="1" ht="29.25" customHeight="1" x14ac:dyDescent="0.2">
      <c r="A154" s="56" t="s">
        <v>73</v>
      </c>
      <c r="B154" s="53" t="s">
        <v>45</v>
      </c>
      <c r="C154" s="53" t="s">
        <v>46</v>
      </c>
      <c r="D154" s="54" t="s">
        <v>488</v>
      </c>
      <c r="E154" s="53" t="s">
        <v>70</v>
      </c>
      <c r="F154" s="52">
        <f>10+20</f>
        <v>30</v>
      </c>
      <c r="G154" s="52">
        <f>10+20</f>
        <v>30</v>
      </c>
      <c r="H154" s="299">
        <f t="shared" si="44"/>
        <v>0</v>
      </c>
      <c r="I154" s="52">
        <f>10+20</f>
        <v>30</v>
      </c>
      <c r="J154" s="52">
        <f>10+20</f>
        <v>30</v>
      </c>
      <c r="K154" s="299">
        <f t="shared" si="43"/>
        <v>0</v>
      </c>
      <c r="L154" s="52">
        <f>10+20</f>
        <v>30</v>
      </c>
      <c r="M154" s="299">
        <f t="shared" si="42"/>
        <v>0</v>
      </c>
      <c r="N154" s="52">
        <f>10+20</f>
        <v>30</v>
      </c>
      <c r="O154" s="52">
        <f>10+20</f>
        <v>30</v>
      </c>
      <c r="P154" s="299">
        <f t="shared" si="45"/>
        <v>0</v>
      </c>
    </row>
    <row r="155" spans="1:19" s="51" customFormat="1" ht="27" customHeight="1" x14ac:dyDescent="0.2">
      <c r="A155" s="56" t="s">
        <v>54</v>
      </c>
      <c r="B155" s="78" t="s">
        <v>45</v>
      </c>
      <c r="C155" s="78" t="s">
        <v>46</v>
      </c>
      <c r="D155" s="54" t="s">
        <v>53</v>
      </c>
      <c r="E155" s="78"/>
      <c r="F155" s="52">
        <f>F156</f>
        <v>16361.6</v>
      </c>
      <c r="G155" s="52">
        <f>G156</f>
        <v>16366.6</v>
      </c>
      <c r="H155" s="299">
        <f t="shared" si="44"/>
        <v>5</v>
      </c>
      <c r="I155" s="52">
        <f>I156</f>
        <v>15794.6</v>
      </c>
      <c r="J155" s="52">
        <f>J156</f>
        <v>16366.6</v>
      </c>
      <c r="K155" s="299">
        <f t="shared" si="43"/>
        <v>0</v>
      </c>
      <c r="L155" s="52">
        <f>L156</f>
        <v>15794.6</v>
      </c>
      <c r="M155" s="299">
        <f t="shared" si="42"/>
        <v>0</v>
      </c>
      <c r="N155" s="52">
        <f>N156</f>
        <v>15794.6</v>
      </c>
      <c r="O155" s="52">
        <f>O156</f>
        <v>15794.6</v>
      </c>
      <c r="P155" s="299">
        <f t="shared" si="45"/>
        <v>0</v>
      </c>
    </row>
    <row r="156" spans="1:19" s="51" customFormat="1" ht="16.5" customHeight="1" x14ac:dyDescent="0.2">
      <c r="A156" s="141" t="s">
        <v>52</v>
      </c>
      <c r="B156" s="78" t="s">
        <v>45</v>
      </c>
      <c r="C156" s="78" t="s">
        <v>46</v>
      </c>
      <c r="D156" s="54" t="s">
        <v>51</v>
      </c>
      <c r="E156" s="78"/>
      <c r="F156" s="52">
        <f>F157</f>
        <v>16361.6</v>
      </c>
      <c r="G156" s="52">
        <f>G157</f>
        <v>16366.6</v>
      </c>
      <c r="H156" s="299">
        <f t="shared" si="44"/>
        <v>5</v>
      </c>
      <c r="I156" s="52">
        <f>I157</f>
        <v>15794.6</v>
      </c>
      <c r="J156" s="52">
        <f>J157</f>
        <v>16366.6</v>
      </c>
      <c r="K156" s="299">
        <f t="shared" si="43"/>
        <v>0</v>
      </c>
      <c r="L156" s="52">
        <f>L157</f>
        <v>15794.6</v>
      </c>
      <c r="M156" s="299">
        <f t="shared" si="42"/>
        <v>0</v>
      </c>
      <c r="N156" s="52">
        <f>N157</f>
        <v>15794.6</v>
      </c>
      <c r="O156" s="52">
        <f>O157</f>
        <v>15794.6</v>
      </c>
      <c r="P156" s="299">
        <f t="shared" si="45"/>
        <v>0</v>
      </c>
    </row>
    <row r="157" spans="1:19" s="51" customFormat="1" ht="30.75" customHeight="1" x14ac:dyDescent="0.2">
      <c r="A157" s="141" t="s">
        <v>544</v>
      </c>
      <c r="B157" s="78" t="s">
        <v>45</v>
      </c>
      <c r="C157" s="78" t="s">
        <v>46</v>
      </c>
      <c r="D157" s="54" t="s">
        <v>543</v>
      </c>
      <c r="E157" s="78"/>
      <c r="F157" s="52">
        <f>F158+F160+F164</f>
        <v>16361.6</v>
      </c>
      <c r="G157" s="52">
        <f>G158+G160+G164</f>
        <v>16366.6</v>
      </c>
      <c r="H157" s="299">
        <f t="shared" si="44"/>
        <v>5</v>
      </c>
      <c r="I157" s="52">
        <f>I158+I160+I164</f>
        <v>15794.6</v>
      </c>
      <c r="J157" s="52">
        <f>J158+J160+J164</f>
        <v>16366.6</v>
      </c>
      <c r="K157" s="299">
        <f t="shared" si="43"/>
        <v>0</v>
      </c>
      <c r="L157" s="52">
        <f>L158+L160+L164</f>
        <v>15794.6</v>
      </c>
      <c r="M157" s="299">
        <f t="shared" si="42"/>
        <v>0</v>
      </c>
      <c r="N157" s="52">
        <f>N158+N160+N164</f>
        <v>15794.6</v>
      </c>
      <c r="O157" s="52">
        <f>O158+O160+O164</f>
        <v>15794.6</v>
      </c>
      <c r="P157" s="299">
        <f t="shared" si="45"/>
        <v>0</v>
      </c>
    </row>
    <row r="158" spans="1:19" s="51" customFormat="1" ht="15.75" customHeight="1" x14ac:dyDescent="0.2">
      <c r="A158" s="69" t="s">
        <v>542</v>
      </c>
      <c r="B158" s="78" t="s">
        <v>45</v>
      </c>
      <c r="C158" s="78" t="s">
        <v>46</v>
      </c>
      <c r="D158" s="54" t="s">
        <v>541</v>
      </c>
      <c r="E158" s="78"/>
      <c r="F158" s="52">
        <f>F159</f>
        <v>30</v>
      </c>
      <c r="G158" s="52">
        <f>G159</f>
        <v>35</v>
      </c>
      <c r="H158" s="299">
        <f t="shared" si="44"/>
        <v>5</v>
      </c>
      <c r="I158" s="52">
        <f>I159</f>
        <v>30</v>
      </c>
      <c r="J158" s="52">
        <f>J159</f>
        <v>35</v>
      </c>
      <c r="K158" s="299">
        <f t="shared" si="43"/>
        <v>0</v>
      </c>
      <c r="L158" s="52">
        <f>L159</f>
        <v>30</v>
      </c>
      <c r="M158" s="299">
        <f t="shared" si="42"/>
        <v>0</v>
      </c>
      <c r="N158" s="52">
        <f>N159</f>
        <v>30</v>
      </c>
      <c r="O158" s="52">
        <f>O159</f>
        <v>30</v>
      </c>
      <c r="P158" s="299">
        <f t="shared" si="45"/>
        <v>0</v>
      </c>
    </row>
    <row r="159" spans="1:19" s="51" customFormat="1" ht="15.75" customHeight="1" x14ac:dyDescent="0.2">
      <c r="A159" s="69" t="s">
        <v>413</v>
      </c>
      <c r="B159" s="78" t="s">
        <v>45</v>
      </c>
      <c r="C159" s="78" t="s">
        <v>46</v>
      </c>
      <c r="D159" s="54" t="s">
        <v>541</v>
      </c>
      <c r="E159" s="78" t="s">
        <v>320</v>
      </c>
      <c r="F159" s="52">
        <v>30</v>
      </c>
      <c r="G159" s="52">
        <f>30+5</f>
        <v>35</v>
      </c>
      <c r="H159" s="299">
        <f t="shared" si="44"/>
        <v>5</v>
      </c>
      <c r="I159" s="52">
        <v>30</v>
      </c>
      <c r="J159" s="52">
        <f>30+5</f>
        <v>35</v>
      </c>
      <c r="K159" s="299">
        <f t="shared" si="43"/>
        <v>0</v>
      </c>
      <c r="L159" s="52">
        <v>30</v>
      </c>
      <c r="M159" s="299">
        <f t="shared" si="42"/>
        <v>0</v>
      </c>
      <c r="N159" s="52">
        <v>30</v>
      </c>
      <c r="O159" s="52">
        <v>30</v>
      </c>
      <c r="P159" s="299">
        <f t="shared" si="45"/>
        <v>0</v>
      </c>
    </row>
    <row r="160" spans="1:19" s="51" customFormat="1" ht="27" customHeight="1" x14ac:dyDescent="0.2">
      <c r="A160" s="56" t="s">
        <v>1097</v>
      </c>
      <c r="B160" s="78" t="s">
        <v>45</v>
      </c>
      <c r="C160" s="78" t="s">
        <v>46</v>
      </c>
      <c r="D160" s="54" t="s">
        <v>540</v>
      </c>
      <c r="E160" s="78"/>
      <c r="F160" s="52">
        <f>F161+F162+F163</f>
        <v>1360.4</v>
      </c>
      <c r="G160" s="52">
        <f>G161+G162+G163</f>
        <v>1360.4</v>
      </c>
      <c r="H160" s="299">
        <f t="shared" si="44"/>
        <v>0</v>
      </c>
      <c r="I160" s="52">
        <f>I161+I162+I163</f>
        <v>793.4</v>
      </c>
      <c r="J160" s="52">
        <f>J161+J162+J163</f>
        <v>1360.4</v>
      </c>
      <c r="K160" s="299">
        <f t="shared" si="43"/>
        <v>0</v>
      </c>
      <c r="L160" s="52">
        <f>L161+L162+L163</f>
        <v>793.4</v>
      </c>
      <c r="M160" s="299">
        <f t="shared" si="42"/>
        <v>0</v>
      </c>
      <c r="N160" s="52">
        <f>N161+N162+N163</f>
        <v>793.4</v>
      </c>
      <c r="O160" s="52">
        <f>O161+O162+O163</f>
        <v>793.4</v>
      </c>
      <c r="P160" s="299">
        <f t="shared" si="45"/>
        <v>0</v>
      </c>
    </row>
    <row r="161" spans="1:16" s="51" customFormat="1" ht="18.75" hidden="1" customHeight="1" x14ac:dyDescent="0.2">
      <c r="A161" s="66" t="s">
        <v>145</v>
      </c>
      <c r="B161" s="78" t="s">
        <v>45</v>
      </c>
      <c r="C161" s="78" t="s">
        <v>46</v>
      </c>
      <c r="D161" s="54" t="s">
        <v>540</v>
      </c>
      <c r="E161" s="78" t="s">
        <v>144</v>
      </c>
      <c r="F161" s="52"/>
      <c r="G161" s="52"/>
      <c r="H161" s="299">
        <f t="shared" si="44"/>
        <v>0</v>
      </c>
      <c r="I161" s="52"/>
      <c r="J161" s="52"/>
      <c r="K161" s="299">
        <f t="shared" si="43"/>
        <v>0</v>
      </c>
      <c r="L161" s="52"/>
      <c r="M161" s="299">
        <f t="shared" si="42"/>
        <v>0</v>
      </c>
      <c r="N161" s="52"/>
      <c r="O161" s="52"/>
      <c r="P161" s="299">
        <f t="shared" si="45"/>
        <v>0</v>
      </c>
    </row>
    <row r="162" spans="1:16" s="51" customFormat="1" ht="26.25" customHeight="1" x14ac:dyDescent="0.2">
      <c r="A162" s="66" t="s">
        <v>73</v>
      </c>
      <c r="B162" s="78" t="s">
        <v>45</v>
      </c>
      <c r="C162" s="78" t="s">
        <v>46</v>
      </c>
      <c r="D162" s="54" t="s">
        <v>540</v>
      </c>
      <c r="E162" s="78" t="s">
        <v>70</v>
      </c>
      <c r="F162" s="52">
        <v>1360.4</v>
      </c>
      <c r="G162" s="52">
        <v>1360.4</v>
      </c>
      <c r="H162" s="299">
        <f t="shared" si="44"/>
        <v>0</v>
      </c>
      <c r="I162" s="52">
        <v>793.4</v>
      </c>
      <c r="J162" s="52">
        <v>1360.4</v>
      </c>
      <c r="K162" s="299">
        <f t="shared" si="43"/>
        <v>0</v>
      </c>
      <c r="L162" s="52">
        <v>793.4</v>
      </c>
      <c r="M162" s="299">
        <f t="shared" si="42"/>
        <v>0</v>
      </c>
      <c r="N162" s="52">
        <v>793.4</v>
      </c>
      <c r="O162" s="52">
        <v>793.4</v>
      </c>
      <c r="P162" s="299">
        <f t="shared" si="45"/>
        <v>0</v>
      </c>
    </row>
    <row r="163" spans="1:16" s="51" customFormat="1" ht="15.75" hidden="1" customHeight="1" x14ac:dyDescent="0.2">
      <c r="A163" s="56" t="s">
        <v>413</v>
      </c>
      <c r="B163" s="78" t="s">
        <v>45</v>
      </c>
      <c r="C163" s="78" t="s">
        <v>46</v>
      </c>
      <c r="D163" s="54" t="s">
        <v>540</v>
      </c>
      <c r="E163" s="78" t="s">
        <v>320</v>
      </c>
      <c r="F163" s="52"/>
      <c r="G163" s="52"/>
      <c r="H163" s="299">
        <f t="shared" si="44"/>
        <v>0</v>
      </c>
      <c r="I163" s="52"/>
      <c r="J163" s="52"/>
      <c r="K163" s="299">
        <f t="shared" si="43"/>
        <v>0</v>
      </c>
      <c r="L163" s="52"/>
      <c r="M163" s="299">
        <f t="shared" si="42"/>
        <v>0</v>
      </c>
      <c r="N163" s="52"/>
      <c r="O163" s="52"/>
      <c r="P163" s="299">
        <f t="shared" si="45"/>
        <v>0</v>
      </c>
    </row>
    <row r="164" spans="1:16" s="51" customFormat="1" ht="30" customHeight="1" x14ac:dyDescent="0.2">
      <c r="A164" s="69" t="s">
        <v>88</v>
      </c>
      <c r="B164" s="78" t="s">
        <v>45</v>
      </c>
      <c r="C164" s="78" t="s">
        <v>46</v>
      </c>
      <c r="D164" s="54" t="s">
        <v>539</v>
      </c>
      <c r="E164" s="78"/>
      <c r="F164" s="52">
        <f>F165</f>
        <v>14971.2</v>
      </c>
      <c r="G164" s="52">
        <f>G165</f>
        <v>14971.2</v>
      </c>
      <c r="H164" s="299">
        <f t="shared" si="44"/>
        <v>0</v>
      </c>
      <c r="I164" s="52">
        <f>I165</f>
        <v>14971.2</v>
      </c>
      <c r="J164" s="52">
        <f>J165</f>
        <v>14971.2</v>
      </c>
      <c r="K164" s="299">
        <f t="shared" si="43"/>
        <v>0</v>
      </c>
      <c r="L164" s="52">
        <f>L165</f>
        <v>14971.2</v>
      </c>
      <c r="M164" s="299">
        <f t="shared" si="42"/>
        <v>0</v>
      </c>
      <c r="N164" s="52">
        <f>N165</f>
        <v>14971.2</v>
      </c>
      <c r="O164" s="52">
        <f>O165</f>
        <v>14971.2</v>
      </c>
      <c r="P164" s="299">
        <f t="shared" si="45"/>
        <v>0</v>
      </c>
    </row>
    <row r="165" spans="1:16" s="51" customFormat="1" ht="15.75" customHeight="1" x14ac:dyDescent="0.2">
      <c r="A165" s="140" t="s">
        <v>145</v>
      </c>
      <c r="B165" s="78" t="s">
        <v>45</v>
      </c>
      <c r="C165" s="78" t="s">
        <v>46</v>
      </c>
      <c r="D165" s="54" t="s">
        <v>539</v>
      </c>
      <c r="E165" s="78" t="s">
        <v>144</v>
      </c>
      <c r="F165" s="52">
        <f>2599.6+12371.6</f>
        <v>14971.2</v>
      </c>
      <c r="G165" s="52">
        <f>2599.6+12371.6</f>
        <v>14971.2</v>
      </c>
      <c r="H165" s="299">
        <f t="shared" si="44"/>
        <v>0</v>
      </c>
      <c r="I165" s="52">
        <f>2599.6+12371.6</f>
        <v>14971.2</v>
      </c>
      <c r="J165" s="52">
        <f>2599.6+12371.6</f>
        <v>14971.2</v>
      </c>
      <c r="K165" s="299">
        <f t="shared" si="43"/>
        <v>0</v>
      </c>
      <c r="L165" s="52">
        <f>2599.6+12371.6</f>
        <v>14971.2</v>
      </c>
      <c r="M165" s="299">
        <f t="shared" si="42"/>
        <v>0</v>
      </c>
      <c r="N165" s="52">
        <f>2599.6+12371.6</f>
        <v>14971.2</v>
      </c>
      <c r="O165" s="52">
        <f>2599.6+12371.6</f>
        <v>14971.2</v>
      </c>
      <c r="P165" s="299">
        <f t="shared" si="45"/>
        <v>0</v>
      </c>
    </row>
    <row r="166" spans="1:16" s="51" customFormat="1" ht="38.25" customHeight="1" x14ac:dyDescent="0.2">
      <c r="A166" s="64" t="s">
        <v>135</v>
      </c>
      <c r="B166" s="78" t="s">
        <v>45</v>
      </c>
      <c r="C166" s="78" t="s">
        <v>46</v>
      </c>
      <c r="D166" s="54" t="s">
        <v>134</v>
      </c>
      <c r="E166" s="78"/>
      <c r="F166" s="52">
        <f t="shared" ref="F166:G168" si="49">F167</f>
        <v>2759.5</v>
      </c>
      <c r="G166" s="52">
        <f t="shared" si="49"/>
        <v>2884.4</v>
      </c>
      <c r="H166" s="299">
        <f t="shared" si="44"/>
        <v>124.90000000000009</v>
      </c>
      <c r="I166" s="52">
        <f t="shared" ref="I166:L168" si="50">I167</f>
        <v>2759.5</v>
      </c>
      <c r="J166" s="52">
        <f t="shared" si="50"/>
        <v>2654.9</v>
      </c>
      <c r="K166" s="299">
        <f t="shared" si="43"/>
        <v>-229.5</v>
      </c>
      <c r="L166" s="52">
        <f t="shared" si="50"/>
        <v>2759.5</v>
      </c>
      <c r="M166" s="299">
        <f t="shared" si="42"/>
        <v>0</v>
      </c>
      <c r="N166" s="52">
        <f t="shared" ref="N166:O168" si="51">N167</f>
        <v>2759.5</v>
      </c>
      <c r="O166" s="52">
        <f t="shared" si="51"/>
        <v>2759.5</v>
      </c>
      <c r="P166" s="299">
        <f t="shared" si="45"/>
        <v>0</v>
      </c>
    </row>
    <row r="167" spans="1:16" s="51" customFormat="1" ht="15.75" customHeight="1" x14ac:dyDescent="0.2">
      <c r="A167" s="64" t="s">
        <v>52</v>
      </c>
      <c r="B167" s="78" t="s">
        <v>45</v>
      </c>
      <c r="C167" s="78" t="s">
        <v>46</v>
      </c>
      <c r="D167" s="54" t="s">
        <v>133</v>
      </c>
      <c r="E167" s="78"/>
      <c r="F167" s="52">
        <f t="shared" si="49"/>
        <v>2759.5</v>
      </c>
      <c r="G167" s="52">
        <f t="shared" si="49"/>
        <v>2884.4</v>
      </c>
      <c r="H167" s="299">
        <f t="shared" si="44"/>
        <v>124.90000000000009</v>
      </c>
      <c r="I167" s="52">
        <f t="shared" si="50"/>
        <v>2759.5</v>
      </c>
      <c r="J167" s="52">
        <f t="shared" si="50"/>
        <v>2654.9</v>
      </c>
      <c r="K167" s="299">
        <f t="shared" si="43"/>
        <v>-229.5</v>
      </c>
      <c r="L167" s="52">
        <f t="shared" si="50"/>
        <v>2759.5</v>
      </c>
      <c r="M167" s="299">
        <f t="shared" si="42"/>
        <v>0</v>
      </c>
      <c r="N167" s="52">
        <f t="shared" si="51"/>
        <v>2759.5</v>
      </c>
      <c r="O167" s="52">
        <f t="shared" si="51"/>
        <v>2759.5</v>
      </c>
      <c r="P167" s="299">
        <f t="shared" si="45"/>
        <v>0</v>
      </c>
    </row>
    <row r="168" spans="1:16" s="51" customFormat="1" ht="40.5" customHeight="1" x14ac:dyDescent="0.2">
      <c r="A168" s="56" t="s">
        <v>357</v>
      </c>
      <c r="B168" s="78" t="s">
        <v>45</v>
      </c>
      <c r="C168" s="78" t="s">
        <v>46</v>
      </c>
      <c r="D168" s="54" t="s">
        <v>356</v>
      </c>
      <c r="E168" s="60"/>
      <c r="F168" s="52">
        <f t="shared" si="49"/>
        <v>2759.5</v>
      </c>
      <c r="G168" s="52">
        <f t="shared" si="49"/>
        <v>2884.4</v>
      </c>
      <c r="H168" s="299">
        <f t="shared" si="44"/>
        <v>124.90000000000009</v>
      </c>
      <c r="I168" s="52">
        <f t="shared" si="50"/>
        <v>2759.5</v>
      </c>
      <c r="J168" s="52">
        <f t="shared" si="50"/>
        <v>2654.9</v>
      </c>
      <c r="K168" s="299">
        <f t="shared" si="43"/>
        <v>-229.5</v>
      </c>
      <c r="L168" s="52">
        <f t="shared" si="50"/>
        <v>2759.5</v>
      </c>
      <c r="M168" s="299">
        <f t="shared" si="42"/>
        <v>0</v>
      </c>
      <c r="N168" s="52">
        <f t="shared" si="51"/>
        <v>2759.5</v>
      </c>
      <c r="O168" s="52">
        <f t="shared" si="51"/>
        <v>2759.5</v>
      </c>
      <c r="P168" s="299">
        <f t="shared" si="45"/>
        <v>0</v>
      </c>
    </row>
    <row r="169" spans="1:16" s="51" customFormat="1" ht="25.5" customHeight="1" x14ac:dyDescent="0.2">
      <c r="A169" s="123" t="s">
        <v>355</v>
      </c>
      <c r="B169" s="78" t="s">
        <v>45</v>
      </c>
      <c r="C169" s="78" t="s">
        <v>46</v>
      </c>
      <c r="D169" s="74" t="s">
        <v>354</v>
      </c>
      <c r="E169" s="73"/>
      <c r="F169" s="52">
        <f>F170+F171</f>
        <v>2759.5</v>
      </c>
      <c r="G169" s="52">
        <f>G170+G171</f>
        <v>2884.4</v>
      </c>
      <c r="H169" s="299">
        <f t="shared" si="44"/>
        <v>124.90000000000009</v>
      </c>
      <c r="I169" s="52">
        <f>I170+I171</f>
        <v>2759.5</v>
      </c>
      <c r="J169" s="52">
        <f>J170+J171</f>
        <v>2654.9</v>
      </c>
      <c r="K169" s="299">
        <f t="shared" si="43"/>
        <v>-229.5</v>
      </c>
      <c r="L169" s="52">
        <f>L170+L171</f>
        <v>2759.5</v>
      </c>
      <c r="M169" s="299">
        <f t="shared" si="42"/>
        <v>0</v>
      </c>
      <c r="N169" s="52">
        <f>N170+N171</f>
        <v>2759.5</v>
      </c>
      <c r="O169" s="52">
        <f>O170+O171</f>
        <v>2759.5</v>
      </c>
      <c r="P169" s="299">
        <f t="shared" si="45"/>
        <v>0</v>
      </c>
    </row>
    <row r="170" spans="1:16" s="51" customFormat="1" ht="25.5" customHeight="1" x14ac:dyDescent="0.2">
      <c r="A170" s="76" t="s">
        <v>73</v>
      </c>
      <c r="B170" s="78" t="s">
        <v>45</v>
      </c>
      <c r="C170" s="78" t="s">
        <v>46</v>
      </c>
      <c r="D170" s="74" t="s">
        <v>354</v>
      </c>
      <c r="E170" s="73" t="s">
        <v>70</v>
      </c>
      <c r="F170" s="52">
        <f>490+2224.5</f>
        <v>2714.5</v>
      </c>
      <c r="G170" s="52">
        <f>2714.5+124.9</f>
        <v>2839.4</v>
      </c>
      <c r="H170" s="299">
        <f t="shared" si="44"/>
        <v>124.90000000000009</v>
      </c>
      <c r="I170" s="52">
        <f>490+2224.5</f>
        <v>2714.5</v>
      </c>
      <c r="J170" s="52">
        <f>2839.4-229.5</f>
        <v>2609.9</v>
      </c>
      <c r="K170" s="299">
        <f t="shared" si="43"/>
        <v>-229.5</v>
      </c>
      <c r="L170" s="52">
        <f>490+2224.5</f>
        <v>2714.5</v>
      </c>
      <c r="M170" s="299">
        <f t="shared" si="42"/>
        <v>0</v>
      </c>
      <c r="N170" s="52">
        <f>490+2224.5</f>
        <v>2714.5</v>
      </c>
      <c r="O170" s="52">
        <f>490+2224.5</f>
        <v>2714.5</v>
      </c>
      <c r="P170" s="299">
        <f t="shared" si="45"/>
        <v>0</v>
      </c>
    </row>
    <row r="171" spans="1:16" s="51" customFormat="1" ht="15" customHeight="1" x14ac:dyDescent="0.2">
      <c r="A171" s="76" t="s">
        <v>413</v>
      </c>
      <c r="B171" s="78" t="s">
        <v>45</v>
      </c>
      <c r="C171" s="78" t="s">
        <v>46</v>
      </c>
      <c r="D171" s="74" t="s">
        <v>354</v>
      </c>
      <c r="E171" s="73" t="s">
        <v>320</v>
      </c>
      <c r="F171" s="52">
        <v>45</v>
      </c>
      <c r="G171" s="52">
        <v>45</v>
      </c>
      <c r="H171" s="299">
        <f t="shared" si="44"/>
        <v>0</v>
      </c>
      <c r="I171" s="52">
        <v>45</v>
      </c>
      <c r="J171" s="52">
        <v>45</v>
      </c>
      <c r="K171" s="299">
        <f t="shared" si="43"/>
        <v>0</v>
      </c>
      <c r="L171" s="52">
        <v>45</v>
      </c>
      <c r="M171" s="299">
        <f t="shared" si="42"/>
        <v>0</v>
      </c>
      <c r="N171" s="52">
        <v>45</v>
      </c>
      <c r="O171" s="52">
        <v>45</v>
      </c>
      <c r="P171" s="299">
        <f t="shared" si="45"/>
        <v>0</v>
      </c>
    </row>
    <row r="172" spans="1:16" s="51" customFormat="1" ht="16.5" customHeight="1" x14ac:dyDescent="0.2">
      <c r="A172" s="59" t="s">
        <v>538</v>
      </c>
      <c r="B172" s="48" t="s">
        <v>72</v>
      </c>
      <c r="C172" s="48"/>
      <c r="D172" s="54"/>
      <c r="E172" s="53"/>
      <c r="F172" s="44">
        <f t="shared" ref="F172:G177" si="52">F173</f>
        <v>471.59999999999997</v>
      </c>
      <c r="G172" s="44">
        <f t="shared" si="52"/>
        <v>471.59999999999997</v>
      </c>
      <c r="H172" s="299">
        <f t="shared" si="44"/>
        <v>0</v>
      </c>
      <c r="I172" s="44">
        <f t="shared" ref="I172:L177" si="53">I173</f>
        <v>514.5</v>
      </c>
      <c r="J172" s="44">
        <f t="shared" si="53"/>
        <v>471.59999999999997</v>
      </c>
      <c r="K172" s="299">
        <f t="shared" si="43"/>
        <v>0</v>
      </c>
      <c r="L172" s="44">
        <f t="shared" si="53"/>
        <v>514.5</v>
      </c>
      <c r="M172" s="299">
        <f t="shared" si="42"/>
        <v>0</v>
      </c>
      <c r="N172" s="44">
        <f t="shared" ref="N172:O177" si="54">N173</f>
        <v>532.4</v>
      </c>
      <c r="O172" s="44">
        <f t="shared" si="54"/>
        <v>532.4</v>
      </c>
      <c r="P172" s="299">
        <f t="shared" si="45"/>
        <v>0</v>
      </c>
    </row>
    <row r="173" spans="1:16" s="51" customFormat="1" ht="17.25" customHeight="1" x14ac:dyDescent="0.2">
      <c r="A173" s="59" t="s">
        <v>537</v>
      </c>
      <c r="B173" s="48" t="s">
        <v>72</v>
      </c>
      <c r="C173" s="48" t="s">
        <v>111</v>
      </c>
      <c r="D173" s="54"/>
      <c r="E173" s="53"/>
      <c r="F173" s="52">
        <f t="shared" si="52"/>
        <v>471.59999999999997</v>
      </c>
      <c r="G173" s="52">
        <f t="shared" si="52"/>
        <v>471.59999999999997</v>
      </c>
      <c r="H173" s="299">
        <f t="shared" si="44"/>
        <v>0</v>
      </c>
      <c r="I173" s="52">
        <f t="shared" si="53"/>
        <v>514.5</v>
      </c>
      <c r="J173" s="52">
        <f t="shared" si="53"/>
        <v>471.59999999999997</v>
      </c>
      <c r="K173" s="299">
        <f t="shared" si="43"/>
        <v>0</v>
      </c>
      <c r="L173" s="52">
        <f t="shared" si="53"/>
        <v>514.5</v>
      </c>
      <c r="M173" s="299">
        <f t="shared" si="42"/>
        <v>0</v>
      </c>
      <c r="N173" s="52">
        <f t="shared" si="54"/>
        <v>532.4</v>
      </c>
      <c r="O173" s="52">
        <f t="shared" si="54"/>
        <v>532.4</v>
      </c>
      <c r="P173" s="299">
        <f t="shared" si="45"/>
        <v>0</v>
      </c>
    </row>
    <row r="174" spans="1:16" s="51" customFormat="1" ht="30" customHeight="1" x14ac:dyDescent="0.2">
      <c r="A174" s="56" t="s">
        <v>536</v>
      </c>
      <c r="B174" s="53" t="s">
        <v>72</v>
      </c>
      <c r="C174" s="53" t="s">
        <v>111</v>
      </c>
      <c r="D174" s="55" t="s">
        <v>535</v>
      </c>
      <c r="E174" s="53"/>
      <c r="F174" s="52">
        <f t="shared" si="52"/>
        <v>471.59999999999997</v>
      </c>
      <c r="G174" s="52">
        <f t="shared" si="52"/>
        <v>471.59999999999997</v>
      </c>
      <c r="H174" s="299">
        <f t="shared" si="44"/>
        <v>0</v>
      </c>
      <c r="I174" s="52">
        <f t="shared" si="53"/>
        <v>514.5</v>
      </c>
      <c r="J174" s="52">
        <f t="shared" si="53"/>
        <v>471.59999999999997</v>
      </c>
      <c r="K174" s="299">
        <f t="shared" si="43"/>
        <v>0</v>
      </c>
      <c r="L174" s="52">
        <f t="shared" si="53"/>
        <v>514.5</v>
      </c>
      <c r="M174" s="299">
        <f t="shared" si="42"/>
        <v>0</v>
      </c>
      <c r="N174" s="52">
        <f t="shared" si="54"/>
        <v>532.4</v>
      </c>
      <c r="O174" s="52">
        <f t="shared" si="54"/>
        <v>532.4</v>
      </c>
      <c r="P174" s="299">
        <f t="shared" si="45"/>
        <v>0</v>
      </c>
    </row>
    <row r="175" spans="1:16" s="51" customFormat="1" ht="13.5" customHeight="1" x14ac:dyDescent="0.2">
      <c r="A175" s="139" t="s">
        <v>52</v>
      </c>
      <c r="B175" s="53" t="s">
        <v>72</v>
      </c>
      <c r="C175" s="53" t="s">
        <v>111</v>
      </c>
      <c r="D175" s="128" t="s">
        <v>534</v>
      </c>
      <c r="E175" s="53"/>
      <c r="F175" s="52">
        <f t="shared" si="52"/>
        <v>471.59999999999997</v>
      </c>
      <c r="G175" s="52">
        <f t="shared" si="52"/>
        <v>471.59999999999997</v>
      </c>
      <c r="H175" s="299">
        <f t="shared" si="44"/>
        <v>0</v>
      </c>
      <c r="I175" s="52">
        <f t="shared" si="53"/>
        <v>514.5</v>
      </c>
      <c r="J175" s="52">
        <f t="shared" si="53"/>
        <v>471.59999999999997</v>
      </c>
      <c r="K175" s="299">
        <f t="shared" si="43"/>
        <v>0</v>
      </c>
      <c r="L175" s="52">
        <f t="shared" si="53"/>
        <v>514.5</v>
      </c>
      <c r="M175" s="299">
        <f t="shared" si="42"/>
        <v>0</v>
      </c>
      <c r="N175" s="52">
        <f t="shared" si="54"/>
        <v>532.4</v>
      </c>
      <c r="O175" s="52">
        <f t="shared" si="54"/>
        <v>532.4</v>
      </c>
      <c r="P175" s="299">
        <f t="shared" si="45"/>
        <v>0</v>
      </c>
    </row>
    <row r="176" spans="1:16" s="51" customFormat="1" ht="29.25" customHeight="1" x14ac:dyDescent="0.2">
      <c r="A176" s="139" t="s">
        <v>533</v>
      </c>
      <c r="B176" s="53" t="s">
        <v>72</v>
      </c>
      <c r="C176" s="53" t="s">
        <v>111</v>
      </c>
      <c r="D176" s="128" t="s">
        <v>532</v>
      </c>
      <c r="E176" s="53"/>
      <c r="F176" s="52">
        <f t="shared" si="52"/>
        <v>471.59999999999997</v>
      </c>
      <c r="G176" s="52">
        <f t="shared" si="52"/>
        <v>471.59999999999997</v>
      </c>
      <c r="H176" s="299">
        <f t="shared" si="44"/>
        <v>0</v>
      </c>
      <c r="I176" s="52">
        <f t="shared" si="53"/>
        <v>514.5</v>
      </c>
      <c r="J176" s="52">
        <f t="shared" si="53"/>
        <v>471.59999999999997</v>
      </c>
      <c r="K176" s="299">
        <f t="shared" si="43"/>
        <v>0</v>
      </c>
      <c r="L176" s="52">
        <f t="shared" si="53"/>
        <v>514.5</v>
      </c>
      <c r="M176" s="299">
        <f t="shared" si="42"/>
        <v>0</v>
      </c>
      <c r="N176" s="52">
        <f t="shared" si="54"/>
        <v>532.4</v>
      </c>
      <c r="O176" s="52">
        <f t="shared" si="54"/>
        <v>532.4</v>
      </c>
      <c r="P176" s="299">
        <f t="shared" si="45"/>
        <v>0</v>
      </c>
    </row>
    <row r="177" spans="1:16" s="51" customFormat="1" ht="27" customHeight="1" x14ac:dyDescent="0.2">
      <c r="A177" s="56" t="s">
        <v>531</v>
      </c>
      <c r="B177" s="53" t="s">
        <v>72</v>
      </c>
      <c r="C177" s="53" t="s">
        <v>111</v>
      </c>
      <c r="D177" s="54" t="s">
        <v>530</v>
      </c>
      <c r="E177" s="53"/>
      <c r="F177" s="52">
        <f t="shared" si="52"/>
        <v>471.59999999999997</v>
      </c>
      <c r="G177" s="52">
        <f t="shared" si="52"/>
        <v>471.59999999999997</v>
      </c>
      <c r="H177" s="299">
        <f t="shared" si="44"/>
        <v>0</v>
      </c>
      <c r="I177" s="52">
        <f t="shared" si="53"/>
        <v>514.5</v>
      </c>
      <c r="J177" s="52">
        <f t="shared" si="53"/>
        <v>471.59999999999997</v>
      </c>
      <c r="K177" s="299">
        <f t="shared" si="43"/>
        <v>0</v>
      </c>
      <c r="L177" s="52">
        <f t="shared" si="53"/>
        <v>514.5</v>
      </c>
      <c r="M177" s="299">
        <f t="shared" si="42"/>
        <v>0</v>
      </c>
      <c r="N177" s="52">
        <f t="shared" si="54"/>
        <v>532.4</v>
      </c>
      <c r="O177" s="52">
        <f t="shared" si="54"/>
        <v>532.4</v>
      </c>
      <c r="P177" s="299">
        <f t="shared" si="45"/>
        <v>0</v>
      </c>
    </row>
    <row r="178" spans="1:16" s="51" customFormat="1" ht="27" customHeight="1" x14ac:dyDescent="0.2">
      <c r="A178" s="56" t="s">
        <v>84</v>
      </c>
      <c r="B178" s="53" t="s">
        <v>72</v>
      </c>
      <c r="C178" s="53" t="s">
        <v>111</v>
      </c>
      <c r="D178" s="54" t="s">
        <v>530</v>
      </c>
      <c r="E178" s="53" t="s">
        <v>83</v>
      </c>
      <c r="F178" s="52">
        <f>452.2+19.4</f>
        <v>471.59999999999997</v>
      </c>
      <c r="G178" s="52">
        <f>452.2+19.4</f>
        <v>471.59999999999997</v>
      </c>
      <c r="H178" s="299">
        <f t="shared" si="44"/>
        <v>0</v>
      </c>
      <c r="I178" s="52">
        <f>495.5+19</f>
        <v>514.5</v>
      </c>
      <c r="J178" s="52">
        <f>452.2+19.4</f>
        <v>471.59999999999997</v>
      </c>
      <c r="K178" s="299">
        <f t="shared" si="43"/>
        <v>0</v>
      </c>
      <c r="L178" s="52">
        <f>495.5+19</f>
        <v>514.5</v>
      </c>
      <c r="M178" s="299">
        <f t="shared" si="42"/>
        <v>0</v>
      </c>
      <c r="N178" s="52">
        <f>513.5+18.9</f>
        <v>532.4</v>
      </c>
      <c r="O178" s="52">
        <f>513.5+18.9</f>
        <v>532.4</v>
      </c>
      <c r="P178" s="299">
        <f t="shared" si="45"/>
        <v>0</v>
      </c>
    </row>
    <row r="179" spans="1:16" s="43" customFormat="1" ht="28.5" customHeight="1" x14ac:dyDescent="0.2">
      <c r="A179" s="46" t="s">
        <v>529</v>
      </c>
      <c r="B179" s="71" t="s">
        <v>111</v>
      </c>
      <c r="C179" s="71"/>
      <c r="D179" s="71"/>
      <c r="E179" s="71"/>
      <c r="F179" s="132">
        <f>F180+F210+F198</f>
        <v>13295</v>
      </c>
      <c r="G179" s="132">
        <f>G180+G210+G198</f>
        <v>13295</v>
      </c>
      <c r="H179" s="299">
        <f t="shared" si="44"/>
        <v>0</v>
      </c>
      <c r="I179" s="132">
        <f>I180+I210+I198</f>
        <v>8975.9000000000015</v>
      </c>
      <c r="J179" s="132">
        <f>J180+J210+J198</f>
        <v>13295</v>
      </c>
      <c r="K179" s="299">
        <f t="shared" si="43"/>
        <v>0</v>
      </c>
      <c r="L179" s="132">
        <f>L180+L210+L198</f>
        <v>8975.9000000000015</v>
      </c>
      <c r="M179" s="299">
        <f t="shared" si="42"/>
        <v>0</v>
      </c>
      <c r="N179" s="132">
        <f>N180+N210+N198</f>
        <v>22779.7</v>
      </c>
      <c r="O179" s="132">
        <f>O180+O210+O198</f>
        <v>22779.7</v>
      </c>
      <c r="P179" s="299">
        <f t="shared" si="45"/>
        <v>0</v>
      </c>
    </row>
    <row r="180" spans="1:16" s="43" customFormat="1" ht="21.75" customHeight="1" x14ac:dyDescent="0.2">
      <c r="A180" s="105" t="s">
        <v>528</v>
      </c>
      <c r="B180" s="71" t="s">
        <v>111</v>
      </c>
      <c r="C180" s="71" t="s">
        <v>160</v>
      </c>
      <c r="D180" s="71"/>
      <c r="E180" s="71"/>
      <c r="F180" s="132">
        <f>F181</f>
        <v>5750.7000000000007</v>
      </c>
      <c r="G180" s="132">
        <f>G181</f>
        <v>5750.7000000000007</v>
      </c>
      <c r="H180" s="299">
        <f t="shared" si="44"/>
        <v>0</v>
      </c>
      <c r="I180" s="132">
        <f>I181</f>
        <v>5170.7000000000007</v>
      </c>
      <c r="J180" s="132">
        <f>J181</f>
        <v>5750.7000000000007</v>
      </c>
      <c r="K180" s="299">
        <f t="shared" si="43"/>
        <v>0</v>
      </c>
      <c r="L180" s="132">
        <f>L181</f>
        <v>5170.7000000000007</v>
      </c>
      <c r="M180" s="299">
        <f t="shared" si="42"/>
        <v>0</v>
      </c>
      <c r="N180" s="132">
        <f>N181</f>
        <v>5670.7000000000007</v>
      </c>
      <c r="O180" s="132">
        <f>O181</f>
        <v>5670.7000000000007</v>
      </c>
      <c r="P180" s="299">
        <f t="shared" si="45"/>
        <v>0</v>
      </c>
    </row>
    <row r="181" spans="1:16" s="51" customFormat="1" ht="39.75" customHeight="1" x14ac:dyDescent="0.2">
      <c r="A181" s="56" t="s">
        <v>453</v>
      </c>
      <c r="B181" s="78" t="s">
        <v>111</v>
      </c>
      <c r="C181" s="78" t="s">
        <v>160</v>
      </c>
      <c r="D181" s="54" t="s">
        <v>452</v>
      </c>
      <c r="E181" s="78"/>
      <c r="F181" s="133">
        <f>F182</f>
        <v>5750.7000000000007</v>
      </c>
      <c r="G181" s="133">
        <f>G182</f>
        <v>5750.7000000000007</v>
      </c>
      <c r="H181" s="299">
        <f t="shared" si="44"/>
        <v>0</v>
      </c>
      <c r="I181" s="133">
        <f>I182</f>
        <v>5170.7000000000007</v>
      </c>
      <c r="J181" s="133">
        <f>J182</f>
        <v>5750.7000000000007</v>
      </c>
      <c r="K181" s="299">
        <f t="shared" si="43"/>
        <v>0</v>
      </c>
      <c r="L181" s="133">
        <f>L182</f>
        <v>5170.7000000000007</v>
      </c>
      <c r="M181" s="299">
        <f t="shared" si="42"/>
        <v>0</v>
      </c>
      <c r="N181" s="133">
        <f>N182</f>
        <v>5670.7000000000007</v>
      </c>
      <c r="O181" s="133">
        <f>O182</f>
        <v>5670.7000000000007</v>
      </c>
      <c r="P181" s="299">
        <f t="shared" si="45"/>
        <v>0</v>
      </c>
    </row>
    <row r="182" spans="1:16" s="51" customFormat="1" ht="17.25" customHeight="1" x14ac:dyDescent="0.2">
      <c r="A182" s="66" t="s">
        <v>52</v>
      </c>
      <c r="B182" s="53" t="s">
        <v>111</v>
      </c>
      <c r="C182" s="53" t="s">
        <v>160</v>
      </c>
      <c r="D182" s="54" t="s">
        <v>451</v>
      </c>
      <c r="E182" s="53"/>
      <c r="F182" s="52">
        <f>F183+F194</f>
        <v>5750.7000000000007</v>
      </c>
      <c r="G182" s="52">
        <f>G183+G194</f>
        <v>5750.7000000000007</v>
      </c>
      <c r="H182" s="299">
        <f t="shared" si="44"/>
        <v>0</v>
      </c>
      <c r="I182" s="52">
        <f>I183+I194</f>
        <v>5170.7000000000007</v>
      </c>
      <c r="J182" s="52">
        <f>J183+J194</f>
        <v>5750.7000000000007</v>
      </c>
      <c r="K182" s="299">
        <f t="shared" si="43"/>
        <v>0</v>
      </c>
      <c r="L182" s="52">
        <f>L183+L194</f>
        <v>5170.7000000000007</v>
      </c>
      <c r="M182" s="299">
        <f t="shared" si="42"/>
        <v>0</v>
      </c>
      <c r="N182" s="52">
        <f>N183+N194</f>
        <v>5670.7000000000007</v>
      </c>
      <c r="O182" s="52">
        <f>O183+O194</f>
        <v>5670.7000000000007</v>
      </c>
      <c r="P182" s="299">
        <f t="shared" si="45"/>
        <v>0</v>
      </c>
    </row>
    <row r="183" spans="1:16" s="51" customFormat="1" ht="27.75" customHeight="1" x14ac:dyDescent="0.2">
      <c r="A183" s="56" t="s">
        <v>450</v>
      </c>
      <c r="B183" s="53" t="s">
        <v>111</v>
      </c>
      <c r="C183" s="53" t="s">
        <v>160</v>
      </c>
      <c r="D183" s="54" t="s">
        <v>449</v>
      </c>
      <c r="E183" s="53"/>
      <c r="F183" s="52">
        <f>F184+F188+F190+F186+F192</f>
        <v>1714.1</v>
      </c>
      <c r="G183" s="52">
        <f>G184+G188+G190+G186+G192</f>
        <v>1714.1</v>
      </c>
      <c r="H183" s="299">
        <f t="shared" si="44"/>
        <v>0</v>
      </c>
      <c r="I183" s="52">
        <f>I184+I188+I190+I186+I192</f>
        <v>1144.0999999999999</v>
      </c>
      <c r="J183" s="52">
        <f>J184+J188+J190+J186+J192</f>
        <v>1714.1</v>
      </c>
      <c r="K183" s="299">
        <f t="shared" si="43"/>
        <v>0</v>
      </c>
      <c r="L183" s="52">
        <f>L184+L188+L190+L186+L192</f>
        <v>1144.0999999999999</v>
      </c>
      <c r="M183" s="299">
        <f t="shared" si="42"/>
        <v>0</v>
      </c>
      <c r="N183" s="52">
        <f>N184+N188+N190+N186+N192</f>
        <v>1644.1</v>
      </c>
      <c r="O183" s="52">
        <f>O184+O188+O190+O186+O192</f>
        <v>1644.1</v>
      </c>
      <c r="P183" s="299">
        <f t="shared" si="45"/>
        <v>0</v>
      </c>
    </row>
    <row r="184" spans="1:16" s="51" customFormat="1" ht="54.75" customHeight="1" x14ac:dyDescent="0.2">
      <c r="A184" s="84" t="s">
        <v>1094</v>
      </c>
      <c r="B184" s="53" t="s">
        <v>111</v>
      </c>
      <c r="C184" s="53" t="s">
        <v>160</v>
      </c>
      <c r="D184" s="54" t="s">
        <v>527</v>
      </c>
      <c r="E184" s="60"/>
      <c r="F184" s="52">
        <f>F185</f>
        <v>140.30000000000001</v>
      </c>
      <c r="G184" s="52">
        <f>G185</f>
        <v>140.30000000000001</v>
      </c>
      <c r="H184" s="299">
        <f t="shared" si="44"/>
        <v>0</v>
      </c>
      <c r="I184" s="52">
        <f>I185</f>
        <v>140.30000000000001</v>
      </c>
      <c r="J184" s="52">
        <f>J185</f>
        <v>140.30000000000001</v>
      </c>
      <c r="K184" s="299">
        <f t="shared" si="43"/>
        <v>0</v>
      </c>
      <c r="L184" s="52">
        <f>L185</f>
        <v>140.30000000000001</v>
      </c>
      <c r="M184" s="299">
        <f t="shared" si="42"/>
        <v>0</v>
      </c>
      <c r="N184" s="52">
        <f>N185</f>
        <v>140.30000000000001</v>
      </c>
      <c r="O184" s="52">
        <f>O185</f>
        <v>140.30000000000001</v>
      </c>
      <c r="P184" s="299">
        <f t="shared" si="45"/>
        <v>0</v>
      </c>
    </row>
    <row r="185" spans="1:16" s="51" customFormat="1" ht="27.75" customHeight="1" x14ac:dyDescent="0.2">
      <c r="A185" s="56" t="s">
        <v>73</v>
      </c>
      <c r="B185" s="53" t="s">
        <v>111</v>
      </c>
      <c r="C185" s="53" t="s">
        <v>160</v>
      </c>
      <c r="D185" s="54" t="s">
        <v>527</v>
      </c>
      <c r="E185" s="60" t="s">
        <v>70</v>
      </c>
      <c r="F185" s="52">
        <v>140.30000000000001</v>
      </c>
      <c r="G185" s="52">
        <v>140.30000000000001</v>
      </c>
      <c r="H185" s="299">
        <f t="shared" si="44"/>
        <v>0</v>
      </c>
      <c r="I185" s="52">
        <v>140.30000000000001</v>
      </c>
      <c r="J185" s="52">
        <v>140.30000000000001</v>
      </c>
      <c r="K185" s="299">
        <f t="shared" si="43"/>
        <v>0</v>
      </c>
      <c r="L185" s="52">
        <v>140.30000000000001</v>
      </c>
      <c r="M185" s="299">
        <f t="shared" si="42"/>
        <v>0</v>
      </c>
      <c r="N185" s="52">
        <v>140.30000000000001</v>
      </c>
      <c r="O185" s="52">
        <v>140.30000000000001</v>
      </c>
      <c r="P185" s="299">
        <f t="shared" si="45"/>
        <v>0</v>
      </c>
    </row>
    <row r="186" spans="1:16" s="51" customFormat="1" ht="27.75" customHeight="1" x14ac:dyDescent="0.2">
      <c r="A186" s="56" t="s">
        <v>526</v>
      </c>
      <c r="B186" s="53" t="s">
        <v>111</v>
      </c>
      <c r="C186" s="53" t="s">
        <v>160</v>
      </c>
      <c r="D186" s="54" t="s">
        <v>525</v>
      </c>
      <c r="E186" s="60"/>
      <c r="F186" s="52">
        <f>F187</f>
        <v>883.8</v>
      </c>
      <c r="G186" s="52">
        <f>G187</f>
        <v>883.8</v>
      </c>
      <c r="H186" s="299">
        <f t="shared" si="44"/>
        <v>0</v>
      </c>
      <c r="I186" s="52">
        <f>I187</f>
        <v>883.8</v>
      </c>
      <c r="J186" s="52">
        <f>J187</f>
        <v>1037.5999999999999</v>
      </c>
      <c r="K186" s="299">
        <f t="shared" si="43"/>
        <v>153.79999999999995</v>
      </c>
      <c r="L186" s="52">
        <f>L187</f>
        <v>883.8</v>
      </c>
      <c r="M186" s="299">
        <f t="shared" si="42"/>
        <v>0</v>
      </c>
      <c r="N186" s="52">
        <f>N187</f>
        <v>883.8</v>
      </c>
      <c r="O186" s="52">
        <f>O187</f>
        <v>883.8</v>
      </c>
      <c r="P186" s="299">
        <f t="shared" si="45"/>
        <v>0</v>
      </c>
    </row>
    <row r="187" spans="1:16" s="51" customFormat="1" ht="27.75" customHeight="1" x14ac:dyDescent="0.2">
      <c r="A187" s="56" t="s">
        <v>73</v>
      </c>
      <c r="B187" s="53" t="s">
        <v>111</v>
      </c>
      <c r="C187" s="53" t="s">
        <v>160</v>
      </c>
      <c r="D187" s="54" t="s">
        <v>525</v>
      </c>
      <c r="E187" s="60" t="s">
        <v>70</v>
      </c>
      <c r="F187" s="52">
        <v>883.8</v>
      </c>
      <c r="G187" s="52">
        <v>883.8</v>
      </c>
      <c r="H187" s="299">
        <f t="shared" si="44"/>
        <v>0</v>
      </c>
      <c r="I187" s="52">
        <v>883.8</v>
      </c>
      <c r="J187" s="52">
        <f>883.8+153.8</f>
        <v>1037.5999999999999</v>
      </c>
      <c r="K187" s="299">
        <f t="shared" si="43"/>
        <v>153.79999999999995</v>
      </c>
      <c r="L187" s="52">
        <v>883.8</v>
      </c>
      <c r="M187" s="299">
        <f t="shared" si="42"/>
        <v>0</v>
      </c>
      <c r="N187" s="52">
        <v>883.8</v>
      </c>
      <c r="O187" s="52">
        <v>883.8</v>
      </c>
      <c r="P187" s="299">
        <f t="shared" si="45"/>
        <v>0</v>
      </c>
    </row>
    <row r="188" spans="1:16" s="51" customFormat="1" ht="43.5" customHeight="1" x14ac:dyDescent="0.2">
      <c r="A188" s="56" t="s">
        <v>524</v>
      </c>
      <c r="B188" s="53" t="s">
        <v>111</v>
      </c>
      <c r="C188" s="53" t="s">
        <v>160</v>
      </c>
      <c r="D188" s="54" t="s">
        <v>523</v>
      </c>
      <c r="E188" s="60"/>
      <c r="F188" s="52">
        <f>F189</f>
        <v>500</v>
      </c>
      <c r="G188" s="52">
        <f>G189</f>
        <v>500</v>
      </c>
      <c r="H188" s="299">
        <f t="shared" si="44"/>
        <v>0</v>
      </c>
      <c r="I188" s="52">
        <f>I189</f>
        <v>0</v>
      </c>
      <c r="J188" s="52">
        <f>J189</f>
        <v>346.2</v>
      </c>
      <c r="K188" s="299">
        <f t="shared" si="43"/>
        <v>-153.80000000000001</v>
      </c>
      <c r="L188" s="52">
        <f>L189</f>
        <v>0</v>
      </c>
      <c r="M188" s="299">
        <f t="shared" si="42"/>
        <v>0</v>
      </c>
      <c r="N188" s="52">
        <f>N189</f>
        <v>500</v>
      </c>
      <c r="O188" s="52">
        <f>O189</f>
        <v>500</v>
      </c>
      <c r="P188" s="299">
        <f t="shared" si="45"/>
        <v>0</v>
      </c>
    </row>
    <row r="189" spans="1:16" s="51" customFormat="1" ht="25.5" customHeight="1" x14ac:dyDescent="0.2">
      <c r="A189" s="56" t="s">
        <v>73</v>
      </c>
      <c r="B189" s="53" t="s">
        <v>111</v>
      </c>
      <c r="C189" s="53" t="s">
        <v>160</v>
      </c>
      <c r="D189" s="54" t="s">
        <v>523</v>
      </c>
      <c r="E189" s="60" t="s">
        <v>70</v>
      </c>
      <c r="F189" s="52">
        <v>500</v>
      </c>
      <c r="G189" s="52">
        <v>500</v>
      </c>
      <c r="H189" s="299">
        <f t="shared" si="44"/>
        <v>0</v>
      </c>
      <c r="I189" s="52">
        <v>0</v>
      </c>
      <c r="J189" s="52">
        <f>500-153.8</f>
        <v>346.2</v>
      </c>
      <c r="K189" s="299">
        <f t="shared" si="43"/>
        <v>-153.80000000000001</v>
      </c>
      <c r="L189" s="52">
        <v>0</v>
      </c>
      <c r="M189" s="299">
        <f t="shared" si="42"/>
        <v>0</v>
      </c>
      <c r="N189" s="52">
        <v>500</v>
      </c>
      <c r="O189" s="52">
        <v>500</v>
      </c>
      <c r="P189" s="299">
        <f t="shared" si="45"/>
        <v>0</v>
      </c>
    </row>
    <row r="190" spans="1:16" s="51" customFormat="1" ht="54" customHeight="1" x14ac:dyDescent="0.2">
      <c r="A190" s="56" t="s">
        <v>491</v>
      </c>
      <c r="B190" s="53" t="s">
        <v>111</v>
      </c>
      <c r="C190" s="53" t="s">
        <v>160</v>
      </c>
      <c r="D190" s="54" t="s">
        <v>488</v>
      </c>
      <c r="E190" s="53"/>
      <c r="F190" s="52">
        <f>F191</f>
        <v>90</v>
      </c>
      <c r="G190" s="52">
        <f>G191</f>
        <v>90</v>
      </c>
      <c r="H190" s="299">
        <f t="shared" si="44"/>
        <v>0</v>
      </c>
      <c r="I190" s="52">
        <f>I191</f>
        <v>20</v>
      </c>
      <c r="J190" s="52">
        <f>J191</f>
        <v>90</v>
      </c>
      <c r="K190" s="299">
        <f t="shared" si="43"/>
        <v>0</v>
      </c>
      <c r="L190" s="52">
        <f>L191</f>
        <v>20</v>
      </c>
      <c r="M190" s="299">
        <f t="shared" si="42"/>
        <v>0</v>
      </c>
      <c r="N190" s="52">
        <f>N191</f>
        <v>20</v>
      </c>
      <c r="O190" s="52">
        <f>O191</f>
        <v>20</v>
      </c>
      <c r="P190" s="299">
        <f t="shared" si="45"/>
        <v>0</v>
      </c>
    </row>
    <row r="191" spans="1:16" s="51" customFormat="1" ht="25.5" customHeight="1" x14ac:dyDescent="0.2">
      <c r="A191" s="137" t="s">
        <v>73</v>
      </c>
      <c r="B191" s="53" t="s">
        <v>111</v>
      </c>
      <c r="C191" s="53" t="s">
        <v>160</v>
      </c>
      <c r="D191" s="54" t="s">
        <v>488</v>
      </c>
      <c r="E191" s="60" t="s">
        <v>70</v>
      </c>
      <c r="F191" s="52">
        <v>90</v>
      </c>
      <c r="G191" s="52">
        <v>90</v>
      </c>
      <c r="H191" s="299">
        <f t="shared" si="44"/>
        <v>0</v>
      </c>
      <c r="I191" s="52">
        <v>20</v>
      </c>
      <c r="J191" s="52">
        <v>90</v>
      </c>
      <c r="K191" s="299">
        <f t="shared" si="43"/>
        <v>0</v>
      </c>
      <c r="L191" s="52">
        <v>20</v>
      </c>
      <c r="M191" s="299">
        <f t="shared" si="42"/>
        <v>0</v>
      </c>
      <c r="N191" s="52">
        <v>20</v>
      </c>
      <c r="O191" s="52">
        <v>20</v>
      </c>
      <c r="P191" s="299">
        <f t="shared" si="45"/>
        <v>0</v>
      </c>
    </row>
    <row r="192" spans="1:16" s="51" customFormat="1" ht="25.5" customHeight="1" x14ac:dyDescent="0.2">
      <c r="A192" s="137" t="s">
        <v>522</v>
      </c>
      <c r="B192" s="53" t="s">
        <v>111</v>
      </c>
      <c r="C192" s="53" t="s">
        <v>160</v>
      </c>
      <c r="D192" s="54" t="s">
        <v>521</v>
      </c>
      <c r="E192" s="60"/>
      <c r="F192" s="52">
        <f>F193</f>
        <v>100</v>
      </c>
      <c r="G192" s="52">
        <f>G193</f>
        <v>100</v>
      </c>
      <c r="H192" s="299">
        <f t="shared" si="44"/>
        <v>0</v>
      </c>
      <c r="I192" s="52">
        <f>I193</f>
        <v>100</v>
      </c>
      <c r="J192" s="52">
        <f>J193</f>
        <v>100</v>
      </c>
      <c r="K192" s="299">
        <f t="shared" si="43"/>
        <v>0</v>
      </c>
      <c r="L192" s="52">
        <f>L193</f>
        <v>100</v>
      </c>
      <c r="M192" s="299">
        <f t="shared" si="42"/>
        <v>0</v>
      </c>
      <c r="N192" s="52">
        <f>N193</f>
        <v>100</v>
      </c>
      <c r="O192" s="52">
        <f>O193</f>
        <v>100</v>
      </c>
      <c r="P192" s="299">
        <f t="shared" si="45"/>
        <v>0</v>
      </c>
    </row>
    <row r="193" spans="1:16" s="51" customFormat="1" ht="27" customHeight="1" x14ac:dyDescent="0.2">
      <c r="A193" s="137" t="s">
        <v>73</v>
      </c>
      <c r="B193" s="53" t="s">
        <v>111</v>
      </c>
      <c r="C193" s="53" t="s">
        <v>160</v>
      </c>
      <c r="D193" s="54" t="s">
        <v>521</v>
      </c>
      <c r="E193" s="60" t="s">
        <v>70</v>
      </c>
      <c r="F193" s="52">
        <v>100</v>
      </c>
      <c r="G193" s="52">
        <v>100</v>
      </c>
      <c r="H193" s="299">
        <f t="shared" si="44"/>
        <v>0</v>
      </c>
      <c r="I193" s="52">
        <v>100</v>
      </c>
      <c r="J193" s="52">
        <v>100</v>
      </c>
      <c r="K193" s="299">
        <f t="shared" si="43"/>
        <v>0</v>
      </c>
      <c r="L193" s="52">
        <v>100</v>
      </c>
      <c r="M193" s="299">
        <f t="shared" si="42"/>
        <v>0</v>
      </c>
      <c r="N193" s="52">
        <v>100</v>
      </c>
      <c r="O193" s="52">
        <v>100</v>
      </c>
      <c r="P193" s="299">
        <f t="shared" si="45"/>
        <v>0</v>
      </c>
    </row>
    <row r="194" spans="1:16" s="51" customFormat="1" ht="29.25" customHeight="1" x14ac:dyDescent="0.2">
      <c r="A194" s="76" t="s">
        <v>520</v>
      </c>
      <c r="B194" s="53" t="s">
        <v>111</v>
      </c>
      <c r="C194" s="53" t="s">
        <v>160</v>
      </c>
      <c r="D194" s="54" t="s">
        <v>519</v>
      </c>
      <c r="E194" s="60"/>
      <c r="F194" s="52">
        <f>F195</f>
        <v>4036.6000000000004</v>
      </c>
      <c r="G194" s="52">
        <f>G195</f>
        <v>4036.6000000000004</v>
      </c>
      <c r="H194" s="299">
        <f t="shared" si="44"/>
        <v>0</v>
      </c>
      <c r="I194" s="52">
        <f>I195</f>
        <v>4026.6000000000004</v>
      </c>
      <c r="J194" s="52">
        <f>J195</f>
        <v>4036.6000000000004</v>
      </c>
      <c r="K194" s="299">
        <f t="shared" si="43"/>
        <v>0</v>
      </c>
      <c r="L194" s="52">
        <f>L195</f>
        <v>4026.6000000000004</v>
      </c>
      <c r="M194" s="299">
        <f t="shared" si="42"/>
        <v>0</v>
      </c>
      <c r="N194" s="52">
        <f>N195</f>
        <v>4026.6000000000004</v>
      </c>
      <c r="O194" s="52">
        <f>O195</f>
        <v>4026.6000000000004</v>
      </c>
      <c r="P194" s="299">
        <f t="shared" si="45"/>
        <v>0</v>
      </c>
    </row>
    <row r="195" spans="1:16" s="51" customFormat="1" ht="25.5" customHeight="1" x14ac:dyDescent="0.2">
      <c r="A195" s="57" t="s">
        <v>518</v>
      </c>
      <c r="B195" s="53" t="s">
        <v>111</v>
      </c>
      <c r="C195" s="53" t="s">
        <v>160</v>
      </c>
      <c r="D195" s="54" t="s">
        <v>517</v>
      </c>
      <c r="E195" s="60"/>
      <c r="F195" s="52">
        <f>F196+F197</f>
        <v>4036.6000000000004</v>
      </c>
      <c r="G195" s="52">
        <f>G196+G197</f>
        <v>4036.6000000000004</v>
      </c>
      <c r="H195" s="299">
        <f t="shared" si="44"/>
        <v>0</v>
      </c>
      <c r="I195" s="52">
        <f>I196+I197</f>
        <v>4026.6000000000004</v>
      </c>
      <c r="J195" s="52">
        <f>J196+J197</f>
        <v>4036.6000000000004</v>
      </c>
      <c r="K195" s="299">
        <f t="shared" si="43"/>
        <v>0</v>
      </c>
      <c r="L195" s="52">
        <f>L196+L197</f>
        <v>4026.6000000000004</v>
      </c>
      <c r="M195" s="299">
        <f t="shared" si="42"/>
        <v>0</v>
      </c>
      <c r="N195" s="52">
        <f>N196+N197</f>
        <v>4026.6000000000004</v>
      </c>
      <c r="O195" s="52">
        <f>O196+O197</f>
        <v>4026.6000000000004</v>
      </c>
      <c r="P195" s="299">
        <f t="shared" si="45"/>
        <v>0</v>
      </c>
    </row>
    <row r="196" spans="1:16" s="51" customFormat="1" ht="25.5" customHeight="1" x14ac:dyDescent="0.2">
      <c r="A196" s="56" t="s">
        <v>84</v>
      </c>
      <c r="B196" s="53" t="s">
        <v>111</v>
      </c>
      <c r="C196" s="53" t="s">
        <v>160</v>
      </c>
      <c r="D196" s="54" t="s">
        <v>517</v>
      </c>
      <c r="E196" s="60" t="s">
        <v>83</v>
      </c>
      <c r="F196" s="52">
        <f>3887.8+34.5</f>
        <v>3922.3</v>
      </c>
      <c r="G196" s="52">
        <f>3887.8+34.5</f>
        <v>3922.3</v>
      </c>
      <c r="H196" s="299">
        <f t="shared" si="44"/>
        <v>0</v>
      </c>
      <c r="I196" s="52">
        <f>3887.8+34.5</f>
        <v>3922.3</v>
      </c>
      <c r="J196" s="52">
        <f>3887.8+34.5</f>
        <v>3922.3</v>
      </c>
      <c r="K196" s="299">
        <f t="shared" si="43"/>
        <v>0</v>
      </c>
      <c r="L196" s="52">
        <f>3887.8+34.5</f>
        <v>3922.3</v>
      </c>
      <c r="M196" s="299">
        <f t="shared" si="42"/>
        <v>0</v>
      </c>
      <c r="N196" s="52">
        <f>3887.8+34.5</f>
        <v>3922.3</v>
      </c>
      <c r="O196" s="52">
        <f>3887.8+34.5</f>
        <v>3922.3</v>
      </c>
      <c r="P196" s="299">
        <f t="shared" si="45"/>
        <v>0</v>
      </c>
    </row>
    <row r="197" spans="1:16" s="51" customFormat="1" ht="25.5" customHeight="1" x14ac:dyDescent="0.2">
      <c r="A197" s="56" t="s">
        <v>73</v>
      </c>
      <c r="B197" s="53" t="s">
        <v>111</v>
      </c>
      <c r="C197" s="53" t="s">
        <v>160</v>
      </c>
      <c r="D197" s="54" t="s">
        <v>517</v>
      </c>
      <c r="E197" s="60" t="s">
        <v>70</v>
      </c>
      <c r="F197" s="52">
        <v>114.3</v>
      </c>
      <c r="G197" s="52">
        <v>114.3</v>
      </c>
      <c r="H197" s="299">
        <f t="shared" si="44"/>
        <v>0</v>
      </c>
      <c r="I197" s="52">
        <v>104.3</v>
      </c>
      <c r="J197" s="52">
        <v>114.3</v>
      </c>
      <c r="K197" s="299">
        <f t="shared" si="43"/>
        <v>0</v>
      </c>
      <c r="L197" s="52">
        <v>104.3</v>
      </c>
      <c r="M197" s="299">
        <f t="shared" si="42"/>
        <v>0</v>
      </c>
      <c r="N197" s="52">
        <v>104.3</v>
      </c>
      <c r="O197" s="52">
        <v>104.3</v>
      </c>
      <c r="P197" s="299">
        <f t="shared" si="45"/>
        <v>0</v>
      </c>
    </row>
    <row r="198" spans="1:16" s="51" customFormat="1" ht="34.5" customHeight="1" x14ac:dyDescent="0.2">
      <c r="A198" s="138" t="s">
        <v>516</v>
      </c>
      <c r="B198" s="71" t="s">
        <v>111</v>
      </c>
      <c r="C198" s="71" t="s">
        <v>97</v>
      </c>
      <c r="D198" s="49"/>
      <c r="E198" s="53"/>
      <c r="F198" s="52">
        <f>F199</f>
        <v>5767</v>
      </c>
      <c r="G198" s="52">
        <f>G199</f>
        <v>5767</v>
      </c>
      <c r="H198" s="299">
        <f t="shared" si="44"/>
        <v>0</v>
      </c>
      <c r="I198" s="52">
        <f>I199</f>
        <v>3385</v>
      </c>
      <c r="J198" s="52">
        <f>J199</f>
        <v>5767</v>
      </c>
      <c r="K198" s="299">
        <f t="shared" si="43"/>
        <v>0</v>
      </c>
      <c r="L198" s="52">
        <f>L199</f>
        <v>3385</v>
      </c>
      <c r="M198" s="299">
        <f t="shared" si="42"/>
        <v>0</v>
      </c>
      <c r="N198" s="52">
        <f>N199</f>
        <v>4388.8</v>
      </c>
      <c r="O198" s="52">
        <f>O199</f>
        <v>4388.8</v>
      </c>
      <c r="P198" s="299">
        <f t="shared" si="45"/>
        <v>0</v>
      </c>
    </row>
    <row r="199" spans="1:16" s="51" customFormat="1" ht="36.75" customHeight="1" x14ac:dyDescent="0.2">
      <c r="A199" s="69" t="s">
        <v>453</v>
      </c>
      <c r="B199" s="78" t="s">
        <v>111</v>
      </c>
      <c r="C199" s="78" t="s">
        <v>97</v>
      </c>
      <c r="D199" s="54" t="s">
        <v>452</v>
      </c>
      <c r="E199" s="53"/>
      <c r="F199" s="52">
        <f>F200+F206</f>
        <v>5767</v>
      </c>
      <c r="G199" s="52">
        <f>G200+G206</f>
        <v>5767</v>
      </c>
      <c r="H199" s="299">
        <f t="shared" si="44"/>
        <v>0</v>
      </c>
      <c r="I199" s="52">
        <f>I200+I206</f>
        <v>3385</v>
      </c>
      <c r="J199" s="52">
        <f>J200+J206</f>
        <v>5767</v>
      </c>
      <c r="K199" s="299">
        <f t="shared" si="43"/>
        <v>0</v>
      </c>
      <c r="L199" s="52">
        <f>L200+L206</f>
        <v>3385</v>
      </c>
      <c r="M199" s="299">
        <f t="shared" si="42"/>
        <v>0</v>
      </c>
      <c r="N199" s="52">
        <f>N200+N206</f>
        <v>4388.8</v>
      </c>
      <c r="O199" s="52">
        <f>O200+O206</f>
        <v>4388.8</v>
      </c>
      <c r="P199" s="299">
        <f t="shared" si="45"/>
        <v>0</v>
      </c>
    </row>
    <row r="200" spans="1:16" s="51" customFormat="1" ht="13.5" customHeight="1" x14ac:dyDescent="0.2">
      <c r="A200" s="57" t="s">
        <v>66</v>
      </c>
      <c r="B200" s="78" t="s">
        <v>111</v>
      </c>
      <c r="C200" s="78" t="s">
        <v>97</v>
      </c>
      <c r="D200" s="54" t="s">
        <v>504</v>
      </c>
      <c r="E200" s="53"/>
      <c r="F200" s="52">
        <f>F201</f>
        <v>4367</v>
      </c>
      <c r="G200" s="52">
        <f>G201</f>
        <v>4367</v>
      </c>
      <c r="H200" s="299">
        <f t="shared" si="44"/>
        <v>0</v>
      </c>
      <c r="I200" s="52">
        <f>I201</f>
        <v>1985</v>
      </c>
      <c r="J200" s="52">
        <f>J201</f>
        <v>4367</v>
      </c>
      <c r="K200" s="299">
        <f t="shared" si="43"/>
        <v>0</v>
      </c>
      <c r="L200" s="52">
        <f>L201</f>
        <v>1985</v>
      </c>
      <c r="M200" s="299">
        <f t="shared" si="42"/>
        <v>0</v>
      </c>
      <c r="N200" s="52">
        <f>N201</f>
        <v>2988.8</v>
      </c>
      <c r="O200" s="52">
        <f>O201</f>
        <v>2988.8</v>
      </c>
      <c r="P200" s="299">
        <f t="shared" si="45"/>
        <v>0</v>
      </c>
    </row>
    <row r="201" spans="1:16" s="51" customFormat="1" ht="29.25" customHeight="1" x14ac:dyDescent="0.2">
      <c r="A201" s="66" t="s">
        <v>515</v>
      </c>
      <c r="B201" s="78" t="s">
        <v>111</v>
      </c>
      <c r="C201" s="78" t="s">
        <v>97</v>
      </c>
      <c r="D201" s="54" t="s">
        <v>514</v>
      </c>
      <c r="E201" s="60"/>
      <c r="F201" s="52">
        <f>F202+F204</f>
        <v>4367</v>
      </c>
      <c r="G201" s="52">
        <f>G202+G204</f>
        <v>4367</v>
      </c>
      <c r="H201" s="299">
        <f t="shared" si="44"/>
        <v>0</v>
      </c>
      <c r="I201" s="52">
        <f>I202+I204</f>
        <v>1985</v>
      </c>
      <c r="J201" s="52">
        <f>J202+J204</f>
        <v>4367</v>
      </c>
      <c r="K201" s="299">
        <f t="shared" si="43"/>
        <v>0</v>
      </c>
      <c r="L201" s="52">
        <f>L202+L204</f>
        <v>1985</v>
      </c>
      <c r="M201" s="299">
        <f t="shared" si="42"/>
        <v>0</v>
      </c>
      <c r="N201" s="52">
        <f>N202+N204</f>
        <v>2988.8</v>
      </c>
      <c r="O201" s="52">
        <f>O202+O204</f>
        <v>2988.8</v>
      </c>
      <c r="P201" s="299">
        <f t="shared" si="45"/>
        <v>0</v>
      </c>
    </row>
    <row r="202" spans="1:16" s="51" customFormat="1" ht="33.75" customHeight="1" x14ac:dyDescent="0.2">
      <c r="A202" s="66" t="s">
        <v>513</v>
      </c>
      <c r="B202" s="78" t="s">
        <v>111</v>
      </c>
      <c r="C202" s="78" t="s">
        <v>97</v>
      </c>
      <c r="D202" s="54" t="s">
        <v>512</v>
      </c>
      <c r="E202" s="60"/>
      <c r="F202" s="52">
        <f>F203</f>
        <v>4367</v>
      </c>
      <c r="G202" s="52">
        <f>G203</f>
        <v>4367</v>
      </c>
      <c r="H202" s="299">
        <f t="shared" si="44"/>
        <v>0</v>
      </c>
      <c r="I202" s="52">
        <f>I203</f>
        <v>1985</v>
      </c>
      <c r="J202" s="52">
        <f>J203</f>
        <v>4367</v>
      </c>
      <c r="K202" s="299">
        <f t="shared" si="43"/>
        <v>0</v>
      </c>
      <c r="L202" s="52">
        <f>L203</f>
        <v>1985</v>
      </c>
      <c r="M202" s="299">
        <f t="shared" ref="M202:M213" si="55">L202-I202</f>
        <v>0</v>
      </c>
      <c r="N202" s="52">
        <f>N203</f>
        <v>2988.8</v>
      </c>
      <c r="O202" s="52">
        <f>O203</f>
        <v>2988.8</v>
      </c>
      <c r="P202" s="299">
        <f t="shared" si="45"/>
        <v>0</v>
      </c>
    </row>
    <row r="203" spans="1:16" s="51" customFormat="1" ht="27.75" customHeight="1" x14ac:dyDescent="0.2">
      <c r="A203" s="66" t="s">
        <v>73</v>
      </c>
      <c r="B203" s="78" t="s">
        <v>111</v>
      </c>
      <c r="C203" s="78" t="s">
        <v>97</v>
      </c>
      <c r="D203" s="54" t="s">
        <v>512</v>
      </c>
      <c r="E203" s="60" t="s">
        <v>70</v>
      </c>
      <c r="F203" s="52">
        <f>2183.5+2183.5</f>
        <v>4367</v>
      </c>
      <c r="G203" s="52">
        <f>2183.5+2183.5</f>
        <v>4367</v>
      </c>
      <c r="H203" s="299">
        <f t="shared" si="44"/>
        <v>0</v>
      </c>
      <c r="I203" s="52">
        <f>992.5+992.5</f>
        <v>1985</v>
      </c>
      <c r="J203" s="52">
        <f>2183.5+2183.5</f>
        <v>4367</v>
      </c>
      <c r="K203" s="299">
        <f t="shared" ref="K203:K267" si="56">J203-G203</f>
        <v>0</v>
      </c>
      <c r="L203" s="52">
        <f>992.5+992.5</f>
        <v>1985</v>
      </c>
      <c r="M203" s="299">
        <f t="shared" si="55"/>
        <v>0</v>
      </c>
      <c r="N203" s="52">
        <v>2988.8</v>
      </c>
      <c r="O203" s="52">
        <v>2988.8</v>
      </c>
      <c r="P203" s="299">
        <f t="shared" si="45"/>
        <v>0</v>
      </c>
    </row>
    <row r="204" spans="1:16" s="51" customFormat="1" ht="16.5" hidden="1" customHeight="1" x14ac:dyDescent="0.2">
      <c r="A204" s="56" t="s">
        <v>508</v>
      </c>
      <c r="B204" s="78" t="s">
        <v>111</v>
      </c>
      <c r="C204" s="78" t="s">
        <v>97</v>
      </c>
      <c r="D204" s="54" t="s">
        <v>511</v>
      </c>
      <c r="E204" s="60"/>
      <c r="F204" s="52">
        <f>F205</f>
        <v>0</v>
      </c>
      <c r="G204" s="52">
        <f>G205</f>
        <v>0</v>
      </c>
      <c r="H204" s="299">
        <f t="shared" si="44"/>
        <v>0</v>
      </c>
      <c r="I204" s="52">
        <f>I205</f>
        <v>0</v>
      </c>
      <c r="J204" s="52">
        <f>J205</f>
        <v>0</v>
      </c>
      <c r="K204" s="299">
        <f t="shared" si="56"/>
        <v>0</v>
      </c>
      <c r="L204" s="52">
        <f>L205</f>
        <v>0</v>
      </c>
      <c r="M204" s="299">
        <f t="shared" si="55"/>
        <v>0</v>
      </c>
      <c r="N204" s="52">
        <f>N205</f>
        <v>0</v>
      </c>
      <c r="O204" s="52">
        <f>O205</f>
        <v>0</v>
      </c>
      <c r="P204" s="299">
        <f t="shared" si="45"/>
        <v>0</v>
      </c>
    </row>
    <row r="205" spans="1:16" s="51" customFormat="1" ht="27.75" hidden="1" customHeight="1" x14ac:dyDescent="0.2">
      <c r="A205" s="66" t="s">
        <v>73</v>
      </c>
      <c r="B205" s="78" t="s">
        <v>111</v>
      </c>
      <c r="C205" s="78" t="s">
        <v>97</v>
      </c>
      <c r="D205" s="54" t="s">
        <v>511</v>
      </c>
      <c r="E205" s="60" t="s">
        <v>70</v>
      </c>
      <c r="F205" s="52">
        <v>0</v>
      </c>
      <c r="G205" s="52">
        <v>0</v>
      </c>
      <c r="H205" s="299">
        <f t="shared" si="44"/>
        <v>0</v>
      </c>
      <c r="I205" s="52">
        <v>0</v>
      </c>
      <c r="J205" s="52">
        <v>0</v>
      </c>
      <c r="K205" s="299">
        <f t="shared" si="56"/>
        <v>0</v>
      </c>
      <c r="L205" s="52">
        <v>0</v>
      </c>
      <c r="M205" s="299">
        <f t="shared" si="55"/>
        <v>0</v>
      </c>
      <c r="N205" s="52">
        <v>0</v>
      </c>
      <c r="O205" s="52">
        <v>0</v>
      </c>
      <c r="P205" s="299">
        <f t="shared" si="45"/>
        <v>0</v>
      </c>
    </row>
    <row r="206" spans="1:16" s="51" customFormat="1" ht="18" customHeight="1" x14ac:dyDescent="0.2">
      <c r="A206" s="66" t="s">
        <v>52</v>
      </c>
      <c r="B206" s="78" t="s">
        <v>111</v>
      </c>
      <c r="C206" s="78" t="s">
        <v>97</v>
      </c>
      <c r="D206" s="54" t="s">
        <v>451</v>
      </c>
      <c r="E206" s="60"/>
      <c r="F206" s="52">
        <f t="shared" ref="F206:G208" si="57">F207</f>
        <v>1400</v>
      </c>
      <c r="G206" s="52">
        <f t="shared" si="57"/>
        <v>1400</v>
      </c>
      <c r="H206" s="299">
        <f t="shared" si="44"/>
        <v>0</v>
      </c>
      <c r="I206" s="52">
        <f t="shared" ref="I206:L208" si="58">I207</f>
        <v>1400</v>
      </c>
      <c r="J206" s="52">
        <f t="shared" si="58"/>
        <v>1400</v>
      </c>
      <c r="K206" s="299">
        <f t="shared" si="56"/>
        <v>0</v>
      </c>
      <c r="L206" s="52">
        <f t="shared" si="58"/>
        <v>1400</v>
      </c>
      <c r="M206" s="299">
        <f t="shared" si="55"/>
        <v>0</v>
      </c>
      <c r="N206" s="52">
        <f t="shared" ref="N206:O208" si="59">N207</f>
        <v>1400</v>
      </c>
      <c r="O206" s="52">
        <f t="shared" si="59"/>
        <v>1400</v>
      </c>
      <c r="P206" s="299">
        <f t="shared" si="45"/>
        <v>0</v>
      </c>
    </row>
    <row r="207" spans="1:16" s="51" customFormat="1" ht="27.75" customHeight="1" x14ac:dyDescent="0.2">
      <c r="A207" s="137" t="s">
        <v>510</v>
      </c>
      <c r="B207" s="78" t="s">
        <v>111</v>
      </c>
      <c r="C207" s="78" t="s">
        <v>97</v>
      </c>
      <c r="D207" s="54" t="s">
        <v>509</v>
      </c>
      <c r="E207" s="60"/>
      <c r="F207" s="52">
        <f t="shared" si="57"/>
        <v>1400</v>
      </c>
      <c r="G207" s="52">
        <f t="shared" si="57"/>
        <v>1400</v>
      </c>
      <c r="H207" s="299">
        <f t="shared" si="44"/>
        <v>0</v>
      </c>
      <c r="I207" s="52">
        <f t="shared" si="58"/>
        <v>1400</v>
      </c>
      <c r="J207" s="52">
        <f t="shared" si="58"/>
        <v>1400</v>
      </c>
      <c r="K207" s="299">
        <f t="shared" si="56"/>
        <v>0</v>
      </c>
      <c r="L207" s="52">
        <f t="shared" si="58"/>
        <v>1400</v>
      </c>
      <c r="M207" s="299">
        <f t="shared" si="55"/>
        <v>0</v>
      </c>
      <c r="N207" s="52">
        <f t="shared" si="59"/>
        <v>1400</v>
      </c>
      <c r="O207" s="52">
        <f t="shared" si="59"/>
        <v>1400</v>
      </c>
      <c r="P207" s="299">
        <f t="shared" si="45"/>
        <v>0</v>
      </c>
    </row>
    <row r="208" spans="1:16" s="51" customFormat="1" ht="17.25" customHeight="1" x14ac:dyDescent="0.2">
      <c r="A208" s="56" t="s">
        <v>508</v>
      </c>
      <c r="B208" s="78" t="s">
        <v>111</v>
      </c>
      <c r="C208" s="78" t="s">
        <v>97</v>
      </c>
      <c r="D208" s="54" t="s">
        <v>507</v>
      </c>
      <c r="E208" s="60"/>
      <c r="F208" s="52">
        <f t="shared" si="57"/>
        <v>1400</v>
      </c>
      <c r="G208" s="52">
        <f t="shared" si="57"/>
        <v>1400</v>
      </c>
      <c r="H208" s="299">
        <f t="shared" ref="H208:H271" si="60">G208-F208</f>
        <v>0</v>
      </c>
      <c r="I208" s="52">
        <f t="shared" si="58"/>
        <v>1400</v>
      </c>
      <c r="J208" s="52">
        <f t="shared" si="58"/>
        <v>1400</v>
      </c>
      <c r="K208" s="299">
        <f t="shared" si="56"/>
        <v>0</v>
      </c>
      <c r="L208" s="52">
        <f t="shared" si="58"/>
        <v>1400</v>
      </c>
      <c r="M208" s="299">
        <f t="shared" si="55"/>
        <v>0</v>
      </c>
      <c r="N208" s="52">
        <f t="shared" si="59"/>
        <v>1400</v>
      </c>
      <c r="O208" s="52">
        <f t="shared" si="59"/>
        <v>1400</v>
      </c>
      <c r="P208" s="299">
        <f t="shared" ref="P208:P271" si="61">O208-N208</f>
        <v>0</v>
      </c>
    </row>
    <row r="209" spans="1:16" s="51" customFormat="1" ht="30" customHeight="1" x14ac:dyDescent="0.2">
      <c r="A209" s="56" t="s">
        <v>73</v>
      </c>
      <c r="B209" s="78" t="s">
        <v>111</v>
      </c>
      <c r="C209" s="78" t="s">
        <v>97</v>
      </c>
      <c r="D209" s="54" t="s">
        <v>507</v>
      </c>
      <c r="E209" s="60" t="s">
        <v>70</v>
      </c>
      <c r="F209" s="52">
        <v>1400</v>
      </c>
      <c r="G209" s="52">
        <v>1400</v>
      </c>
      <c r="H209" s="299">
        <f t="shared" si="60"/>
        <v>0</v>
      </c>
      <c r="I209" s="52">
        <v>1400</v>
      </c>
      <c r="J209" s="52">
        <v>1400</v>
      </c>
      <c r="K209" s="299">
        <f t="shared" si="56"/>
        <v>0</v>
      </c>
      <c r="L209" s="52">
        <v>1400</v>
      </c>
      <c r="M209" s="299">
        <f t="shared" si="55"/>
        <v>0</v>
      </c>
      <c r="N209" s="52">
        <v>1400</v>
      </c>
      <c r="O209" s="52">
        <v>1400</v>
      </c>
      <c r="P209" s="299">
        <f t="shared" si="61"/>
        <v>0</v>
      </c>
    </row>
    <row r="210" spans="1:16" s="43" customFormat="1" ht="26.25" customHeight="1" x14ac:dyDescent="0.2">
      <c r="A210" s="105" t="s">
        <v>506</v>
      </c>
      <c r="B210" s="71" t="s">
        <v>111</v>
      </c>
      <c r="C210" s="71" t="s">
        <v>489</v>
      </c>
      <c r="D210" s="71"/>
      <c r="E210" s="71"/>
      <c r="F210" s="44">
        <f>F217+F211</f>
        <v>1777.3</v>
      </c>
      <c r="G210" s="44">
        <f>G217+G211</f>
        <v>1777.3</v>
      </c>
      <c r="H210" s="299">
        <f t="shared" si="60"/>
        <v>0</v>
      </c>
      <c r="I210" s="44">
        <f>I217+I211</f>
        <v>420.2</v>
      </c>
      <c r="J210" s="44">
        <f>J217+J211</f>
        <v>1777.3</v>
      </c>
      <c r="K210" s="299">
        <f t="shared" si="56"/>
        <v>0</v>
      </c>
      <c r="L210" s="44">
        <f>L217+L211</f>
        <v>420.2</v>
      </c>
      <c r="M210" s="299">
        <f t="shared" si="55"/>
        <v>0</v>
      </c>
      <c r="N210" s="44">
        <f>N217+N211</f>
        <v>12720.2</v>
      </c>
      <c r="O210" s="44">
        <f>O217+O211</f>
        <v>12720.2</v>
      </c>
      <c r="P210" s="299">
        <f t="shared" si="61"/>
        <v>0</v>
      </c>
    </row>
    <row r="211" spans="1:16" s="51" customFormat="1" ht="27.75" customHeight="1" x14ac:dyDescent="0.2">
      <c r="A211" s="108" t="s">
        <v>471</v>
      </c>
      <c r="B211" s="78" t="s">
        <v>111</v>
      </c>
      <c r="C211" s="78" t="s">
        <v>489</v>
      </c>
      <c r="D211" s="53" t="s">
        <v>470</v>
      </c>
      <c r="E211" s="53"/>
      <c r="F211" s="52">
        <f t="shared" ref="F211:G214" si="62">F212</f>
        <v>50</v>
      </c>
      <c r="G211" s="52">
        <f t="shared" si="62"/>
        <v>50</v>
      </c>
      <c r="H211" s="299">
        <f t="shared" si="60"/>
        <v>0</v>
      </c>
      <c r="I211" s="52">
        <f t="shared" ref="I211:L213" si="63">I212</f>
        <v>50</v>
      </c>
      <c r="J211" s="52">
        <f t="shared" si="63"/>
        <v>50</v>
      </c>
      <c r="K211" s="299">
        <f t="shared" si="56"/>
        <v>0</v>
      </c>
      <c r="L211" s="52">
        <f t="shared" si="63"/>
        <v>50</v>
      </c>
      <c r="M211" s="299">
        <f t="shared" si="55"/>
        <v>0</v>
      </c>
      <c r="N211" s="52">
        <f t="shared" ref="N211:O213" si="64">N212</f>
        <v>50</v>
      </c>
      <c r="O211" s="52">
        <f t="shared" si="64"/>
        <v>50</v>
      </c>
      <c r="P211" s="299">
        <f t="shared" si="61"/>
        <v>0</v>
      </c>
    </row>
    <row r="212" spans="1:16" s="51" customFormat="1" ht="18" customHeight="1" x14ac:dyDescent="0.2">
      <c r="A212" s="56" t="s">
        <v>52</v>
      </c>
      <c r="B212" s="78" t="s">
        <v>111</v>
      </c>
      <c r="C212" s="78" t="s">
        <v>489</v>
      </c>
      <c r="D212" s="53" t="s">
        <v>462</v>
      </c>
      <c r="E212" s="53"/>
      <c r="F212" s="52">
        <f t="shared" si="62"/>
        <v>50</v>
      </c>
      <c r="G212" s="52">
        <f t="shared" si="62"/>
        <v>50</v>
      </c>
      <c r="H212" s="299">
        <f t="shared" si="60"/>
        <v>0</v>
      </c>
      <c r="I212" s="52">
        <f t="shared" si="63"/>
        <v>50</v>
      </c>
      <c r="J212" s="52">
        <f t="shared" si="63"/>
        <v>50</v>
      </c>
      <c r="K212" s="299">
        <f t="shared" si="56"/>
        <v>0</v>
      </c>
      <c r="L212" s="52">
        <f t="shared" si="63"/>
        <v>50</v>
      </c>
      <c r="M212" s="299">
        <f t="shared" si="55"/>
        <v>0</v>
      </c>
      <c r="N212" s="52">
        <f t="shared" si="64"/>
        <v>50</v>
      </c>
      <c r="O212" s="52">
        <f t="shared" si="64"/>
        <v>50</v>
      </c>
      <c r="P212" s="299">
        <f t="shared" si="61"/>
        <v>0</v>
      </c>
    </row>
    <row r="213" spans="1:16" s="51" customFormat="1" ht="27" customHeight="1" x14ac:dyDescent="0.2">
      <c r="A213" s="117" t="s">
        <v>457</v>
      </c>
      <c r="B213" s="78" t="s">
        <v>111</v>
      </c>
      <c r="C213" s="78" t="s">
        <v>489</v>
      </c>
      <c r="D213" s="53" t="s">
        <v>456</v>
      </c>
      <c r="E213" s="53"/>
      <c r="F213" s="52">
        <f t="shared" si="62"/>
        <v>50</v>
      </c>
      <c r="G213" s="52">
        <f t="shared" si="62"/>
        <v>50</v>
      </c>
      <c r="H213" s="299">
        <f t="shared" si="60"/>
        <v>0</v>
      </c>
      <c r="I213" s="52">
        <f t="shared" si="63"/>
        <v>50</v>
      </c>
      <c r="J213" s="52">
        <f t="shared" si="63"/>
        <v>50</v>
      </c>
      <c r="K213" s="299">
        <f t="shared" si="56"/>
        <v>0</v>
      </c>
      <c r="L213" s="52">
        <f t="shared" si="63"/>
        <v>50</v>
      </c>
      <c r="M213" s="299">
        <f t="shared" si="55"/>
        <v>0</v>
      </c>
      <c r="N213" s="52">
        <f t="shared" si="64"/>
        <v>50</v>
      </c>
      <c r="O213" s="52">
        <f t="shared" si="64"/>
        <v>50</v>
      </c>
      <c r="P213" s="299">
        <f t="shared" si="61"/>
        <v>0</v>
      </c>
    </row>
    <row r="214" spans="1:16" s="51" customFormat="1" ht="26.25" customHeight="1" x14ac:dyDescent="0.2">
      <c r="A214" s="84" t="s">
        <v>448</v>
      </c>
      <c r="B214" s="78" t="s">
        <v>111</v>
      </c>
      <c r="C214" s="78" t="s">
        <v>489</v>
      </c>
      <c r="D214" s="54" t="s">
        <v>505</v>
      </c>
      <c r="E214" s="53"/>
      <c r="F214" s="52">
        <f t="shared" si="62"/>
        <v>50</v>
      </c>
      <c r="G214" s="52">
        <f>G215+G216</f>
        <v>50</v>
      </c>
      <c r="H214" s="52">
        <f t="shared" ref="H214:O214" si="65">H215+H216</f>
        <v>0</v>
      </c>
      <c r="I214" s="52">
        <f t="shared" si="65"/>
        <v>50</v>
      </c>
      <c r="J214" s="52">
        <f t="shared" si="65"/>
        <v>50</v>
      </c>
      <c r="K214" s="299">
        <f t="shared" si="56"/>
        <v>0</v>
      </c>
      <c r="L214" s="52">
        <f t="shared" si="65"/>
        <v>50</v>
      </c>
      <c r="M214" s="52">
        <f t="shared" si="65"/>
        <v>0</v>
      </c>
      <c r="N214" s="52">
        <f t="shared" si="65"/>
        <v>50</v>
      </c>
      <c r="O214" s="52">
        <f t="shared" si="65"/>
        <v>50</v>
      </c>
      <c r="P214" s="299">
        <f t="shared" si="61"/>
        <v>0</v>
      </c>
    </row>
    <row r="215" spans="1:16" s="51" customFormat="1" ht="33" customHeight="1" x14ac:dyDescent="0.2">
      <c r="A215" s="56" t="s">
        <v>73</v>
      </c>
      <c r="B215" s="78" t="s">
        <v>111</v>
      </c>
      <c r="C215" s="78" t="s">
        <v>489</v>
      </c>
      <c r="D215" s="54" t="s">
        <v>505</v>
      </c>
      <c r="E215" s="53" t="s">
        <v>70</v>
      </c>
      <c r="F215" s="52">
        <v>50</v>
      </c>
      <c r="G215" s="52">
        <v>50</v>
      </c>
      <c r="H215" s="299">
        <f t="shared" si="60"/>
        <v>0</v>
      </c>
      <c r="I215" s="52">
        <v>50</v>
      </c>
      <c r="J215" s="52">
        <f>50-10</f>
        <v>40</v>
      </c>
      <c r="K215" s="299">
        <f t="shared" si="56"/>
        <v>-10</v>
      </c>
      <c r="L215" s="52">
        <v>50</v>
      </c>
      <c r="M215" s="299">
        <f>L215-I215</f>
        <v>0</v>
      </c>
      <c r="N215" s="52">
        <v>50</v>
      </c>
      <c r="O215" s="52">
        <v>50</v>
      </c>
      <c r="P215" s="299">
        <f t="shared" si="61"/>
        <v>0</v>
      </c>
    </row>
    <row r="216" spans="1:16" s="51" customFormat="1" ht="16.5" customHeight="1" x14ac:dyDescent="0.2">
      <c r="A216" s="75" t="s">
        <v>82</v>
      </c>
      <c r="B216" s="78" t="s">
        <v>111</v>
      </c>
      <c r="C216" s="78" t="s">
        <v>489</v>
      </c>
      <c r="D216" s="54" t="s">
        <v>505</v>
      </c>
      <c r="E216" s="53" t="s">
        <v>81</v>
      </c>
      <c r="F216" s="52"/>
      <c r="G216" s="52">
        <v>0</v>
      </c>
      <c r="H216" s="299"/>
      <c r="I216" s="52"/>
      <c r="J216" s="52">
        <v>10</v>
      </c>
      <c r="K216" s="299">
        <f t="shared" si="56"/>
        <v>10</v>
      </c>
      <c r="L216" s="52">
        <v>0</v>
      </c>
      <c r="M216" s="299"/>
      <c r="N216" s="52"/>
      <c r="O216" s="52">
        <v>0</v>
      </c>
      <c r="P216" s="299"/>
    </row>
    <row r="217" spans="1:16" s="51" customFormat="1" ht="37.5" customHeight="1" x14ac:dyDescent="0.2">
      <c r="A217" s="56" t="s">
        <v>453</v>
      </c>
      <c r="B217" s="78" t="s">
        <v>111</v>
      </c>
      <c r="C217" s="78" t="s">
        <v>489</v>
      </c>
      <c r="D217" s="54" t="s">
        <v>452</v>
      </c>
      <c r="E217" s="78"/>
      <c r="F217" s="52">
        <f>F218+F227</f>
        <v>1727.3</v>
      </c>
      <c r="G217" s="52">
        <f>G218+G227</f>
        <v>1727.3</v>
      </c>
      <c r="H217" s="299">
        <f t="shared" si="60"/>
        <v>0</v>
      </c>
      <c r="I217" s="52">
        <f>I218+I227</f>
        <v>370.2</v>
      </c>
      <c r="J217" s="52">
        <f>J218+J227</f>
        <v>1727.3</v>
      </c>
      <c r="K217" s="299">
        <f t="shared" si="56"/>
        <v>0</v>
      </c>
      <c r="L217" s="52">
        <f>L218+L227</f>
        <v>370.2</v>
      </c>
      <c r="M217" s="299">
        <f t="shared" ref="M217:M280" si="66">L217-I217</f>
        <v>0</v>
      </c>
      <c r="N217" s="52">
        <f>N218+N227</f>
        <v>12670.2</v>
      </c>
      <c r="O217" s="52">
        <f>O218+O227</f>
        <v>12670.2</v>
      </c>
      <c r="P217" s="299">
        <f t="shared" si="61"/>
        <v>0</v>
      </c>
    </row>
    <row r="218" spans="1:16" s="51" customFormat="1" ht="18" customHeight="1" x14ac:dyDescent="0.2">
      <c r="A218" s="57" t="s">
        <v>66</v>
      </c>
      <c r="B218" s="78" t="s">
        <v>111</v>
      </c>
      <c r="C218" s="78" t="s">
        <v>489</v>
      </c>
      <c r="D218" s="54" t="s">
        <v>504</v>
      </c>
      <c r="E218" s="78"/>
      <c r="F218" s="52">
        <f>F219+F224</f>
        <v>1317.3</v>
      </c>
      <c r="G218" s="52">
        <f>G219+G224</f>
        <v>1317.3</v>
      </c>
      <c r="H218" s="299">
        <f t="shared" si="60"/>
        <v>0</v>
      </c>
      <c r="I218" s="52">
        <f>I219+I224</f>
        <v>60.2</v>
      </c>
      <c r="J218" s="52">
        <f>J219+J224</f>
        <v>1317.3</v>
      </c>
      <c r="K218" s="299">
        <f t="shared" si="56"/>
        <v>0</v>
      </c>
      <c r="L218" s="52">
        <f>L219+L224</f>
        <v>60.2</v>
      </c>
      <c r="M218" s="299">
        <f t="shared" si="66"/>
        <v>0</v>
      </c>
      <c r="N218" s="52">
        <f>N219+N224</f>
        <v>12360.2</v>
      </c>
      <c r="O218" s="52">
        <f>O219+O224</f>
        <v>12360.2</v>
      </c>
      <c r="P218" s="299">
        <f t="shared" si="61"/>
        <v>0</v>
      </c>
    </row>
    <row r="219" spans="1:16" s="51" customFormat="1" ht="27" customHeight="1" x14ac:dyDescent="0.2">
      <c r="A219" s="57" t="s">
        <v>503</v>
      </c>
      <c r="B219" s="78" t="s">
        <v>111</v>
      </c>
      <c r="C219" s="78" t="s">
        <v>489</v>
      </c>
      <c r="D219" s="54" t="s">
        <v>502</v>
      </c>
      <c r="E219" s="78"/>
      <c r="F219" s="52">
        <f>F220+F222</f>
        <v>1317.3</v>
      </c>
      <c r="G219" s="52">
        <f t="shared" ref="G219:O219" si="67">G220+G222</f>
        <v>1317.3</v>
      </c>
      <c r="H219" s="299">
        <f t="shared" si="60"/>
        <v>0</v>
      </c>
      <c r="I219" s="52">
        <f t="shared" si="67"/>
        <v>60.2</v>
      </c>
      <c r="J219" s="52">
        <f t="shared" si="67"/>
        <v>1317.3</v>
      </c>
      <c r="K219" s="299">
        <f t="shared" si="56"/>
        <v>0</v>
      </c>
      <c r="L219" s="52">
        <f t="shared" si="67"/>
        <v>60.2</v>
      </c>
      <c r="M219" s="299">
        <f t="shared" si="66"/>
        <v>0</v>
      </c>
      <c r="N219" s="52">
        <f t="shared" si="67"/>
        <v>60.2</v>
      </c>
      <c r="O219" s="52">
        <f t="shared" si="67"/>
        <v>60.2</v>
      </c>
      <c r="P219" s="299">
        <f t="shared" si="61"/>
        <v>0</v>
      </c>
    </row>
    <row r="220" spans="1:16" s="51" customFormat="1" ht="27" customHeight="1" x14ac:dyDescent="0.2">
      <c r="A220" s="66" t="s">
        <v>501</v>
      </c>
      <c r="B220" s="78" t="s">
        <v>111</v>
      </c>
      <c r="C220" s="78" t="s">
        <v>489</v>
      </c>
      <c r="D220" s="54" t="s">
        <v>500</v>
      </c>
      <c r="E220" s="78"/>
      <c r="F220" s="52">
        <f>F221</f>
        <v>417.3</v>
      </c>
      <c r="G220" s="52">
        <f>G221</f>
        <v>417.3</v>
      </c>
      <c r="H220" s="299">
        <f t="shared" si="60"/>
        <v>0</v>
      </c>
      <c r="I220" s="52">
        <f>I221</f>
        <v>60.2</v>
      </c>
      <c r="J220" s="52">
        <f>J221</f>
        <v>417.3</v>
      </c>
      <c r="K220" s="299">
        <f t="shared" si="56"/>
        <v>0</v>
      </c>
      <c r="L220" s="52">
        <f>L221</f>
        <v>60.2</v>
      </c>
      <c r="M220" s="299">
        <f t="shared" si="66"/>
        <v>0</v>
      </c>
      <c r="N220" s="52">
        <f>N221</f>
        <v>60.2</v>
      </c>
      <c r="O220" s="52">
        <f>O221</f>
        <v>60.2</v>
      </c>
      <c r="P220" s="299">
        <f t="shared" si="61"/>
        <v>0</v>
      </c>
    </row>
    <row r="221" spans="1:16" s="135" customFormat="1" ht="30" customHeight="1" x14ac:dyDescent="0.2">
      <c r="A221" s="66" t="s">
        <v>73</v>
      </c>
      <c r="B221" s="78" t="s">
        <v>111</v>
      </c>
      <c r="C221" s="78" t="s">
        <v>489</v>
      </c>
      <c r="D221" s="54" t="s">
        <v>500</v>
      </c>
      <c r="E221" s="78" t="s">
        <v>70</v>
      </c>
      <c r="F221" s="52">
        <f>177.9+9.4+230</f>
        <v>417.3</v>
      </c>
      <c r="G221" s="52">
        <f>177.9+9.4+230</f>
        <v>417.3</v>
      </c>
      <c r="H221" s="299">
        <f t="shared" si="60"/>
        <v>0</v>
      </c>
      <c r="I221" s="52">
        <f>57.2+3</f>
        <v>60.2</v>
      </c>
      <c r="J221" s="52">
        <f>177.9+9.4+230</f>
        <v>417.3</v>
      </c>
      <c r="K221" s="299">
        <f t="shared" si="56"/>
        <v>0</v>
      </c>
      <c r="L221" s="52">
        <f>57.2+3</f>
        <v>60.2</v>
      </c>
      <c r="M221" s="299">
        <f t="shared" si="66"/>
        <v>0</v>
      </c>
      <c r="N221" s="52">
        <f>57.2+3</f>
        <v>60.2</v>
      </c>
      <c r="O221" s="52">
        <f>57.2+3</f>
        <v>60.2</v>
      </c>
      <c r="P221" s="299">
        <f t="shared" si="61"/>
        <v>0</v>
      </c>
    </row>
    <row r="222" spans="1:16" s="135" customFormat="1" ht="30.75" customHeight="1" x14ac:dyDescent="0.2">
      <c r="A222" s="57" t="s">
        <v>499</v>
      </c>
      <c r="B222" s="78" t="s">
        <v>111</v>
      </c>
      <c r="C222" s="78" t="s">
        <v>489</v>
      </c>
      <c r="D222" s="54" t="s">
        <v>498</v>
      </c>
      <c r="E222" s="78"/>
      <c r="F222" s="52">
        <f>F223</f>
        <v>900</v>
      </c>
      <c r="G222" s="52">
        <f t="shared" ref="G222:O222" si="68">G223</f>
        <v>900</v>
      </c>
      <c r="H222" s="299">
        <f t="shared" si="60"/>
        <v>0</v>
      </c>
      <c r="I222" s="52">
        <f t="shared" si="68"/>
        <v>0</v>
      </c>
      <c r="J222" s="52">
        <f t="shared" si="68"/>
        <v>900</v>
      </c>
      <c r="K222" s="299">
        <f t="shared" si="56"/>
        <v>0</v>
      </c>
      <c r="L222" s="52">
        <f t="shared" si="68"/>
        <v>0</v>
      </c>
      <c r="M222" s="299">
        <f t="shared" si="66"/>
        <v>0</v>
      </c>
      <c r="N222" s="52">
        <f t="shared" si="68"/>
        <v>0</v>
      </c>
      <c r="O222" s="52">
        <f t="shared" si="68"/>
        <v>0</v>
      </c>
      <c r="P222" s="299">
        <f t="shared" si="61"/>
        <v>0</v>
      </c>
    </row>
    <row r="223" spans="1:16" s="135" customFormat="1" ht="29.25" customHeight="1" x14ac:dyDescent="0.2">
      <c r="A223" s="66" t="s">
        <v>73</v>
      </c>
      <c r="B223" s="78" t="s">
        <v>111</v>
      </c>
      <c r="C223" s="78" t="s">
        <v>489</v>
      </c>
      <c r="D223" s="54" t="s">
        <v>498</v>
      </c>
      <c r="E223" s="78" t="s">
        <v>70</v>
      </c>
      <c r="F223" s="52">
        <f>855+45</f>
        <v>900</v>
      </c>
      <c r="G223" s="52">
        <f>855+45</f>
        <v>900</v>
      </c>
      <c r="H223" s="299">
        <f t="shared" si="60"/>
        <v>0</v>
      </c>
      <c r="I223" s="52">
        <v>0</v>
      </c>
      <c r="J223" s="52">
        <f>855+45</f>
        <v>900</v>
      </c>
      <c r="K223" s="299">
        <f t="shared" si="56"/>
        <v>0</v>
      </c>
      <c r="L223" s="52">
        <v>0</v>
      </c>
      <c r="M223" s="299">
        <f t="shared" si="66"/>
        <v>0</v>
      </c>
      <c r="N223" s="52">
        <v>0</v>
      </c>
      <c r="O223" s="52">
        <v>0</v>
      </c>
      <c r="P223" s="299">
        <f t="shared" si="61"/>
        <v>0</v>
      </c>
    </row>
    <row r="224" spans="1:16" s="51" customFormat="1" ht="29.25" customHeight="1" x14ac:dyDescent="0.2">
      <c r="A224" s="66" t="s">
        <v>497</v>
      </c>
      <c r="B224" s="78" t="s">
        <v>111</v>
      </c>
      <c r="C224" s="78" t="s">
        <v>489</v>
      </c>
      <c r="D224" s="54" t="s">
        <v>496</v>
      </c>
      <c r="E224" s="60"/>
      <c r="F224" s="52">
        <f>F225</f>
        <v>0</v>
      </c>
      <c r="G224" s="52">
        <f>G225</f>
        <v>0</v>
      </c>
      <c r="H224" s="299">
        <f t="shared" si="60"/>
        <v>0</v>
      </c>
      <c r="I224" s="52">
        <f>I225</f>
        <v>0</v>
      </c>
      <c r="J224" s="52">
        <f>J225</f>
        <v>0</v>
      </c>
      <c r="K224" s="299">
        <f t="shared" si="56"/>
        <v>0</v>
      </c>
      <c r="L224" s="52">
        <f>L225</f>
        <v>0</v>
      </c>
      <c r="M224" s="299">
        <f t="shared" si="66"/>
        <v>0</v>
      </c>
      <c r="N224" s="52">
        <f>N225</f>
        <v>12300</v>
      </c>
      <c r="O224" s="52">
        <f>O225</f>
        <v>12300</v>
      </c>
      <c r="P224" s="299">
        <f t="shared" si="61"/>
        <v>0</v>
      </c>
    </row>
    <row r="225" spans="1:16" s="51" customFormat="1" ht="14.25" customHeight="1" x14ac:dyDescent="0.2">
      <c r="A225" s="66" t="s">
        <v>495</v>
      </c>
      <c r="B225" s="78" t="s">
        <v>111</v>
      </c>
      <c r="C225" s="78" t="s">
        <v>489</v>
      </c>
      <c r="D225" s="54" t="s">
        <v>494</v>
      </c>
      <c r="E225" s="60"/>
      <c r="F225" s="52">
        <f>F226</f>
        <v>0</v>
      </c>
      <c r="G225" s="52">
        <f>G226</f>
        <v>0</v>
      </c>
      <c r="H225" s="299">
        <f t="shared" si="60"/>
        <v>0</v>
      </c>
      <c r="I225" s="52">
        <f>I226</f>
        <v>0</v>
      </c>
      <c r="J225" s="52">
        <f>J226</f>
        <v>0</v>
      </c>
      <c r="K225" s="299">
        <f t="shared" si="56"/>
        <v>0</v>
      </c>
      <c r="L225" s="52">
        <f>L226</f>
        <v>0</v>
      </c>
      <c r="M225" s="299">
        <f t="shared" si="66"/>
        <v>0</v>
      </c>
      <c r="N225" s="52">
        <f>N226</f>
        <v>12300</v>
      </c>
      <c r="O225" s="52">
        <f>O226</f>
        <v>12300</v>
      </c>
      <c r="P225" s="299">
        <f t="shared" si="61"/>
        <v>0</v>
      </c>
    </row>
    <row r="226" spans="1:16" s="51" customFormat="1" ht="27.75" customHeight="1" x14ac:dyDescent="0.2">
      <c r="A226" s="99" t="s">
        <v>73</v>
      </c>
      <c r="B226" s="78" t="s">
        <v>111</v>
      </c>
      <c r="C226" s="78" t="s">
        <v>489</v>
      </c>
      <c r="D226" s="54" t="s">
        <v>494</v>
      </c>
      <c r="E226" s="60" t="s">
        <v>70</v>
      </c>
      <c r="F226" s="52">
        <v>0</v>
      </c>
      <c r="G226" s="52">
        <v>0</v>
      </c>
      <c r="H226" s="299">
        <f t="shared" si="60"/>
        <v>0</v>
      </c>
      <c r="I226" s="52">
        <v>0</v>
      </c>
      <c r="J226" s="52">
        <v>0</v>
      </c>
      <c r="K226" s="299">
        <f t="shared" si="56"/>
        <v>0</v>
      </c>
      <c r="L226" s="52">
        <v>0</v>
      </c>
      <c r="M226" s="299">
        <f t="shared" si="66"/>
        <v>0</v>
      </c>
      <c r="N226" s="52">
        <v>12300</v>
      </c>
      <c r="O226" s="52">
        <v>12300</v>
      </c>
      <c r="P226" s="299">
        <f t="shared" si="61"/>
        <v>0</v>
      </c>
    </row>
    <row r="227" spans="1:16" s="51" customFormat="1" ht="15.75" customHeight="1" x14ac:dyDescent="0.2">
      <c r="A227" s="66" t="s">
        <v>52</v>
      </c>
      <c r="B227" s="78" t="s">
        <v>111</v>
      </c>
      <c r="C227" s="78" t="s">
        <v>489</v>
      </c>
      <c r="D227" s="54" t="s">
        <v>451</v>
      </c>
      <c r="E227" s="78"/>
      <c r="F227" s="52">
        <f>F228</f>
        <v>410</v>
      </c>
      <c r="G227" s="52">
        <f>G228</f>
        <v>410</v>
      </c>
      <c r="H227" s="299">
        <f t="shared" si="60"/>
        <v>0</v>
      </c>
      <c r="I227" s="52">
        <f>I228</f>
        <v>310</v>
      </c>
      <c r="J227" s="52">
        <f>J228</f>
        <v>410</v>
      </c>
      <c r="K227" s="299">
        <f t="shared" si="56"/>
        <v>0</v>
      </c>
      <c r="L227" s="52">
        <f>L228</f>
        <v>310</v>
      </c>
      <c r="M227" s="299">
        <f t="shared" si="66"/>
        <v>0</v>
      </c>
      <c r="N227" s="52">
        <f>N228</f>
        <v>310</v>
      </c>
      <c r="O227" s="52">
        <f>O228</f>
        <v>310</v>
      </c>
      <c r="P227" s="299">
        <f t="shared" si="61"/>
        <v>0</v>
      </c>
    </row>
    <row r="228" spans="1:16" s="51" customFormat="1" ht="30" customHeight="1" x14ac:dyDescent="0.2">
      <c r="A228" s="56" t="s">
        <v>450</v>
      </c>
      <c r="B228" s="78" t="s">
        <v>111</v>
      </c>
      <c r="C228" s="78" t="s">
        <v>489</v>
      </c>
      <c r="D228" s="54" t="s">
        <v>449</v>
      </c>
      <c r="E228" s="78"/>
      <c r="F228" s="52">
        <f>F233+F231+F229</f>
        <v>410</v>
      </c>
      <c r="G228" s="52">
        <f>G233+G231+G229</f>
        <v>410</v>
      </c>
      <c r="H228" s="299">
        <f t="shared" si="60"/>
        <v>0</v>
      </c>
      <c r="I228" s="52">
        <f>I233+I231+I229</f>
        <v>310</v>
      </c>
      <c r="J228" s="52">
        <f>J233+J231+J229</f>
        <v>410</v>
      </c>
      <c r="K228" s="299">
        <f t="shared" si="56"/>
        <v>0</v>
      </c>
      <c r="L228" s="52">
        <f>L233+L231+L229</f>
        <v>310</v>
      </c>
      <c r="M228" s="299">
        <f t="shared" si="66"/>
        <v>0</v>
      </c>
      <c r="N228" s="52">
        <f>N233+N231+N229</f>
        <v>310</v>
      </c>
      <c r="O228" s="52">
        <f>O233+O231+O229</f>
        <v>310</v>
      </c>
      <c r="P228" s="299">
        <f t="shared" si="61"/>
        <v>0</v>
      </c>
    </row>
    <row r="229" spans="1:16" s="51" customFormat="1" ht="65.25" customHeight="1" x14ac:dyDescent="0.2">
      <c r="A229" s="56" t="s">
        <v>493</v>
      </c>
      <c r="B229" s="78" t="s">
        <v>111</v>
      </c>
      <c r="C229" s="78" t="s">
        <v>489</v>
      </c>
      <c r="D229" s="54" t="s">
        <v>492</v>
      </c>
      <c r="E229" s="60"/>
      <c r="F229" s="52">
        <f>F230</f>
        <v>80</v>
      </c>
      <c r="G229" s="52">
        <f>G230</f>
        <v>80</v>
      </c>
      <c r="H229" s="299">
        <f t="shared" si="60"/>
        <v>0</v>
      </c>
      <c r="I229" s="52">
        <f>I230</f>
        <v>20</v>
      </c>
      <c r="J229" s="52">
        <f>J230</f>
        <v>80</v>
      </c>
      <c r="K229" s="299">
        <f t="shared" si="56"/>
        <v>0</v>
      </c>
      <c r="L229" s="52">
        <f>L230</f>
        <v>20</v>
      </c>
      <c r="M229" s="299">
        <f t="shared" si="66"/>
        <v>0</v>
      </c>
      <c r="N229" s="52">
        <f>N230</f>
        <v>20</v>
      </c>
      <c r="O229" s="52">
        <f>O230</f>
        <v>20</v>
      </c>
      <c r="P229" s="299">
        <f t="shared" si="61"/>
        <v>0</v>
      </c>
    </row>
    <row r="230" spans="1:16" s="51" customFormat="1" ht="33" customHeight="1" x14ac:dyDescent="0.2">
      <c r="A230" s="56" t="s">
        <v>73</v>
      </c>
      <c r="B230" s="78" t="s">
        <v>111</v>
      </c>
      <c r="C230" s="78" t="s">
        <v>489</v>
      </c>
      <c r="D230" s="54" t="s">
        <v>492</v>
      </c>
      <c r="E230" s="60" t="s">
        <v>70</v>
      </c>
      <c r="F230" s="52">
        <v>80</v>
      </c>
      <c r="G230" s="52">
        <v>80</v>
      </c>
      <c r="H230" s="299">
        <f t="shared" si="60"/>
        <v>0</v>
      </c>
      <c r="I230" s="52">
        <v>20</v>
      </c>
      <c r="J230" s="52">
        <v>80</v>
      </c>
      <c r="K230" s="299">
        <f t="shared" si="56"/>
        <v>0</v>
      </c>
      <c r="L230" s="52">
        <v>20</v>
      </c>
      <c r="M230" s="299">
        <f t="shared" si="66"/>
        <v>0</v>
      </c>
      <c r="N230" s="52">
        <v>20</v>
      </c>
      <c r="O230" s="52">
        <v>20</v>
      </c>
      <c r="P230" s="299">
        <f t="shared" si="61"/>
        <v>0</v>
      </c>
    </row>
    <row r="231" spans="1:16" s="51" customFormat="1" ht="30.75" customHeight="1" x14ac:dyDescent="0.2">
      <c r="A231" s="56" t="s">
        <v>448</v>
      </c>
      <c r="B231" s="78" t="s">
        <v>111</v>
      </c>
      <c r="C231" s="78" t="s">
        <v>489</v>
      </c>
      <c r="D231" s="54" t="s">
        <v>447</v>
      </c>
      <c r="E231" s="60"/>
      <c r="F231" s="52">
        <f>F232</f>
        <v>250</v>
      </c>
      <c r="G231" s="52">
        <f>G232</f>
        <v>250</v>
      </c>
      <c r="H231" s="299">
        <f t="shared" si="60"/>
        <v>0</v>
      </c>
      <c r="I231" s="52">
        <f>I232</f>
        <v>250</v>
      </c>
      <c r="J231" s="52">
        <f>J232</f>
        <v>250</v>
      </c>
      <c r="K231" s="299">
        <f t="shared" si="56"/>
        <v>0</v>
      </c>
      <c r="L231" s="52">
        <f>L232</f>
        <v>250</v>
      </c>
      <c r="M231" s="299">
        <f t="shared" si="66"/>
        <v>0</v>
      </c>
      <c r="N231" s="52">
        <f>N232</f>
        <v>250</v>
      </c>
      <c r="O231" s="52">
        <f>O232</f>
        <v>250</v>
      </c>
      <c r="P231" s="299">
        <f t="shared" si="61"/>
        <v>0</v>
      </c>
    </row>
    <row r="232" spans="1:16" s="51" customFormat="1" ht="31.5" customHeight="1" x14ac:dyDescent="0.2">
      <c r="A232" s="56" t="s">
        <v>73</v>
      </c>
      <c r="B232" s="78" t="s">
        <v>111</v>
      </c>
      <c r="C232" s="78" t="s">
        <v>489</v>
      </c>
      <c r="D232" s="54" t="s">
        <v>447</v>
      </c>
      <c r="E232" s="60" t="s">
        <v>70</v>
      </c>
      <c r="F232" s="52">
        <v>250</v>
      </c>
      <c r="G232" s="52">
        <v>250</v>
      </c>
      <c r="H232" s="299">
        <f t="shared" si="60"/>
        <v>0</v>
      </c>
      <c r="I232" s="52">
        <v>250</v>
      </c>
      <c r="J232" s="52">
        <v>250</v>
      </c>
      <c r="K232" s="299">
        <f t="shared" si="56"/>
        <v>0</v>
      </c>
      <c r="L232" s="52">
        <v>250</v>
      </c>
      <c r="M232" s="299">
        <f t="shared" si="66"/>
        <v>0</v>
      </c>
      <c r="N232" s="52">
        <v>250</v>
      </c>
      <c r="O232" s="52">
        <v>250</v>
      </c>
      <c r="P232" s="299">
        <f t="shared" si="61"/>
        <v>0</v>
      </c>
    </row>
    <row r="233" spans="1:16" s="51" customFormat="1" ht="54" customHeight="1" x14ac:dyDescent="0.2">
      <c r="A233" s="56" t="s">
        <v>491</v>
      </c>
      <c r="B233" s="78" t="s">
        <v>111</v>
      </c>
      <c r="C233" s="78" t="s">
        <v>489</v>
      </c>
      <c r="D233" s="54" t="s">
        <v>488</v>
      </c>
      <c r="E233" s="78"/>
      <c r="F233" s="52">
        <f>F234+F235</f>
        <v>80</v>
      </c>
      <c r="G233" s="52">
        <f>G234+G235</f>
        <v>80</v>
      </c>
      <c r="H233" s="299">
        <f t="shared" si="60"/>
        <v>0</v>
      </c>
      <c r="I233" s="52">
        <f>I234+I235</f>
        <v>40</v>
      </c>
      <c r="J233" s="52">
        <f>J234+J235</f>
        <v>80</v>
      </c>
      <c r="K233" s="299">
        <f t="shared" si="56"/>
        <v>0</v>
      </c>
      <c r="L233" s="52">
        <f>L234+L235</f>
        <v>40</v>
      </c>
      <c r="M233" s="299">
        <f t="shared" si="66"/>
        <v>0</v>
      </c>
      <c r="N233" s="52">
        <f>N234+N235</f>
        <v>40</v>
      </c>
      <c r="O233" s="52">
        <f>O234+O235</f>
        <v>40</v>
      </c>
      <c r="P233" s="299">
        <f t="shared" si="61"/>
        <v>0</v>
      </c>
    </row>
    <row r="234" spans="1:16" s="51" customFormat="1" ht="27" customHeight="1" x14ac:dyDescent="0.2">
      <c r="A234" s="56" t="s">
        <v>73</v>
      </c>
      <c r="B234" s="78" t="s">
        <v>111</v>
      </c>
      <c r="C234" s="78" t="s">
        <v>489</v>
      </c>
      <c r="D234" s="54" t="s">
        <v>488</v>
      </c>
      <c r="E234" s="60" t="s">
        <v>70</v>
      </c>
      <c r="F234" s="52">
        <v>55</v>
      </c>
      <c r="G234" s="52">
        <v>55</v>
      </c>
      <c r="H234" s="299">
        <f t="shared" si="60"/>
        <v>0</v>
      </c>
      <c r="I234" s="52">
        <v>15</v>
      </c>
      <c r="J234" s="52">
        <v>55</v>
      </c>
      <c r="K234" s="299">
        <f t="shared" si="56"/>
        <v>0</v>
      </c>
      <c r="L234" s="52">
        <v>15</v>
      </c>
      <c r="M234" s="299">
        <f t="shared" si="66"/>
        <v>0</v>
      </c>
      <c r="N234" s="52">
        <v>15</v>
      </c>
      <c r="O234" s="52">
        <v>15</v>
      </c>
      <c r="P234" s="299">
        <f t="shared" si="61"/>
        <v>0</v>
      </c>
    </row>
    <row r="235" spans="1:16" s="51" customFormat="1" ht="15.75" customHeight="1" x14ac:dyDescent="0.2">
      <c r="A235" s="66" t="s">
        <v>490</v>
      </c>
      <c r="B235" s="78" t="s">
        <v>111</v>
      </c>
      <c r="C235" s="78" t="s">
        <v>489</v>
      </c>
      <c r="D235" s="54" t="s">
        <v>488</v>
      </c>
      <c r="E235" s="60" t="s">
        <v>487</v>
      </c>
      <c r="F235" s="52">
        <f>5+20</f>
        <v>25</v>
      </c>
      <c r="G235" s="52">
        <f>5+20</f>
        <v>25</v>
      </c>
      <c r="H235" s="299">
        <f t="shared" si="60"/>
        <v>0</v>
      </c>
      <c r="I235" s="52">
        <f>5+20</f>
        <v>25</v>
      </c>
      <c r="J235" s="52">
        <f>5+20</f>
        <v>25</v>
      </c>
      <c r="K235" s="299">
        <f t="shared" si="56"/>
        <v>0</v>
      </c>
      <c r="L235" s="52">
        <f>5+20</f>
        <v>25</v>
      </c>
      <c r="M235" s="299">
        <f t="shared" si="66"/>
        <v>0</v>
      </c>
      <c r="N235" s="52">
        <f>5+20</f>
        <v>25</v>
      </c>
      <c r="O235" s="52">
        <f>5+20</f>
        <v>25</v>
      </c>
      <c r="P235" s="299">
        <f t="shared" si="61"/>
        <v>0</v>
      </c>
    </row>
    <row r="236" spans="1:16" s="43" customFormat="1" ht="15.75" customHeight="1" x14ac:dyDescent="0.2">
      <c r="A236" s="90" t="s">
        <v>486</v>
      </c>
      <c r="B236" s="71" t="s">
        <v>108</v>
      </c>
      <c r="C236" s="71"/>
      <c r="D236" s="71"/>
      <c r="E236" s="71"/>
      <c r="F236" s="132">
        <f>F237+F243+F252+F272</f>
        <v>42157.3</v>
      </c>
      <c r="G236" s="132">
        <f>G237+G243+G252+G272</f>
        <v>46483.000000000007</v>
      </c>
      <c r="H236" s="299">
        <f t="shared" si="60"/>
        <v>4325.7000000000044</v>
      </c>
      <c r="I236" s="132">
        <f>I237+I243+I252+I272</f>
        <v>43037.3</v>
      </c>
      <c r="J236" s="132">
        <f>J237+J243+J252+J272</f>
        <v>46483.000000000007</v>
      </c>
      <c r="K236" s="299">
        <f t="shared" si="56"/>
        <v>0</v>
      </c>
      <c r="L236" s="132">
        <f>L237+L243+L252+L272</f>
        <v>43037.3</v>
      </c>
      <c r="M236" s="299">
        <f t="shared" si="66"/>
        <v>0</v>
      </c>
      <c r="N236" s="132">
        <f>N237+N243+N252+N272</f>
        <v>33371.000000000007</v>
      </c>
      <c r="O236" s="132">
        <f>O237+O243+O252+O272</f>
        <v>33371.000000000007</v>
      </c>
      <c r="P236" s="299">
        <f t="shared" si="61"/>
        <v>0</v>
      </c>
    </row>
    <row r="237" spans="1:16" s="43" customFormat="1" ht="15.75" customHeight="1" x14ac:dyDescent="0.2">
      <c r="A237" s="105" t="s">
        <v>485</v>
      </c>
      <c r="B237" s="71" t="s">
        <v>108</v>
      </c>
      <c r="C237" s="71" t="s">
        <v>45</v>
      </c>
      <c r="D237" s="71"/>
      <c r="E237" s="71"/>
      <c r="F237" s="132">
        <f t="shared" ref="F237:G241" si="69">F238</f>
        <v>565</v>
      </c>
      <c r="G237" s="132">
        <f t="shared" si="69"/>
        <v>754</v>
      </c>
      <c r="H237" s="299">
        <f t="shared" si="60"/>
        <v>189</v>
      </c>
      <c r="I237" s="132">
        <f t="shared" ref="I237:L241" si="70">I238</f>
        <v>565</v>
      </c>
      <c r="J237" s="132">
        <f t="shared" si="70"/>
        <v>754</v>
      </c>
      <c r="K237" s="299">
        <f t="shared" si="56"/>
        <v>0</v>
      </c>
      <c r="L237" s="132">
        <f t="shared" si="70"/>
        <v>565</v>
      </c>
      <c r="M237" s="299">
        <f t="shared" si="66"/>
        <v>0</v>
      </c>
      <c r="N237" s="132">
        <f t="shared" ref="N237:O241" si="71">N238</f>
        <v>565</v>
      </c>
      <c r="O237" s="132">
        <f t="shared" si="71"/>
        <v>565</v>
      </c>
      <c r="P237" s="299">
        <f t="shared" si="61"/>
        <v>0</v>
      </c>
    </row>
    <row r="238" spans="1:16" s="51" customFormat="1" ht="26.25" customHeight="1" x14ac:dyDescent="0.2">
      <c r="A238" s="64" t="s">
        <v>142</v>
      </c>
      <c r="B238" s="53" t="s">
        <v>108</v>
      </c>
      <c r="C238" s="53" t="s">
        <v>45</v>
      </c>
      <c r="D238" s="54" t="s">
        <v>141</v>
      </c>
      <c r="E238" s="78"/>
      <c r="F238" s="52">
        <f t="shared" si="69"/>
        <v>565</v>
      </c>
      <c r="G238" s="52">
        <f t="shared" si="69"/>
        <v>754</v>
      </c>
      <c r="H238" s="299">
        <f t="shared" si="60"/>
        <v>189</v>
      </c>
      <c r="I238" s="52">
        <f t="shared" si="70"/>
        <v>565</v>
      </c>
      <c r="J238" s="52">
        <f t="shared" si="70"/>
        <v>754</v>
      </c>
      <c r="K238" s="299">
        <f t="shared" si="56"/>
        <v>0</v>
      </c>
      <c r="L238" s="52">
        <f t="shared" si="70"/>
        <v>565</v>
      </c>
      <c r="M238" s="299">
        <f t="shared" si="66"/>
        <v>0</v>
      </c>
      <c r="N238" s="52">
        <f t="shared" si="71"/>
        <v>565</v>
      </c>
      <c r="O238" s="52">
        <f t="shared" si="71"/>
        <v>565</v>
      </c>
      <c r="P238" s="299">
        <f t="shared" si="61"/>
        <v>0</v>
      </c>
    </row>
    <row r="239" spans="1:16" s="51" customFormat="1" ht="15" customHeight="1" x14ac:dyDescent="0.2">
      <c r="A239" s="97" t="s">
        <v>52</v>
      </c>
      <c r="B239" s="53" t="s">
        <v>108</v>
      </c>
      <c r="C239" s="53" t="s">
        <v>45</v>
      </c>
      <c r="D239" s="54" t="s">
        <v>140</v>
      </c>
      <c r="E239" s="78"/>
      <c r="F239" s="52">
        <f t="shared" si="69"/>
        <v>565</v>
      </c>
      <c r="G239" s="52">
        <f t="shared" si="69"/>
        <v>754</v>
      </c>
      <c r="H239" s="299">
        <f t="shared" si="60"/>
        <v>189</v>
      </c>
      <c r="I239" s="52">
        <f t="shared" si="70"/>
        <v>565</v>
      </c>
      <c r="J239" s="52">
        <f t="shared" si="70"/>
        <v>754</v>
      </c>
      <c r="K239" s="299">
        <f t="shared" si="56"/>
        <v>0</v>
      </c>
      <c r="L239" s="52">
        <f t="shared" si="70"/>
        <v>565</v>
      </c>
      <c r="M239" s="299">
        <f t="shared" si="66"/>
        <v>0</v>
      </c>
      <c r="N239" s="52">
        <f t="shared" si="71"/>
        <v>565</v>
      </c>
      <c r="O239" s="52">
        <f t="shared" si="71"/>
        <v>565</v>
      </c>
      <c r="P239" s="299">
        <f t="shared" si="61"/>
        <v>0</v>
      </c>
    </row>
    <row r="240" spans="1:16" s="51" customFormat="1" ht="26.25" customHeight="1" x14ac:dyDescent="0.2">
      <c r="A240" s="109" t="s">
        <v>484</v>
      </c>
      <c r="B240" s="53" t="s">
        <v>108</v>
      </c>
      <c r="C240" s="53" t="s">
        <v>45</v>
      </c>
      <c r="D240" s="54" t="s">
        <v>483</v>
      </c>
      <c r="E240" s="78"/>
      <c r="F240" s="100">
        <f t="shared" si="69"/>
        <v>565</v>
      </c>
      <c r="G240" s="100">
        <f t="shared" si="69"/>
        <v>754</v>
      </c>
      <c r="H240" s="299">
        <f t="shared" si="60"/>
        <v>189</v>
      </c>
      <c r="I240" s="100">
        <f t="shared" si="70"/>
        <v>565</v>
      </c>
      <c r="J240" s="100">
        <f t="shared" si="70"/>
        <v>754</v>
      </c>
      <c r="K240" s="299">
        <f t="shared" si="56"/>
        <v>0</v>
      </c>
      <c r="L240" s="100">
        <f t="shared" si="70"/>
        <v>565</v>
      </c>
      <c r="M240" s="299">
        <f t="shared" si="66"/>
        <v>0</v>
      </c>
      <c r="N240" s="100">
        <f t="shared" si="71"/>
        <v>565</v>
      </c>
      <c r="O240" s="100">
        <f t="shared" si="71"/>
        <v>565</v>
      </c>
      <c r="P240" s="299">
        <f t="shared" si="61"/>
        <v>0</v>
      </c>
    </row>
    <row r="241" spans="1:16" s="51" customFormat="1" ht="17.25" customHeight="1" x14ac:dyDescent="0.2">
      <c r="A241" s="56" t="s">
        <v>482</v>
      </c>
      <c r="B241" s="53" t="s">
        <v>108</v>
      </c>
      <c r="C241" s="53" t="s">
        <v>45</v>
      </c>
      <c r="D241" s="83" t="s">
        <v>481</v>
      </c>
      <c r="E241" s="78"/>
      <c r="F241" s="100">
        <f t="shared" si="69"/>
        <v>565</v>
      </c>
      <c r="G241" s="100">
        <f t="shared" si="69"/>
        <v>754</v>
      </c>
      <c r="H241" s="299">
        <f t="shared" si="60"/>
        <v>189</v>
      </c>
      <c r="I241" s="100">
        <f t="shared" si="70"/>
        <v>565</v>
      </c>
      <c r="J241" s="100">
        <f t="shared" si="70"/>
        <v>754</v>
      </c>
      <c r="K241" s="299">
        <f t="shared" si="56"/>
        <v>0</v>
      </c>
      <c r="L241" s="100">
        <f t="shared" si="70"/>
        <v>565</v>
      </c>
      <c r="M241" s="299">
        <f t="shared" si="66"/>
        <v>0</v>
      </c>
      <c r="N241" s="134">
        <f t="shared" si="71"/>
        <v>565</v>
      </c>
      <c r="O241" s="134">
        <f t="shared" si="71"/>
        <v>565</v>
      </c>
      <c r="P241" s="299">
        <f t="shared" si="61"/>
        <v>0</v>
      </c>
    </row>
    <row r="242" spans="1:16" s="51" customFormat="1" ht="26.25" customHeight="1" x14ac:dyDescent="0.2">
      <c r="A242" s="56" t="s">
        <v>73</v>
      </c>
      <c r="B242" s="53" t="s">
        <v>108</v>
      </c>
      <c r="C242" s="53" t="s">
        <v>45</v>
      </c>
      <c r="D242" s="74" t="s">
        <v>481</v>
      </c>
      <c r="E242" s="78" t="s">
        <v>70</v>
      </c>
      <c r="F242" s="100">
        <v>565</v>
      </c>
      <c r="G242" s="100">
        <f>565+189</f>
        <v>754</v>
      </c>
      <c r="H242" s="299">
        <f t="shared" si="60"/>
        <v>189</v>
      </c>
      <c r="I242" s="100">
        <v>565</v>
      </c>
      <c r="J242" s="100">
        <f>565+189</f>
        <v>754</v>
      </c>
      <c r="K242" s="299">
        <f t="shared" si="56"/>
        <v>0</v>
      </c>
      <c r="L242" s="100">
        <v>565</v>
      </c>
      <c r="M242" s="299">
        <f t="shared" si="66"/>
        <v>0</v>
      </c>
      <c r="N242" s="134">
        <v>565</v>
      </c>
      <c r="O242" s="134">
        <v>565</v>
      </c>
      <c r="P242" s="299">
        <f t="shared" si="61"/>
        <v>0</v>
      </c>
    </row>
    <row r="243" spans="1:16" s="32" customFormat="1" ht="14.25" customHeight="1" x14ac:dyDescent="0.2">
      <c r="A243" s="50" t="s">
        <v>480</v>
      </c>
      <c r="B243" s="71" t="s">
        <v>108</v>
      </c>
      <c r="C243" s="71" t="s">
        <v>166</v>
      </c>
      <c r="D243" s="54"/>
      <c r="E243" s="78"/>
      <c r="F243" s="132">
        <f>F244</f>
        <v>20225.900000000001</v>
      </c>
      <c r="G243" s="132">
        <f>G244</f>
        <v>24487.500000000004</v>
      </c>
      <c r="H243" s="299">
        <f t="shared" si="60"/>
        <v>4261.6000000000022</v>
      </c>
      <c r="I243" s="132">
        <f>I244</f>
        <v>20563.300000000003</v>
      </c>
      <c r="J243" s="132">
        <f>J244</f>
        <v>24487.500000000004</v>
      </c>
      <c r="K243" s="299">
        <f t="shared" si="56"/>
        <v>0</v>
      </c>
      <c r="L243" s="132">
        <f>L244</f>
        <v>20563.300000000003</v>
      </c>
      <c r="M243" s="299">
        <f t="shared" si="66"/>
        <v>0</v>
      </c>
      <c r="N243" s="132">
        <f>N244</f>
        <v>10670.300000000001</v>
      </c>
      <c r="O243" s="132">
        <f>O244</f>
        <v>10670.300000000001</v>
      </c>
      <c r="P243" s="299">
        <f t="shared" si="61"/>
        <v>0</v>
      </c>
    </row>
    <row r="244" spans="1:16" s="51" customFormat="1" ht="24.75" customHeight="1" x14ac:dyDescent="0.2">
      <c r="A244" s="69" t="s">
        <v>471</v>
      </c>
      <c r="B244" s="78" t="s">
        <v>108</v>
      </c>
      <c r="C244" s="78" t="s">
        <v>166</v>
      </c>
      <c r="D244" s="54" t="s">
        <v>470</v>
      </c>
      <c r="E244" s="78"/>
      <c r="F244" s="133">
        <f>F245</f>
        <v>20225.900000000001</v>
      </c>
      <c r="G244" s="133">
        <f>G245</f>
        <v>24487.500000000004</v>
      </c>
      <c r="H244" s="299">
        <f t="shared" si="60"/>
        <v>4261.6000000000022</v>
      </c>
      <c r="I244" s="133">
        <f>I245</f>
        <v>20563.300000000003</v>
      </c>
      <c r="J244" s="133">
        <f>J245</f>
        <v>24487.500000000004</v>
      </c>
      <c r="K244" s="299">
        <f t="shared" si="56"/>
        <v>0</v>
      </c>
      <c r="L244" s="133">
        <f>L245</f>
        <v>20563.300000000003</v>
      </c>
      <c r="M244" s="299">
        <f t="shared" si="66"/>
        <v>0</v>
      </c>
      <c r="N244" s="133">
        <f>N245</f>
        <v>10670.300000000001</v>
      </c>
      <c r="O244" s="133">
        <f>O245</f>
        <v>10670.300000000001</v>
      </c>
      <c r="P244" s="299">
        <f t="shared" si="61"/>
        <v>0</v>
      </c>
    </row>
    <row r="245" spans="1:16" s="51" customFormat="1" ht="16.5" customHeight="1" x14ac:dyDescent="0.2">
      <c r="A245" s="56" t="s">
        <v>52</v>
      </c>
      <c r="B245" s="78" t="s">
        <v>108</v>
      </c>
      <c r="C245" s="78" t="s">
        <v>166</v>
      </c>
      <c r="D245" s="54" t="s">
        <v>462</v>
      </c>
      <c r="E245" s="78"/>
      <c r="F245" s="133">
        <f>F246+F249</f>
        <v>20225.900000000001</v>
      </c>
      <c r="G245" s="133">
        <f>G246+G249</f>
        <v>24487.500000000004</v>
      </c>
      <c r="H245" s="299">
        <f t="shared" si="60"/>
        <v>4261.6000000000022</v>
      </c>
      <c r="I245" s="133">
        <f>I246+I249</f>
        <v>20563.300000000003</v>
      </c>
      <c r="J245" s="133">
        <f>J246+J249</f>
        <v>24487.500000000004</v>
      </c>
      <c r="K245" s="299">
        <f t="shared" si="56"/>
        <v>0</v>
      </c>
      <c r="L245" s="133">
        <f>L246+L249</f>
        <v>20563.300000000003</v>
      </c>
      <c r="M245" s="299">
        <f t="shared" si="66"/>
        <v>0</v>
      </c>
      <c r="N245" s="133">
        <f>N246+N249</f>
        <v>10670.300000000001</v>
      </c>
      <c r="O245" s="133">
        <f>O246+O249</f>
        <v>10670.300000000001</v>
      </c>
      <c r="P245" s="299">
        <f t="shared" si="61"/>
        <v>0</v>
      </c>
    </row>
    <row r="246" spans="1:16" s="51" customFormat="1" ht="24.75" customHeight="1" x14ac:dyDescent="0.2">
      <c r="A246" s="56" t="s">
        <v>479</v>
      </c>
      <c r="B246" s="78" t="s">
        <v>108</v>
      </c>
      <c r="C246" s="78" t="s">
        <v>166</v>
      </c>
      <c r="D246" s="54" t="s">
        <v>478</v>
      </c>
      <c r="E246" s="78"/>
      <c r="F246" s="133">
        <f>F247</f>
        <v>4093.2</v>
      </c>
      <c r="G246" s="133">
        <f>G247</f>
        <v>4093.2</v>
      </c>
      <c r="H246" s="299">
        <f t="shared" si="60"/>
        <v>0</v>
      </c>
      <c r="I246" s="133">
        <f>I247</f>
        <v>3977.9</v>
      </c>
      <c r="J246" s="133">
        <f>J247</f>
        <v>4093.2</v>
      </c>
      <c r="K246" s="299">
        <f t="shared" si="56"/>
        <v>0</v>
      </c>
      <c r="L246" s="133">
        <f>L247</f>
        <v>3977.9</v>
      </c>
      <c r="M246" s="299">
        <f t="shared" si="66"/>
        <v>0</v>
      </c>
      <c r="N246" s="133">
        <f>N247</f>
        <v>3977.9</v>
      </c>
      <c r="O246" s="133">
        <f>O247</f>
        <v>3977.9</v>
      </c>
      <c r="P246" s="299">
        <f t="shared" si="61"/>
        <v>0</v>
      </c>
    </row>
    <row r="247" spans="1:16" s="51" customFormat="1" ht="42.75" customHeight="1" x14ac:dyDescent="0.2">
      <c r="A247" s="81" t="s">
        <v>477</v>
      </c>
      <c r="B247" s="78" t="s">
        <v>108</v>
      </c>
      <c r="C247" s="78" t="s">
        <v>166</v>
      </c>
      <c r="D247" s="54" t="s">
        <v>476</v>
      </c>
      <c r="E247" s="78"/>
      <c r="F247" s="133">
        <f>F248</f>
        <v>4093.2</v>
      </c>
      <c r="G247" s="133">
        <f>G248</f>
        <v>4093.2</v>
      </c>
      <c r="H247" s="299">
        <f t="shared" si="60"/>
        <v>0</v>
      </c>
      <c r="I247" s="133">
        <f>I248</f>
        <v>3977.9</v>
      </c>
      <c r="J247" s="133">
        <f>J248</f>
        <v>4093.2</v>
      </c>
      <c r="K247" s="299">
        <f t="shared" si="56"/>
        <v>0</v>
      </c>
      <c r="L247" s="133">
        <f>L248</f>
        <v>3977.9</v>
      </c>
      <c r="M247" s="299">
        <f t="shared" si="66"/>
        <v>0</v>
      </c>
      <c r="N247" s="133">
        <f>N248</f>
        <v>3977.9</v>
      </c>
      <c r="O247" s="133">
        <f>O248</f>
        <v>3977.9</v>
      </c>
      <c r="P247" s="299">
        <f t="shared" si="61"/>
        <v>0</v>
      </c>
    </row>
    <row r="248" spans="1:16" s="51" customFormat="1" ht="15.75" customHeight="1" x14ac:dyDescent="0.2">
      <c r="A248" s="75" t="s">
        <v>82</v>
      </c>
      <c r="B248" s="78" t="s">
        <v>108</v>
      </c>
      <c r="C248" s="78" t="s">
        <v>166</v>
      </c>
      <c r="D248" s="54" t="s">
        <v>476</v>
      </c>
      <c r="E248" s="78" t="s">
        <v>81</v>
      </c>
      <c r="F248" s="52">
        <f>3929.5+163.7</f>
        <v>4093.2</v>
      </c>
      <c r="G248" s="52">
        <f>3929.5+163.7</f>
        <v>4093.2</v>
      </c>
      <c r="H248" s="299">
        <f t="shared" si="60"/>
        <v>0</v>
      </c>
      <c r="I248" s="52">
        <f>3818.8+159.1</f>
        <v>3977.9</v>
      </c>
      <c r="J248" s="52">
        <f>3929.5+163.7</f>
        <v>4093.2</v>
      </c>
      <c r="K248" s="299">
        <f t="shared" si="56"/>
        <v>0</v>
      </c>
      <c r="L248" s="52">
        <f>3818.8+159.1</f>
        <v>3977.9</v>
      </c>
      <c r="M248" s="299">
        <f t="shared" si="66"/>
        <v>0</v>
      </c>
      <c r="N248" s="52">
        <f>3818.8+159.1</f>
        <v>3977.9</v>
      </c>
      <c r="O248" s="52">
        <f>3818.8+159.1</f>
        <v>3977.9</v>
      </c>
      <c r="P248" s="299">
        <f t="shared" si="61"/>
        <v>0</v>
      </c>
    </row>
    <row r="249" spans="1:16" s="51" customFormat="1" ht="26.25" customHeight="1" x14ac:dyDescent="0.2">
      <c r="A249" s="75" t="s">
        <v>475</v>
      </c>
      <c r="B249" s="78" t="s">
        <v>108</v>
      </c>
      <c r="C249" s="78" t="s">
        <v>166</v>
      </c>
      <c r="D249" s="54" t="s">
        <v>474</v>
      </c>
      <c r="E249" s="119"/>
      <c r="F249" s="52">
        <f>F250</f>
        <v>16132.7</v>
      </c>
      <c r="G249" s="52">
        <f>G250</f>
        <v>20394.300000000003</v>
      </c>
      <c r="H249" s="299">
        <f t="shared" si="60"/>
        <v>4261.6000000000022</v>
      </c>
      <c r="I249" s="52">
        <f>I250</f>
        <v>16585.400000000001</v>
      </c>
      <c r="J249" s="52">
        <f>J250</f>
        <v>20394.300000000003</v>
      </c>
      <c r="K249" s="299">
        <f t="shared" si="56"/>
        <v>0</v>
      </c>
      <c r="L249" s="52">
        <f>L250</f>
        <v>16585.400000000001</v>
      </c>
      <c r="M249" s="299">
        <f t="shared" si="66"/>
        <v>0</v>
      </c>
      <c r="N249" s="52">
        <f>N250</f>
        <v>6692.4000000000015</v>
      </c>
      <c r="O249" s="52">
        <f>O250</f>
        <v>6692.4000000000015</v>
      </c>
      <c r="P249" s="299">
        <f t="shared" si="61"/>
        <v>0</v>
      </c>
    </row>
    <row r="250" spans="1:16" s="51" customFormat="1" ht="26.25" customHeight="1" x14ac:dyDescent="0.2">
      <c r="A250" s="75" t="s">
        <v>1098</v>
      </c>
      <c r="B250" s="78" t="s">
        <v>108</v>
      </c>
      <c r="C250" s="78" t="s">
        <v>166</v>
      </c>
      <c r="D250" s="54" t="s">
        <v>473</v>
      </c>
      <c r="E250" s="119"/>
      <c r="F250" s="52">
        <f>F251</f>
        <v>16132.7</v>
      </c>
      <c r="G250" s="52">
        <f>G251</f>
        <v>20394.300000000003</v>
      </c>
      <c r="H250" s="299">
        <f t="shared" si="60"/>
        <v>4261.6000000000022</v>
      </c>
      <c r="I250" s="52">
        <f>I251</f>
        <v>16585.400000000001</v>
      </c>
      <c r="J250" s="52">
        <f>J251</f>
        <v>20394.300000000003</v>
      </c>
      <c r="K250" s="299">
        <f t="shared" si="56"/>
        <v>0</v>
      </c>
      <c r="L250" s="52">
        <f>L251</f>
        <v>16585.400000000001</v>
      </c>
      <c r="M250" s="299">
        <f t="shared" si="66"/>
        <v>0</v>
      </c>
      <c r="N250" s="52">
        <f>N251</f>
        <v>6692.4000000000015</v>
      </c>
      <c r="O250" s="52">
        <f>O251</f>
        <v>6692.4000000000015</v>
      </c>
      <c r="P250" s="299">
        <f t="shared" si="61"/>
        <v>0</v>
      </c>
    </row>
    <row r="251" spans="1:16" s="51" customFormat="1" ht="19.5" customHeight="1" x14ac:dyDescent="0.2">
      <c r="A251" s="75" t="s">
        <v>82</v>
      </c>
      <c r="B251" s="78" t="s">
        <v>108</v>
      </c>
      <c r="C251" s="78" t="s">
        <v>166</v>
      </c>
      <c r="D251" s="54" t="s">
        <v>473</v>
      </c>
      <c r="E251" s="78" t="s">
        <v>81</v>
      </c>
      <c r="F251" s="52">
        <f>20225.9-4093.2</f>
        <v>16132.7</v>
      </c>
      <c r="G251" s="52">
        <f>16132.7+4261.6</f>
        <v>20394.300000000003</v>
      </c>
      <c r="H251" s="299">
        <f t="shared" si="60"/>
        <v>4261.6000000000022</v>
      </c>
      <c r="I251" s="52">
        <f>17938.3-3977.9+2625</f>
        <v>16585.400000000001</v>
      </c>
      <c r="J251" s="52">
        <f>16132.7+4261.6</f>
        <v>20394.300000000003</v>
      </c>
      <c r="K251" s="299">
        <f t="shared" si="56"/>
        <v>0</v>
      </c>
      <c r="L251" s="52">
        <f>17938.3-3977.9+2625</f>
        <v>16585.400000000001</v>
      </c>
      <c r="M251" s="299">
        <f t="shared" si="66"/>
        <v>0</v>
      </c>
      <c r="N251" s="52">
        <f>18683.4-3977.9-10656.1+2643</f>
        <v>6692.4000000000015</v>
      </c>
      <c r="O251" s="52">
        <f>18683.4-3977.9-10656.1+2643</f>
        <v>6692.4000000000015</v>
      </c>
      <c r="P251" s="299">
        <f t="shared" si="61"/>
        <v>0</v>
      </c>
    </row>
    <row r="252" spans="1:16" s="43" customFormat="1" ht="12.75" customHeight="1" x14ac:dyDescent="0.2">
      <c r="A252" s="46" t="s">
        <v>472</v>
      </c>
      <c r="B252" s="71" t="s">
        <v>108</v>
      </c>
      <c r="C252" s="71" t="s">
        <v>160</v>
      </c>
      <c r="D252" s="71"/>
      <c r="E252" s="71"/>
      <c r="F252" s="132">
        <f>F253+F267</f>
        <v>15799.900000000001</v>
      </c>
      <c r="G252" s="132">
        <f>G253+G267</f>
        <v>15799.900000000001</v>
      </c>
      <c r="H252" s="299">
        <f t="shared" si="60"/>
        <v>0</v>
      </c>
      <c r="I252" s="132">
        <f>I253+I267</f>
        <v>16801.900000000001</v>
      </c>
      <c r="J252" s="132">
        <f>J253+J267</f>
        <v>15799.900000000001</v>
      </c>
      <c r="K252" s="299">
        <f t="shared" si="56"/>
        <v>0</v>
      </c>
      <c r="L252" s="132">
        <f>L253+L267</f>
        <v>16801.900000000001</v>
      </c>
      <c r="M252" s="299">
        <f t="shared" si="66"/>
        <v>0</v>
      </c>
      <c r="N252" s="132">
        <f>N253+N267</f>
        <v>17131.900000000001</v>
      </c>
      <c r="O252" s="132">
        <f>O253+O267</f>
        <v>17131.900000000001</v>
      </c>
      <c r="P252" s="299">
        <f t="shared" si="61"/>
        <v>0</v>
      </c>
    </row>
    <row r="253" spans="1:16" s="43" customFormat="1" ht="30" customHeight="1" x14ac:dyDescent="0.2">
      <c r="A253" s="108" t="s">
        <v>471</v>
      </c>
      <c r="B253" s="78" t="s">
        <v>108</v>
      </c>
      <c r="C253" s="78" t="s">
        <v>160</v>
      </c>
      <c r="D253" s="53" t="s">
        <v>470</v>
      </c>
      <c r="E253" s="71"/>
      <c r="F253" s="132">
        <f>F254+F260</f>
        <v>15799.900000000001</v>
      </c>
      <c r="G253" s="132">
        <f>G254+G260</f>
        <v>15799.900000000001</v>
      </c>
      <c r="H253" s="299">
        <f t="shared" si="60"/>
        <v>0</v>
      </c>
      <c r="I253" s="132">
        <f>I254+I260</f>
        <v>16801.900000000001</v>
      </c>
      <c r="J253" s="132">
        <f>J254+J260</f>
        <v>15799.900000000001</v>
      </c>
      <c r="K253" s="299">
        <f t="shared" si="56"/>
        <v>0</v>
      </c>
      <c r="L253" s="132">
        <f>L254+L260</f>
        <v>16801.900000000001</v>
      </c>
      <c r="M253" s="299">
        <f t="shared" si="66"/>
        <v>0</v>
      </c>
      <c r="N253" s="132">
        <f>N254+N260</f>
        <v>17131.900000000001</v>
      </c>
      <c r="O253" s="132">
        <f>O254+O260</f>
        <v>17131.900000000001</v>
      </c>
      <c r="P253" s="299">
        <f t="shared" si="61"/>
        <v>0</v>
      </c>
    </row>
    <row r="254" spans="1:16" s="43" customFormat="1" ht="16.5" customHeight="1" x14ac:dyDescent="0.2">
      <c r="A254" s="108" t="s">
        <v>66</v>
      </c>
      <c r="B254" s="78" t="s">
        <v>108</v>
      </c>
      <c r="C254" s="78" t="s">
        <v>160</v>
      </c>
      <c r="D254" s="54" t="s">
        <v>469</v>
      </c>
      <c r="E254" s="53"/>
      <c r="F254" s="52">
        <f>F255</f>
        <v>2370.3000000000002</v>
      </c>
      <c r="G254" s="52">
        <f>G255</f>
        <v>2370.3000000000002</v>
      </c>
      <c r="H254" s="299">
        <f t="shared" si="60"/>
        <v>0</v>
      </c>
      <c r="I254" s="52">
        <f>I255</f>
        <v>3551.9</v>
      </c>
      <c r="J254" s="52">
        <f>J255</f>
        <v>2370.3000000000002</v>
      </c>
      <c r="K254" s="299">
        <f t="shared" si="56"/>
        <v>0</v>
      </c>
      <c r="L254" s="52">
        <f>L255</f>
        <v>3551.9</v>
      </c>
      <c r="M254" s="299">
        <f t="shared" si="66"/>
        <v>0</v>
      </c>
      <c r="N254" s="52">
        <f>N255</f>
        <v>3581.9</v>
      </c>
      <c r="O254" s="52">
        <f>O255</f>
        <v>3581.9</v>
      </c>
      <c r="P254" s="299">
        <f t="shared" si="61"/>
        <v>0</v>
      </c>
    </row>
    <row r="255" spans="1:16" s="43" customFormat="1" ht="27" customHeight="1" x14ac:dyDescent="0.2">
      <c r="A255" s="108" t="s">
        <v>468</v>
      </c>
      <c r="B255" s="78" t="s">
        <v>108</v>
      </c>
      <c r="C255" s="78" t="s">
        <v>160</v>
      </c>
      <c r="D255" s="54" t="s">
        <v>467</v>
      </c>
      <c r="E255" s="53"/>
      <c r="F255" s="52">
        <f>F256+F258</f>
        <v>2370.3000000000002</v>
      </c>
      <c r="G255" s="52">
        <f>G256+G258</f>
        <v>2370.3000000000002</v>
      </c>
      <c r="H255" s="299">
        <f t="shared" si="60"/>
        <v>0</v>
      </c>
      <c r="I255" s="52">
        <f>I256+I258</f>
        <v>3551.9</v>
      </c>
      <c r="J255" s="52">
        <f>J256+J258</f>
        <v>2370.3000000000002</v>
      </c>
      <c r="K255" s="299">
        <f t="shared" si="56"/>
        <v>0</v>
      </c>
      <c r="L255" s="52">
        <f>L256+L258</f>
        <v>3551.9</v>
      </c>
      <c r="M255" s="299">
        <f t="shared" si="66"/>
        <v>0</v>
      </c>
      <c r="N255" s="52">
        <f>N256+N258</f>
        <v>3581.9</v>
      </c>
      <c r="O255" s="52">
        <f>O256+O258</f>
        <v>3581.9</v>
      </c>
      <c r="P255" s="299">
        <f t="shared" si="61"/>
        <v>0</v>
      </c>
    </row>
    <row r="256" spans="1:16" s="43" customFormat="1" ht="57" customHeight="1" x14ac:dyDescent="0.2">
      <c r="A256" s="108" t="s">
        <v>466</v>
      </c>
      <c r="B256" s="78" t="s">
        <v>108</v>
      </c>
      <c r="C256" s="78" t="s">
        <v>160</v>
      </c>
      <c r="D256" s="54" t="s">
        <v>465</v>
      </c>
      <c r="E256" s="53"/>
      <c r="F256" s="52">
        <f>F257</f>
        <v>631.9</v>
      </c>
      <c r="G256" s="52">
        <f>G257</f>
        <v>631.9</v>
      </c>
      <c r="H256" s="299">
        <f t="shared" si="60"/>
        <v>0</v>
      </c>
      <c r="I256" s="52">
        <f>I257</f>
        <v>631.9</v>
      </c>
      <c r="J256" s="52">
        <f>J257</f>
        <v>631.9</v>
      </c>
      <c r="K256" s="299">
        <f t="shared" si="56"/>
        <v>0</v>
      </c>
      <c r="L256" s="52">
        <f>L257</f>
        <v>631.9</v>
      </c>
      <c r="M256" s="299">
        <f t="shared" si="66"/>
        <v>0</v>
      </c>
      <c r="N256" s="52">
        <f>N257</f>
        <v>631.9</v>
      </c>
      <c r="O256" s="52">
        <f>O257</f>
        <v>631.9</v>
      </c>
      <c r="P256" s="299">
        <f t="shared" si="61"/>
        <v>0</v>
      </c>
    </row>
    <row r="257" spans="1:16" s="43" customFormat="1" ht="27" customHeight="1" x14ac:dyDescent="0.2">
      <c r="A257" s="108" t="s">
        <v>73</v>
      </c>
      <c r="B257" s="78" t="s">
        <v>108</v>
      </c>
      <c r="C257" s="78" t="s">
        <v>160</v>
      </c>
      <c r="D257" s="54" t="s">
        <v>465</v>
      </c>
      <c r="E257" s="53" t="s">
        <v>70</v>
      </c>
      <c r="F257" s="52">
        <f>612.9+19</f>
        <v>631.9</v>
      </c>
      <c r="G257" s="52">
        <f>612.9+19</f>
        <v>631.9</v>
      </c>
      <c r="H257" s="299">
        <f t="shared" si="60"/>
        <v>0</v>
      </c>
      <c r="I257" s="52">
        <f>612.9+19</f>
        <v>631.9</v>
      </c>
      <c r="J257" s="52">
        <f>612.9+19</f>
        <v>631.9</v>
      </c>
      <c r="K257" s="299">
        <f t="shared" si="56"/>
        <v>0</v>
      </c>
      <c r="L257" s="52">
        <f>612.9+19</f>
        <v>631.9</v>
      </c>
      <c r="M257" s="299">
        <f t="shared" si="66"/>
        <v>0</v>
      </c>
      <c r="N257" s="52">
        <f>612.9+19</f>
        <v>631.9</v>
      </c>
      <c r="O257" s="52">
        <f>612.9+19</f>
        <v>631.9</v>
      </c>
      <c r="P257" s="299">
        <f t="shared" si="61"/>
        <v>0</v>
      </c>
    </row>
    <row r="258" spans="1:16" s="43" customFormat="1" ht="28.5" customHeight="1" x14ac:dyDescent="0.2">
      <c r="A258" s="108" t="s">
        <v>464</v>
      </c>
      <c r="B258" s="78" t="s">
        <v>108</v>
      </c>
      <c r="C258" s="78" t="s">
        <v>160</v>
      </c>
      <c r="D258" s="54" t="s">
        <v>463</v>
      </c>
      <c r="E258" s="53"/>
      <c r="F258" s="52">
        <f>F259</f>
        <v>1738.4</v>
      </c>
      <c r="G258" s="52">
        <f>G259</f>
        <v>1738.4</v>
      </c>
      <c r="H258" s="299">
        <f t="shared" si="60"/>
        <v>0</v>
      </c>
      <c r="I258" s="52">
        <f>I259</f>
        <v>2920</v>
      </c>
      <c r="J258" s="52">
        <f>J259</f>
        <v>1738.4</v>
      </c>
      <c r="K258" s="299">
        <f t="shared" si="56"/>
        <v>0</v>
      </c>
      <c r="L258" s="52">
        <f>L259</f>
        <v>2920</v>
      </c>
      <c r="M258" s="299">
        <f t="shared" si="66"/>
        <v>0</v>
      </c>
      <c r="N258" s="52">
        <f>N259</f>
        <v>2950</v>
      </c>
      <c r="O258" s="52">
        <f>O259</f>
        <v>2950</v>
      </c>
      <c r="P258" s="299">
        <f t="shared" si="61"/>
        <v>0</v>
      </c>
    </row>
    <row r="259" spans="1:16" s="43" customFormat="1" ht="28.5" customHeight="1" x14ac:dyDescent="0.2">
      <c r="A259" s="108" t="s">
        <v>73</v>
      </c>
      <c r="B259" s="78" t="s">
        <v>108</v>
      </c>
      <c r="C259" s="78" t="s">
        <v>160</v>
      </c>
      <c r="D259" s="54" t="s">
        <v>463</v>
      </c>
      <c r="E259" s="53" t="s">
        <v>70</v>
      </c>
      <c r="F259" s="52">
        <v>1738.4</v>
      </c>
      <c r="G259" s="52">
        <v>1738.4</v>
      </c>
      <c r="H259" s="299">
        <f t="shared" si="60"/>
        <v>0</v>
      </c>
      <c r="I259" s="52">
        <v>2920</v>
      </c>
      <c r="J259" s="52">
        <v>1738.4</v>
      </c>
      <c r="K259" s="299">
        <f t="shared" si="56"/>
        <v>0</v>
      </c>
      <c r="L259" s="52">
        <v>2920</v>
      </c>
      <c r="M259" s="299">
        <f t="shared" si="66"/>
        <v>0</v>
      </c>
      <c r="N259" s="52">
        <v>2950</v>
      </c>
      <c r="O259" s="52">
        <v>2950</v>
      </c>
      <c r="P259" s="299">
        <f t="shared" si="61"/>
        <v>0</v>
      </c>
    </row>
    <row r="260" spans="1:16" s="43" customFormat="1" ht="18" customHeight="1" x14ac:dyDescent="0.2">
      <c r="A260" s="56" t="s">
        <v>52</v>
      </c>
      <c r="B260" s="78" t="s">
        <v>108</v>
      </c>
      <c r="C260" s="78" t="s">
        <v>160</v>
      </c>
      <c r="D260" s="54" t="s">
        <v>462</v>
      </c>
      <c r="E260" s="60"/>
      <c r="F260" s="52">
        <f>F261+F264</f>
        <v>13429.6</v>
      </c>
      <c r="G260" s="52">
        <f>G261+G264</f>
        <v>13429.6</v>
      </c>
      <c r="H260" s="299">
        <f t="shared" si="60"/>
        <v>0</v>
      </c>
      <c r="I260" s="52">
        <f>I261+I264</f>
        <v>13250</v>
      </c>
      <c r="J260" s="52">
        <f>J261+J264</f>
        <v>13429.6</v>
      </c>
      <c r="K260" s="299">
        <f t="shared" si="56"/>
        <v>0</v>
      </c>
      <c r="L260" s="52">
        <f>L261+L264</f>
        <v>13250</v>
      </c>
      <c r="M260" s="299">
        <f t="shared" si="66"/>
        <v>0</v>
      </c>
      <c r="N260" s="52">
        <f>N261+N264</f>
        <v>13550</v>
      </c>
      <c r="O260" s="52">
        <f>O261+O264</f>
        <v>13550</v>
      </c>
      <c r="P260" s="299">
        <f t="shared" si="61"/>
        <v>0</v>
      </c>
    </row>
    <row r="261" spans="1:16" s="43" customFormat="1" ht="26.25" customHeight="1" x14ac:dyDescent="0.2">
      <c r="A261" s="56" t="s">
        <v>461</v>
      </c>
      <c r="B261" s="78" t="s">
        <v>108</v>
      </c>
      <c r="C261" s="78" t="s">
        <v>160</v>
      </c>
      <c r="D261" s="54" t="s">
        <v>460</v>
      </c>
      <c r="E261" s="60"/>
      <c r="F261" s="52">
        <f>F262</f>
        <v>13050</v>
      </c>
      <c r="G261" s="52">
        <f>G262</f>
        <v>13050</v>
      </c>
      <c r="H261" s="299">
        <f t="shared" si="60"/>
        <v>0</v>
      </c>
      <c r="I261" s="52">
        <f>I262</f>
        <v>13000</v>
      </c>
      <c r="J261" s="52">
        <f>J262</f>
        <v>13050</v>
      </c>
      <c r="K261" s="299">
        <f t="shared" si="56"/>
        <v>0</v>
      </c>
      <c r="L261" s="52">
        <f>L262</f>
        <v>13000</v>
      </c>
      <c r="M261" s="299">
        <f t="shared" si="66"/>
        <v>0</v>
      </c>
      <c r="N261" s="52">
        <f>N262</f>
        <v>13300</v>
      </c>
      <c r="O261" s="52">
        <f>O262</f>
        <v>13300</v>
      </c>
      <c r="P261" s="299">
        <f t="shared" si="61"/>
        <v>0</v>
      </c>
    </row>
    <row r="262" spans="1:16" s="43" customFormat="1" ht="26.25" customHeight="1" x14ac:dyDescent="0.2">
      <c r="A262" s="56" t="s">
        <v>459</v>
      </c>
      <c r="B262" s="78" t="s">
        <v>108</v>
      </c>
      <c r="C262" s="78" t="s">
        <v>160</v>
      </c>
      <c r="D262" s="54" t="s">
        <v>458</v>
      </c>
      <c r="E262" s="60"/>
      <c r="F262" s="52">
        <f>F263</f>
        <v>13050</v>
      </c>
      <c r="G262" s="52">
        <f>G263</f>
        <v>13050</v>
      </c>
      <c r="H262" s="299">
        <f t="shared" si="60"/>
        <v>0</v>
      </c>
      <c r="I262" s="52">
        <f>I263</f>
        <v>13000</v>
      </c>
      <c r="J262" s="52">
        <f>J263</f>
        <v>13050</v>
      </c>
      <c r="K262" s="299">
        <f t="shared" si="56"/>
        <v>0</v>
      </c>
      <c r="L262" s="52">
        <f>L263</f>
        <v>13000</v>
      </c>
      <c r="M262" s="299">
        <f t="shared" si="66"/>
        <v>0</v>
      </c>
      <c r="N262" s="52">
        <f>N263</f>
        <v>13300</v>
      </c>
      <c r="O262" s="52">
        <f>O263</f>
        <v>13300</v>
      </c>
      <c r="P262" s="299">
        <f t="shared" si="61"/>
        <v>0</v>
      </c>
    </row>
    <row r="263" spans="1:16" s="43" customFormat="1" ht="26.25" customHeight="1" x14ac:dyDescent="0.2">
      <c r="A263" s="56" t="s">
        <v>73</v>
      </c>
      <c r="B263" s="78" t="s">
        <v>108</v>
      </c>
      <c r="C263" s="78" t="s">
        <v>160</v>
      </c>
      <c r="D263" s="54" t="s">
        <v>458</v>
      </c>
      <c r="E263" s="60" t="s">
        <v>70</v>
      </c>
      <c r="F263" s="52">
        <f>12000+1050</f>
        <v>13050</v>
      </c>
      <c r="G263" s="52">
        <f>12000+1050</f>
        <v>13050</v>
      </c>
      <c r="H263" s="299">
        <f t="shared" si="60"/>
        <v>0</v>
      </c>
      <c r="I263" s="52">
        <v>13000</v>
      </c>
      <c r="J263" s="52">
        <f>12000+1050</f>
        <v>13050</v>
      </c>
      <c r="K263" s="299">
        <f t="shared" si="56"/>
        <v>0</v>
      </c>
      <c r="L263" s="52">
        <v>13000</v>
      </c>
      <c r="M263" s="299">
        <f t="shared" si="66"/>
        <v>0</v>
      </c>
      <c r="N263" s="52">
        <v>13300</v>
      </c>
      <c r="O263" s="52">
        <v>13300</v>
      </c>
      <c r="P263" s="299">
        <f t="shared" si="61"/>
        <v>0</v>
      </c>
    </row>
    <row r="264" spans="1:16" s="43" customFormat="1" ht="26.25" customHeight="1" x14ac:dyDescent="0.2">
      <c r="A264" s="117" t="s">
        <v>457</v>
      </c>
      <c r="B264" s="78" t="s">
        <v>108</v>
      </c>
      <c r="C264" s="78" t="s">
        <v>160</v>
      </c>
      <c r="D264" s="54" t="s">
        <v>456</v>
      </c>
      <c r="E264" s="53"/>
      <c r="F264" s="52">
        <f>F265</f>
        <v>379.6</v>
      </c>
      <c r="G264" s="52">
        <f>G265</f>
        <v>379.6</v>
      </c>
      <c r="H264" s="299">
        <f t="shared" si="60"/>
        <v>0</v>
      </c>
      <c r="I264" s="52">
        <f>I265</f>
        <v>250</v>
      </c>
      <c r="J264" s="52">
        <f>J265</f>
        <v>379.6</v>
      </c>
      <c r="K264" s="299">
        <f t="shared" si="56"/>
        <v>0</v>
      </c>
      <c r="L264" s="52">
        <f>L265</f>
        <v>250</v>
      </c>
      <c r="M264" s="299">
        <f t="shared" si="66"/>
        <v>0</v>
      </c>
      <c r="N264" s="52">
        <f>N265</f>
        <v>250</v>
      </c>
      <c r="O264" s="52">
        <f>O265</f>
        <v>250</v>
      </c>
      <c r="P264" s="299">
        <f t="shared" si="61"/>
        <v>0</v>
      </c>
    </row>
    <row r="265" spans="1:16" s="43" customFormat="1" ht="17.25" customHeight="1" x14ac:dyDescent="0.2">
      <c r="A265" s="64" t="s">
        <v>455</v>
      </c>
      <c r="B265" s="78" t="s">
        <v>108</v>
      </c>
      <c r="C265" s="78" t="s">
        <v>160</v>
      </c>
      <c r="D265" s="54" t="s">
        <v>454</v>
      </c>
      <c r="E265" s="53"/>
      <c r="F265" s="52">
        <f>F266</f>
        <v>379.6</v>
      </c>
      <c r="G265" s="52">
        <f>G266</f>
        <v>379.6</v>
      </c>
      <c r="H265" s="299">
        <f t="shared" si="60"/>
        <v>0</v>
      </c>
      <c r="I265" s="52">
        <f>I266</f>
        <v>250</v>
      </c>
      <c r="J265" s="52">
        <f>J266</f>
        <v>379.6</v>
      </c>
      <c r="K265" s="299">
        <f t="shared" si="56"/>
        <v>0</v>
      </c>
      <c r="L265" s="52">
        <f>L266</f>
        <v>250</v>
      </c>
      <c r="M265" s="299">
        <f t="shared" si="66"/>
        <v>0</v>
      </c>
      <c r="N265" s="52">
        <f>N266</f>
        <v>250</v>
      </c>
      <c r="O265" s="52">
        <f>O266</f>
        <v>250</v>
      </c>
      <c r="P265" s="299">
        <f t="shared" si="61"/>
        <v>0</v>
      </c>
    </row>
    <row r="266" spans="1:16" s="43" customFormat="1" ht="26.25" customHeight="1" x14ac:dyDescent="0.2">
      <c r="A266" s="56" t="s">
        <v>73</v>
      </c>
      <c r="B266" s="78" t="s">
        <v>108</v>
      </c>
      <c r="C266" s="78" t="s">
        <v>160</v>
      </c>
      <c r="D266" s="54" t="s">
        <v>454</v>
      </c>
      <c r="E266" s="53" t="s">
        <v>70</v>
      </c>
      <c r="F266" s="52">
        <v>379.6</v>
      </c>
      <c r="G266" s="52">
        <v>379.6</v>
      </c>
      <c r="H266" s="299">
        <f t="shared" si="60"/>
        <v>0</v>
      </c>
      <c r="I266" s="52">
        <v>250</v>
      </c>
      <c r="J266" s="52">
        <v>379.6</v>
      </c>
      <c r="K266" s="299">
        <f t="shared" si="56"/>
        <v>0</v>
      </c>
      <c r="L266" s="52">
        <v>250</v>
      </c>
      <c r="M266" s="299">
        <f t="shared" si="66"/>
        <v>0</v>
      </c>
      <c r="N266" s="52">
        <v>250</v>
      </c>
      <c r="O266" s="52">
        <v>250</v>
      </c>
      <c r="P266" s="299">
        <f t="shared" si="61"/>
        <v>0</v>
      </c>
    </row>
    <row r="267" spans="1:16" s="43" customFormat="1" ht="41.25" hidden="1" customHeight="1" x14ac:dyDescent="0.2">
      <c r="A267" s="56" t="s">
        <v>453</v>
      </c>
      <c r="B267" s="78" t="s">
        <v>108</v>
      </c>
      <c r="C267" s="78" t="s">
        <v>160</v>
      </c>
      <c r="D267" s="54" t="s">
        <v>452</v>
      </c>
      <c r="E267" s="53"/>
      <c r="F267" s="52">
        <f t="shared" ref="F267:G270" si="72">F268</f>
        <v>0</v>
      </c>
      <c r="G267" s="52">
        <f t="shared" si="72"/>
        <v>0</v>
      </c>
      <c r="H267" s="299">
        <f t="shared" si="60"/>
        <v>0</v>
      </c>
      <c r="I267" s="52">
        <f t="shared" ref="I267:L270" si="73">I268</f>
        <v>0</v>
      </c>
      <c r="J267" s="52">
        <f t="shared" si="73"/>
        <v>0</v>
      </c>
      <c r="K267" s="299">
        <f t="shared" si="56"/>
        <v>0</v>
      </c>
      <c r="L267" s="52">
        <f t="shared" si="73"/>
        <v>0</v>
      </c>
      <c r="M267" s="299">
        <f t="shared" si="66"/>
        <v>0</v>
      </c>
      <c r="N267" s="52">
        <f t="shared" ref="N267:O270" si="74">N268</f>
        <v>0</v>
      </c>
      <c r="O267" s="52">
        <f t="shared" si="74"/>
        <v>0</v>
      </c>
      <c r="P267" s="299">
        <f t="shared" si="61"/>
        <v>0</v>
      </c>
    </row>
    <row r="268" spans="1:16" s="43" customFormat="1" ht="16.5" hidden="1" customHeight="1" x14ac:dyDescent="0.2">
      <c r="A268" s="56" t="s">
        <v>52</v>
      </c>
      <c r="B268" s="78" t="s">
        <v>108</v>
      </c>
      <c r="C268" s="78" t="s">
        <v>160</v>
      </c>
      <c r="D268" s="54" t="s">
        <v>451</v>
      </c>
      <c r="E268" s="53"/>
      <c r="F268" s="52">
        <f t="shared" si="72"/>
        <v>0</v>
      </c>
      <c r="G268" s="52">
        <f t="shared" si="72"/>
        <v>0</v>
      </c>
      <c r="H268" s="299">
        <f t="shared" si="60"/>
        <v>0</v>
      </c>
      <c r="I268" s="52">
        <f t="shared" si="73"/>
        <v>0</v>
      </c>
      <c r="J268" s="52">
        <f t="shared" si="73"/>
        <v>0</v>
      </c>
      <c r="K268" s="299">
        <f t="shared" ref="K268:K331" si="75">J268-G268</f>
        <v>0</v>
      </c>
      <c r="L268" s="52">
        <f t="shared" si="73"/>
        <v>0</v>
      </c>
      <c r="M268" s="299">
        <f t="shared" si="66"/>
        <v>0</v>
      </c>
      <c r="N268" s="52">
        <f t="shared" si="74"/>
        <v>0</v>
      </c>
      <c r="O268" s="52">
        <f t="shared" si="74"/>
        <v>0</v>
      </c>
      <c r="P268" s="299">
        <f t="shared" si="61"/>
        <v>0</v>
      </c>
    </row>
    <row r="269" spans="1:16" s="43" customFormat="1" ht="26.25" hidden="1" customHeight="1" x14ac:dyDescent="0.2">
      <c r="A269" s="56" t="s">
        <v>450</v>
      </c>
      <c r="B269" s="78" t="s">
        <v>108</v>
      </c>
      <c r="C269" s="78" t="s">
        <v>160</v>
      </c>
      <c r="D269" s="54" t="s">
        <v>449</v>
      </c>
      <c r="E269" s="53"/>
      <c r="F269" s="52">
        <f t="shared" si="72"/>
        <v>0</v>
      </c>
      <c r="G269" s="52">
        <f t="shared" si="72"/>
        <v>0</v>
      </c>
      <c r="H269" s="299">
        <f t="shared" si="60"/>
        <v>0</v>
      </c>
      <c r="I269" s="52">
        <f t="shared" si="73"/>
        <v>0</v>
      </c>
      <c r="J269" s="52">
        <f t="shared" si="73"/>
        <v>0</v>
      </c>
      <c r="K269" s="299">
        <f t="shared" si="75"/>
        <v>0</v>
      </c>
      <c r="L269" s="52">
        <f t="shared" si="73"/>
        <v>0</v>
      </c>
      <c r="M269" s="299">
        <f t="shared" si="66"/>
        <v>0</v>
      </c>
      <c r="N269" s="52">
        <f t="shared" si="74"/>
        <v>0</v>
      </c>
      <c r="O269" s="52">
        <f t="shared" si="74"/>
        <v>0</v>
      </c>
      <c r="P269" s="299">
        <f t="shared" si="61"/>
        <v>0</v>
      </c>
    </row>
    <row r="270" spans="1:16" s="43" customFormat="1" ht="30" hidden="1" customHeight="1" x14ac:dyDescent="0.2">
      <c r="A270" s="56" t="s">
        <v>448</v>
      </c>
      <c r="B270" s="78" t="s">
        <v>108</v>
      </c>
      <c r="C270" s="78" t="s">
        <v>160</v>
      </c>
      <c r="D270" s="54" t="s">
        <v>447</v>
      </c>
      <c r="E270" s="53"/>
      <c r="F270" s="52">
        <f t="shared" si="72"/>
        <v>0</v>
      </c>
      <c r="G270" s="52">
        <f t="shared" si="72"/>
        <v>0</v>
      </c>
      <c r="H270" s="299">
        <f t="shared" si="60"/>
        <v>0</v>
      </c>
      <c r="I270" s="52">
        <f t="shared" si="73"/>
        <v>0</v>
      </c>
      <c r="J270" s="52">
        <f t="shared" si="73"/>
        <v>0</v>
      </c>
      <c r="K270" s="299">
        <f t="shared" si="75"/>
        <v>0</v>
      </c>
      <c r="L270" s="52">
        <f t="shared" si="73"/>
        <v>0</v>
      </c>
      <c r="M270" s="299">
        <f t="shared" si="66"/>
        <v>0</v>
      </c>
      <c r="N270" s="52">
        <f t="shared" si="74"/>
        <v>0</v>
      </c>
      <c r="O270" s="52">
        <f t="shared" si="74"/>
        <v>0</v>
      </c>
      <c r="P270" s="299">
        <f t="shared" si="61"/>
        <v>0</v>
      </c>
    </row>
    <row r="271" spans="1:16" s="43" customFormat="1" ht="29.25" hidden="1" customHeight="1" x14ac:dyDescent="0.2">
      <c r="A271" s="56" t="s">
        <v>73</v>
      </c>
      <c r="B271" s="78" t="s">
        <v>108</v>
      </c>
      <c r="C271" s="78" t="s">
        <v>160</v>
      </c>
      <c r="D271" s="54" t="s">
        <v>447</v>
      </c>
      <c r="E271" s="53" t="s">
        <v>70</v>
      </c>
      <c r="F271" s="52">
        <f>1050-1050</f>
        <v>0</v>
      </c>
      <c r="G271" s="52">
        <f>1050-1050</f>
        <v>0</v>
      </c>
      <c r="H271" s="299">
        <f t="shared" si="60"/>
        <v>0</v>
      </c>
      <c r="I271" s="52">
        <v>0</v>
      </c>
      <c r="J271" s="52">
        <f>1050-1050</f>
        <v>0</v>
      </c>
      <c r="K271" s="299">
        <f t="shared" si="75"/>
        <v>0</v>
      </c>
      <c r="L271" s="52">
        <v>0</v>
      </c>
      <c r="M271" s="299">
        <f t="shared" si="66"/>
        <v>0</v>
      </c>
      <c r="N271" s="52">
        <v>0</v>
      </c>
      <c r="O271" s="52">
        <v>0</v>
      </c>
      <c r="P271" s="299">
        <f t="shared" si="61"/>
        <v>0</v>
      </c>
    </row>
    <row r="272" spans="1:16" s="43" customFormat="1" ht="12.75" customHeight="1" x14ac:dyDescent="0.2">
      <c r="A272" s="46" t="s">
        <v>446</v>
      </c>
      <c r="B272" s="71" t="s">
        <v>108</v>
      </c>
      <c r="C272" s="71" t="s">
        <v>412</v>
      </c>
      <c r="D272" s="71"/>
      <c r="E272" s="71"/>
      <c r="F272" s="44">
        <f>F273+F290</f>
        <v>5566.5</v>
      </c>
      <c r="G272" s="44">
        <f t="shared" ref="G272:O272" si="76">G273+G290</f>
        <v>5441.6</v>
      </c>
      <c r="H272" s="299">
        <f t="shared" ref="H272:H335" si="77">G272-F272</f>
        <v>-124.89999999999964</v>
      </c>
      <c r="I272" s="44">
        <f t="shared" si="76"/>
        <v>5107.1000000000004</v>
      </c>
      <c r="J272" s="44">
        <f t="shared" si="76"/>
        <v>5441.6</v>
      </c>
      <c r="K272" s="299">
        <f t="shared" si="75"/>
        <v>0</v>
      </c>
      <c r="L272" s="44">
        <f t="shared" si="76"/>
        <v>5107.1000000000004</v>
      </c>
      <c r="M272" s="299">
        <f t="shared" si="66"/>
        <v>0</v>
      </c>
      <c r="N272" s="44">
        <f t="shared" si="76"/>
        <v>5003.8</v>
      </c>
      <c r="O272" s="44">
        <f t="shared" si="76"/>
        <v>5003.8</v>
      </c>
      <c r="P272" s="299">
        <f t="shared" ref="P272:P335" si="78">O272-N272</f>
        <v>0</v>
      </c>
    </row>
    <row r="273" spans="1:16" s="51" customFormat="1" ht="27.75" customHeight="1" x14ac:dyDescent="0.2">
      <c r="A273" s="69" t="s">
        <v>445</v>
      </c>
      <c r="B273" s="53" t="s">
        <v>108</v>
      </c>
      <c r="C273" s="53" t="s">
        <v>412</v>
      </c>
      <c r="D273" s="54" t="s">
        <v>444</v>
      </c>
      <c r="E273" s="53"/>
      <c r="F273" s="52">
        <f>F274+F280</f>
        <v>1187.8</v>
      </c>
      <c r="G273" s="52">
        <f>G274+G280</f>
        <v>1187.8</v>
      </c>
      <c r="H273" s="299">
        <f t="shared" si="77"/>
        <v>0</v>
      </c>
      <c r="I273" s="52">
        <f>I274+I280</f>
        <v>1016.0000000000002</v>
      </c>
      <c r="J273" s="52">
        <f>J274+J280</f>
        <v>1187.8</v>
      </c>
      <c r="K273" s="299">
        <f t="shared" si="75"/>
        <v>0</v>
      </c>
      <c r="L273" s="52">
        <f>L274+L280</f>
        <v>1016.0000000000002</v>
      </c>
      <c r="M273" s="299">
        <f t="shared" si="66"/>
        <v>0</v>
      </c>
      <c r="N273" s="52">
        <f>N274+N280</f>
        <v>916.00000000000023</v>
      </c>
      <c r="O273" s="52">
        <f>O274+O280</f>
        <v>916.00000000000023</v>
      </c>
      <c r="P273" s="299">
        <f t="shared" si="78"/>
        <v>0</v>
      </c>
    </row>
    <row r="274" spans="1:16" s="51" customFormat="1" ht="18" customHeight="1" x14ac:dyDescent="0.2">
      <c r="A274" s="56" t="s">
        <v>443</v>
      </c>
      <c r="B274" s="53" t="s">
        <v>108</v>
      </c>
      <c r="C274" s="53" t="s">
        <v>412</v>
      </c>
      <c r="D274" s="54" t="s">
        <v>442</v>
      </c>
      <c r="E274" s="53"/>
      <c r="F274" s="52">
        <f>F275</f>
        <v>107.5</v>
      </c>
      <c r="G274" s="52">
        <f>G275</f>
        <v>7.5</v>
      </c>
      <c r="H274" s="299">
        <f t="shared" si="77"/>
        <v>-100</v>
      </c>
      <c r="I274" s="52">
        <f>I275</f>
        <v>200</v>
      </c>
      <c r="J274" s="52">
        <f>J275</f>
        <v>7.5</v>
      </c>
      <c r="K274" s="299">
        <f t="shared" si="75"/>
        <v>0</v>
      </c>
      <c r="L274" s="52">
        <f>L275</f>
        <v>100</v>
      </c>
      <c r="M274" s="299">
        <f t="shared" si="66"/>
        <v>-100</v>
      </c>
      <c r="N274" s="52">
        <f>N275</f>
        <v>100</v>
      </c>
      <c r="O274" s="52">
        <f>O275</f>
        <v>0</v>
      </c>
      <c r="P274" s="299">
        <f t="shared" si="78"/>
        <v>-100</v>
      </c>
    </row>
    <row r="275" spans="1:16" s="51" customFormat="1" ht="14.25" customHeight="1" x14ac:dyDescent="0.2">
      <c r="A275" s="56" t="s">
        <v>441</v>
      </c>
      <c r="B275" s="53" t="s">
        <v>108</v>
      </c>
      <c r="C275" s="53" t="s">
        <v>412</v>
      </c>
      <c r="D275" s="54" t="s">
        <v>440</v>
      </c>
      <c r="E275" s="53"/>
      <c r="F275" s="52">
        <f>F276+F278</f>
        <v>107.5</v>
      </c>
      <c r="G275" s="52">
        <f>G276+G278</f>
        <v>7.5</v>
      </c>
      <c r="H275" s="299">
        <f t="shared" si="77"/>
        <v>-100</v>
      </c>
      <c r="I275" s="52">
        <f>I276+I278</f>
        <v>200</v>
      </c>
      <c r="J275" s="52">
        <f>J276+J278</f>
        <v>7.5</v>
      </c>
      <c r="K275" s="299">
        <f t="shared" si="75"/>
        <v>0</v>
      </c>
      <c r="L275" s="52">
        <f>L276+L278</f>
        <v>100</v>
      </c>
      <c r="M275" s="299">
        <f t="shared" si="66"/>
        <v>-100</v>
      </c>
      <c r="N275" s="52">
        <f>N276+N278</f>
        <v>100</v>
      </c>
      <c r="O275" s="52">
        <f>O276+O278</f>
        <v>0</v>
      </c>
      <c r="P275" s="299">
        <f t="shared" si="78"/>
        <v>-100</v>
      </c>
    </row>
    <row r="276" spans="1:16" s="51" customFormat="1" ht="15" customHeight="1" x14ac:dyDescent="0.2">
      <c r="A276" s="56" t="s">
        <v>439</v>
      </c>
      <c r="B276" s="53" t="s">
        <v>108</v>
      </c>
      <c r="C276" s="53" t="s">
        <v>412</v>
      </c>
      <c r="D276" s="54" t="s">
        <v>438</v>
      </c>
      <c r="E276" s="53"/>
      <c r="F276" s="52">
        <f>F277</f>
        <v>7.5</v>
      </c>
      <c r="G276" s="52">
        <f>G277</f>
        <v>7.5</v>
      </c>
      <c r="H276" s="299">
        <f t="shared" si="77"/>
        <v>0</v>
      </c>
      <c r="I276" s="52">
        <f>I277</f>
        <v>100</v>
      </c>
      <c r="J276" s="52">
        <f>J277</f>
        <v>7.5</v>
      </c>
      <c r="K276" s="299">
        <f t="shared" si="75"/>
        <v>0</v>
      </c>
      <c r="L276" s="52">
        <f>L277</f>
        <v>100</v>
      </c>
      <c r="M276" s="299">
        <f t="shared" si="66"/>
        <v>0</v>
      </c>
      <c r="N276" s="52">
        <f>N277</f>
        <v>0</v>
      </c>
      <c r="O276" s="52">
        <f>O277</f>
        <v>0</v>
      </c>
      <c r="P276" s="299">
        <f t="shared" si="78"/>
        <v>0</v>
      </c>
    </row>
    <row r="277" spans="1:16" s="51" customFormat="1" ht="25.5" customHeight="1" x14ac:dyDescent="0.2">
      <c r="A277" s="56" t="s">
        <v>73</v>
      </c>
      <c r="B277" s="53" t="s">
        <v>108</v>
      </c>
      <c r="C277" s="53" t="s">
        <v>412</v>
      </c>
      <c r="D277" s="54" t="s">
        <v>438</v>
      </c>
      <c r="E277" s="53" t="s">
        <v>70</v>
      </c>
      <c r="F277" s="52">
        <v>7.5</v>
      </c>
      <c r="G277" s="52">
        <v>7.5</v>
      </c>
      <c r="H277" s="299">
        <f t="shared" si="77"/>
        <v>0</v>
      </c>
      <c r="I277" s="52">
        <v>100</v>
      </c>
      <c r="J277" s="52">
        <v>7.5</v>
      </c>
      <c r="K277" s="299">
        <f t="shared" si="75"/>
        <v>0</v>
      </c>
      <c r="L277" s="52">
        <v>100</v>
      </c>
      <c r="M277" s="299">
        <f t="shared" si="66"/>
        <v>0</v>
      </c>
      <c r="N277" s="52">
        <v>0</v>
      </c>
      <c r="O277" s="52">
        <v>0</v>
      </c>
      <c r="P277" s="299">
        <f t="shared" si="78"/>
        <v>0</v>
      </c>
    </row>
    <row r="278" spans="1:16" s="51" customFormat="1" ht="25.5" hidden="1" customHeight="1" x14ac:dyDescent="0.2">
      <c r="A278" s="84" t="s">
        <v>431</v>
      </c>
      <c r="B278" s="53" t="s">
        <v>108</v>
      </c>
      <c r="C278" s="53" t="s">
        <v>412</v>
      </c>
      <c r="D278" s="54" t="s">
        <v>437</v>
      </c>
      <c r="E278" s="53"/>
      <c r="F278" s="52">
        <f>F279</f>
        <v>100</v>
      </c>
      <c r="G278" s="52">
        <f>G279</f>
        <v>0</v>
      </c>
      <c r="H278" s="299">
        <f t="shared" si="77"/>
        <v>-100</v>
      </c>
      <c r="I278" s="52">
        <f>I279</f>
        <v>100</v>
      </c>
      <c r="J278" s="52">
        <f>J279</f>
        <v>0</v>
      </c>
      <c r="K278" s="299">
        <f t="shared" si="75"/>
        <v>0</v>
      </c>
      <c r="L278" s="52">
        <f>L279</f>
        <v>0</v>
      </c>
      <c r="M278" s="299">
        <f t="shared" si="66"/>
        <v>-100</v>
      </c>
      <c r="N278" s="52">
        <f>N279</f>
        <v>100</v>
      </c>
      <c r="O278" s="52">
        <f>O279</f>
        <v>0</v>
      </c>
      <c r="P278" s="299">
        <f t="shared" si="78"/>
        <v>-100</v>
      </c>
    </row>
    <row r="279" spans="1:16" s="51" customFormat="1" ht="25.5" hidden="1" customHeight="1" x14ac:dyDescent="0.2">
      <c r="A279" s="84" t="s">
        <v>73</v>
      </c>
      <c r="B279" s="53" t="s">
        <v>108</v>
      </c>
      <c r="C279" s="53" t="s">
        <v>412</v>
      </c>
      <c r="D279" s="54" t="s">
        <v>437</v>
      </c>
      <c r="E279" s="53" t="s">
        <v>70</v>
      </c>
      <c r="F279" s="52">
        <v>100</v>
      </c>
      <c r="G279" s="52">
        <f>100-100</f>
        <v>0</v>
      </c>
      <c r="H279" s="299">
        <f t="shared" si="77"/>
        <v>-100</v>
      </c>
      <c r="I279" s="52">
        <v>100</v>
      </c>
      <c r="J279" s="52">
        <f>100-100</f>
        <v>0</v>
      </c>
      <c r="K279" s="299">
        <f t="shared" si="75"/>
        <v>0</v>
      </c>
      <c r="L279" s="52">
        <f>100-100</f>
        <v>0</v>
      </c>
      <c r="M279" s="299">
        <f t="shared" si="66"/>
        <v>-100</v>
      </c>
      <c r="N279" s="52">
        <v>100</v>
      </c>
      <c r="O279" s="52">
        <f>100-100</f>
        <v>0</v>
      </c>
      <c r="P279" s="299">
        <f t="shared" si="78"/>
        <v>-100</v>
      </c>
    </row>
    <row r="280" spans="1:16" s="51" customFormat="1" ht="15" customHeight="1" x14ac:dyDescent="0.2">
      <c r="A280" s="56" t="s">
        <v>52</v>
      </c>
      <c r="B280" s="53" t="s">
        <v>108</v>
      </c>
      <c r="C280" s="53" t="s">
        <v>412</v>
      </c>
      <c r="D280" s="54" t="s">
        <v>436</v>
      </c>
      <c r="E280" s="53"/>
      <c r="F280" s="52">
        <f>F282+F284+F286+F288</f>
        <v>1080.3</v>
      </c>
      <c r="G280" s="52">
        <f>G282+G284+G286+G288</f>
        <v>1180.3</v>
      </c>
      <c r="H280" s="299">
        <f t="shared" si="77"/>
        <v>100</v>
      </c>
      <c r="I280" s="52">
        <f>I282+I284+I286+I288</f>
        <v>816.00000000000023</v>
      </c>
      <c r="J280" s="52">
        <f>J282+J284+J286+J288</f>
        <v>1180.3</v>
      </c>
      <c r="K280" s="299">
        <f t="shared" si="75"/>
        <v>0</v>
      </c>
      <c r="L280" s="52">
        <f>L282+L284+L286+L288</f>
        <v>916.00000000000023</v>
      </c>
      <c r="M280" s="299">
        <f t="shared" si="66"/>
        <v>100</v>
      </c>
      <c r="N280" s="52">
        <f>N282+N284+N286+N288</f>
        <v>816.00000000000023</v>
      </c>
      <c r="O280" s="52">
        <f>O282+O284+O286+O288</f>
        <v>916.00000000000023</v>
      </c>
      <c r="P280" s="299">
        <f t="shared" si="78"/>
        <v>100</v>
      </c>
    </row>
    <row r="281" spans="1:16" s="51" customFormat="1" ht="28.5" customHeight="1" x14ac:dyDescent="0.2">
      <c r="A281" s="56" t="s">
        <v>435</v>
      </c>
      <c r="B281" s="53" t="s">
        <v>108</v>
      </c>
      <c r="C281" s="53" t="s">
        <v>412</v>
      </c>
      <c r="D281" s="54" t="s">
        <v>434</v>
      </c>
      <c r="E281" s="53"/>
      <c r="F281" s="52">
        <f>F282+F284+F286+F288</f>
        <v>1080.3</v>
      </c>
      <c r="G281" s="52">
        <f>G282+G284+G286+G288</f>
        <v>1180.3</v>
      </c>
      <c r="H281" s="299">
        <f t="shared" si="77"/>
        <v>100</v>
      </c>
      <c r="I281" s="52">
        <f>I282+I284+I286+I288</f>
        <v>816.00000000000023</v>
      </c>
      <c r="J281" s="52">
        <f>J282+J284+J286+J288</f>
        <v>1180.3</v>
      </c>
      <c r="K281" s="299">
        <f t="shared" si="75"/>
        <v>0</v>
      </c>
      <c r="L281" s="52">
        <f>L282+L284+L286+L288</f>
        <v>916.00000000000023</v>
      </c>
      <c r="M281" s="299">
        <f t="shared" ref="M281:M323" si="79">L281-I281</f>
        <v>100</v>
      </c>
      <c r="N281" s="52">
        <f>N282+N284+N286+N288</f>
        <v>816.00000000000023</v>
      </c>
      <c r="O281" s="52">
        <f>O282+O284+O286+O288</f>
        <v>916.00000000000023</v>
      </c>
      <c r="P281" s="299">
        <f t="shared" si="78"/>
        <v>100</v>
      </c>
    </row>
    <row r="282" spans="1:16" s="51" customFormat="1" ht="16.5" customHeight="1" x14ac:dyDescent="0.2">
      <c r="A282" s="56" t="s">
        <v>433</v>
      </c>
      <c r="B282" s="53" t="s">
        <v>108</v>
      </c>
      <c r="C282" s="53" t="s">
        <v>412</v>
      </c>
      <c r="D282" s="54" t="s">
        <v>432</v>
      </c>
      <c r="E282" s="53"/>
      <c r="F282" s="52">
        <f>F283</f>
        <v>50</v>
      </c>
      <c r="G282" s="52">
        <f>G283</f>
        <v>50</v>
      </c>
      <c r="H282" s="299">
        <f t="shared" si="77"/>
        <v>0</v>
      </c>
      <c r="I282" s="52">
        <f>I283</f>
        <v>50</v>
      </c>
      <c r="J282" s="52">
        <f>J283</f>
        <v>50</v>
      </c>
      <c r="K282" s="299">
        <f t="shared" si="75"/>
        <v>0</v>
      </c>
      <c r="L282" s="52">
        <f>L283</f>
        <v>50</v>
      </c>
      <c r="M282" s="299">
        <f t="shared" si="79"/>
        <v>0</v>
      </c>
      <c r="N282" s="52">
        <f>N283</f>
        <v>50</v>
      </c>
      <c r="O282" s="52">
        <f>O283</f>
        <v>50</v>
      </c>
      <c r="P282" s="299">
        <f t="shared" si="78"/>
        <v>0</v>
      </c>
    </row>
    <row r="283" spans="1:16" s="51" customFormat="1" ht="25.5" customHeight="1" x14ac:dyDescent="0.2">
      <c r="A283" s="56" t="s">
        <v>73</v>
      </c>
      <c r="B283" s="53" t="s">
        <v>108</v>
      </c>
      <c r="C283" s="53" t="s">
        <v>412</v>
      </c>
      <c r="D283" s="54" t="s">
        <v>432</v>
      </c>
      <c r="E283" s="53" t="s">
        <v>70</v>
      </c>
      <c r="F283" s="52">
        <v>50</v>
      </c>
      <c r="G283" s="52">
        <v>50</v>
      </c>
      <c r="H283" s="299">
        <f t="shared" si="77"/>
        <v>0</v>
      </c>
      <c r="I283" s="52">
        <v>50</v>
      </c>
      <c r="J283" s="52">
        <v>50</v>
      </c>
      <c r="K283" s="299">
        <f t="shared" si="75"/>
        <v>0</v>
      </c>
      <c r="L283" s="52">
        <v>50</v>
      </c>
      <c r="M283" s="299">
        <f t="shared" si="79"/>
        <v>0</v>
      </c>
      <c r="N283" s="52">
        <v>50</v>
      </c>
      <c r="O283" s="52">
        <v>50</v>
      </c>
      <c r="P283" s="299">
        <f t="shared" si="78"/>
        <v>0</v>
      </c>
    </row>
    <row r="284" spans="1:16" s="51" customFormat="1" ht="30.75" customHeight="1" x14ac:dyDescent="0.2">
      <c r="A284" s="56" t="s">
        <v>431</v>
      </c>
      <c r="B284" s="53" t="s">
        <v>108</v>
      </c>
      <c r="C284" s="53" t="s">
        <v>412</v>
      </c>
      <c r="D284" s="54" t="s">
        <v>430</v>
      </c>
      <c r="E284" s="53"/>
      <c r="F284" s="52">
        <f>F285</f>
        <v>0</v>
      </c>
      <c r="G284" s="52">
        <f>G285</f>
        <v>100</v>
      </c>
      <c r="H284" s="299">
        <f t="shared" si="77"/>
        <v>100</v>
      </c>
      <c r="I284" s="52">
        <f>I285</f>
        <v>0</v>
      </c>
      <c r="J284" s="52">
        <f>J285</f>
        <v>100</v>
      </c>
      <c r="K284" s="299">
        <f t="shared" si="75"/>
        <v>0</v>
      </c>
      <c r="L284" s="52">
        <f>L285</f>
        <v>100</v>
      </c>
      <c r="M284" s="299">
        <f t="shared" si="79"/>
        <v>100</v>
      </c>
      <c r="N284" s="52">
        <f>N285</f>
        <v>0</v>
      </c>
      <c r="O284" s="52">
        <f>O285</f>
        <v>100</v>
      </c>
      <c r="P284" s="299">
        <f t="shared" si="78"/>
        <v>100</v>
      </c>
    </row>
    <row r="285" spans="1:16" s="51" customFormat="1" ht="25.5" x14ac:dyDescent="0.2">
      <c r="A285" s="56" t="s">
        <v>73</v>
      </c>
      <c r="B285" s="53" t="s">
        <v>108</v>
      </c>
      <c r="C285" s="53" t="s">
        <v>412</v>
      </c>
      <c r="D285" s="54" t="s">
        <v>430</v>
      </c>
      <c r="E285" s="53" t="s">
        <v>70</v>
      </c>
      <c r="F285" s="52">
        <v>0</v>
      </c>
      <c r="G285" s="52">
        <v>100</v>
      </c>
      <c r="H285" s="299">
        <f t="shared" si="77"/>
        <v>100</v>
      </c>
      <c r="I285" s="52">
        <v>0</v>
      </c>
      <c r="J285" s="52">
        <v>100</v>
      </c>
      <c r="K285" s="299">
        <f t="shared" si="75"/>
        <v>0</v>
      </c>
      <c r="L285" s="52">
        <v>100</v>
      </c>
      <c r="M285" s="299">
        <f t="shared" si="79"/>
        <v>100</v>
      </c>
      <c r="N285" s="52">
        <v>0</v>
      </c>
      <c r="O285" s="52">
        <v>100</v>
      </c>
      <c r="P285" s="299">
        <f t="shared" si="78"/>
        <v>100</v>
      </c>
    </row>
    <row r="286" spans="1:16" s="51" customFormat="1" ht="25.5" customHeight="1" x14ac:dyDescent="0.2">
      <c r="A286" s="56" t="s">
        <v>429</v>
      </c>
      <c r="B286" s="53" t="s">
        <v>108</v>
      </c>
      <c r="C286" s="53" t="s">
        <v>412</v>
      </c>
      <c r="D286" s="54" t="s">
        <v>428</v>
      </c>
      <c r="E286" s="53"/>
      <c r="F286" s="52">
        <f>F287</f>
        <v>400.5</v>
      </c>
      <c r="G286" s="52">
        <f>G287</f>
        <v>400.5</v>
      </c>
      <c r="H286" s="299">
        <f t="shared" si="77"/>
        <v>0</v>
      </c>
      <c r="I286" s="52">
        <f>I287</f>
        <v>470.30000000000013</v>
      </c>
      <c r="J286" s="52">
        <f>J287</f>
        <v>400.5</v>
      </c>
      <c r="K286" s="299">
        <f t="shared" si="75"/>
        <v>0</v>
      </c>
      <c r="L286" s="52">
        <f>L287</f>
        <v>470.30000000000013</v>
      </c>
      <c r="M286" s="299">
        <f t="shared" si="79"/>
        <v>0</v>
      </c>
      <c r="N286" s="52">
        <f>N287</f>
        <v>470.30000000000013</v>
      </c>
      <c r="O286" s="52">
        <f>O287</f>
        <v>470.30000000000013</v>
      </c>
      <c r="P286" s="299">
        <f t="shared" si="78"/>
        <v>0</v>
      </c>
    </row>
    <row r="287" spans="1:16" s="51" customFormat="1" ht="41.25" customHeight="1" x14ac:dyDescent="0.2">
      <c r="A287" s="56" t="s">
        <v>426</v>
      </c>
      <c r="B287" s="53" t="s">
        <v>108</v>
      </c>
      <c r="C287" s="53" t="s">
        <v>412</v>
      </c>
      <c r="D287" s="54" t="s">
        <v>428</v>
      </c>
      <c r="E287" s="53" t="s">
        <v>424</v>
      </c>
      <c r="F287" s="52">
        <f>380.5+20</f>
        <v>400.5</v>
      </c>
      <c r="G287" s="52">
        <f>380.5+20</f>
        <v>400.5</v>
      </c>
      <c r="H287" s="299">
        <f t="shared" si="77"/>
        <v>0</v>
      </c>
      <c r="I287" s="52">
        <f>1048.9+55.2-602.1-31.7</f>
        <v>470.30000000000013</v>
      </c>
      <c r="J287" s="52">
        <f>380.5+20</f>
        <v>400.5</v>
      </c>
      <c r="K287" s="299">
        <f t="shared" si="75"/>
        <v>0</v>
      </c>
      <c r="L287" s="52">
        <f>1048.9+55.2-602.1-31.7</f>
        <v>470.30000000000013</v>
      </c>
      <c r="M287" s="299">
        <f t="shared" si="79"/>
        <v>0</v>
      </c>
      <c r="N287" s="65">
        <f>1048.9+55.2-602.1-31.7</f>
        <v>470.30000000000013</v>
      </c>
      <c r="O287" s="65">
        <f>1048.9+55.2-602.1-31.7</f>
        <v>470.30000000000013</v>
      </c>
      <c r="P287" s="299">
        <f t="shared" si="78"/>
        <v>0</v>
      </c>
    </row>
    <row r="288" spans="1:16" s="51" customFormat="1" ht="28.5" customHeight="1" x14ac:dyDescent="0.2">
      <c r="A288" s="56" t="s">
        <v>427</v>
      </c>
      <c r="B288" s="53" t="s">
        <v>108</v>
      </c>
      <c r="C288" s="53" t="s">
        <v>412</v>
      </c>
      <c r="D288" s="54" t="s">
        <v>425</v>
      </c>
      <c r="E288" s="53"/>
      <c r="F288" s="52">
        <f>F289</f>
        <v>629.79999999999995</v>
      </c>
      <c r="G288" s="52">
        <f>G289</f>
        <v>629.79999999999995</v>
      </c>
      <c r="H288" s="299">
        <f t="shared" si="77"/>
        <v>0</v>
      </c>
      <c r="I288" s="52">
        <f>I289</f>
        <v>295.7</v>
      </c>
      <c r="J288" s="52">
        <f>J289</f>
        <v>629.79999999999995</v>
      </c>
      <c r="K288" s="299">
        <f t="shared" si="75"/>
        <v>0</v>
      </c>
      <c r="L288" s="52">
        <f>L289</f>
        <v>295.7</v>
      </c>
      <c r="M288" s="299">
        <f t="shared" si="79"/>
        <v>0</v>
      </c>
      <c r="N288" s="52">
        <f>N289</f>
        <v>295.7</v>
      </c>
      <c r="O288" s="52">
        <f>O289</f>
        <v>295.7</v>
      </c>
      <c r="P288" s="299">
        <f t="shared" si="78"/>
        <v>0</v>
      </c>
    </row>
    <row r="289" spans="1:16" s="51" customFormat="1" ht="39" customHeight="1" x14ac:dyDescent="0.2">
      <c r="A289" s="56" t="s">
        <v>426</v>
      </c>
      <c r="B289" s="53" t="s">
        <v>108</v>
      </c>
      <c r="C289" s="53" t="s">
        <v>412</v>
      </c>
      <c r="D289" s="54" t="s">
        <v>425</v>
      </c>
      <c r="E289" s="53" t="s">
        <v>424</v>
      </c>
      <c r="F289" s="52">
        <f>598.3+31.5</f>
        <v>629.79999999999995</v>
      </c>
      <c r="G289" s="52">
        <f>598.3+31.5</f>
        <v>629.79999999999995</v>
      </c>
      <c r="H289" s="299">
        <f t="shared" si="77"/>
        <v>0</v>
      </c>
      <c r="I289" s="52">
        <f>280.9+14.8</f>
        <v>295.7</v>
      </c>
      <c r="J289" s="52">
        <f>598.3+31.5</f>
        <v>629.79999999999995</v>
      </c>
      <c r="K289" s="299">
        <f t="shared" si="75"/>
        <v>0</v>
      </c>
      <c r="L289" s="52">
        <f>280.9+14.8</f>
        <v>295.7</v>
      </c>
      <c r="M289" s="299">
        <f t="shared" si="79"/>
        <v>0</v>
      </c>
      <c r="N289" s="52">
        <f>280.9+14.8</f>
        <v>295.7</v>
      </c>
      <c r="O289" s="52">
        <f>280.9+14.8</f>
        <v>295.7</v>
      </c>
      <c r="P289" s="299">
        <f t="shared" si="78"/>
        <v>0</v>
      </c>
    </row>
    <row r="290" spans="1:16" s="51" customFormat="1" ht="41.25" customHeight="1" x14ac:dyDescent="0.2">
      <c r="A290" s="64" t="s">
        <v>135</v>
      </c>
      <c r="B290" s="53" t="s">
        <v>108</v>
      </c>
      <c r="C290" s="53" t="s">
        <v>412</v>
      </c>
      <c r="D290" s="54" t="s">
        <v>134</v>
      </c>
      <c r="E290" s="53"/>
      <c r="F290" s="52">
        <f>F291+F298</f>
        <v>4378.7</v>
      </c>
      <c r="G290" s="52">
        <f>G291+G298</f>
        <v>4253.8</v>
      </c>
      <c r="H290" s="299">
        <f t="shared" si="77"/>
        <v>-124.89999999999964</v>
      </c>
      <c r="I290" s="52">
        <f>I291+I298</f>
        <v>4091.1</v>
      </c>
      <c r="J290" s="52">
        <f>J291+J298</f>
        <v>4253.8</v>
      </c>
      <c r="K290" s="299">
        <f t="shared" si="75"/>
        <v>0</v>
      </c>
      <c r="L290" s="52">
        <f>L291+L298</f>
        <v>4091.1</v>
      </c>
      <c r="M290" s="299">
        <f t="shared" si="79"/>
        <v>0</v>
      </c>
      <c r="N290" s="52">
        <f>N291+N298</f>
        <v>4087.8</v>
      </c>
      <c r="O290" s="52">
        <f>O291+O298</f>
        <v>4087.8</v>
      </c>
      <c r="P290" s="299">
        <f t="shared" si="78"/>
        <v>0</v>
      </c>
    </row>
    <row r="291" spans="1:16" s="51" customFormat="1" ht="15" customHeight="1" x14ac:dyDescent="0.2">
      <c r="A291" s="56" t="s">
        <v>66</v>
      </c>
      <c r="B291" s="60" t="s">
        <v>108</v>
      </c>
      <c r="C291" s="60" t="s">
        <v>412</v>
      </c>
      <c r="D291" s="54" t="s">
        <v>423</v>
      </c>
      <c r="E291" s="60"/>
      <c r="F291" s="52">
        <f>F292</f>
        <v>508.1</v>
      </c>
      <c r="G291" s="52">
        <f>G292</f>
        <v>383.2</v>
      </c>
      <c r="H291" s="299">
        <f t="shared" si="77"/>
        <v>-124.90000000000003</v>
      </c>
      <c r="I291" s="52">
        <f>I292</f>
        <v>300</v>
      </c>
      <c r="J291" s="52">
        <f>J292</f>
        <v>383.2</v>
      </c>
      <c r="K291" s="299">
        <f t="shared" si="75"/>
        <v>0</v>
      </c>
      <c r="L291" s="52">
        <f>L292</f>
        <v>300</v>
      </c>
      <c r="M291" s="299">
        <f t="shared" si="79"/>
        <v>0</v>
      </c>
      <c r="N291" s="52">
        <f>N292</f>
        <v>300</v>
      </c>
      <c r="O291" s="52">
        <f>O292</f>
        <v>300</v>
      </c>
      <c r="P291" s="299">
        <f t="shared" si="78"/>
        <v>0</v>
      </c>
    </row>
    <row r="292" spans="1:16" s="51" customFormat="1" ht="26.25" customHeight="1" x14ac:dyDescent="0.2">
      <c r="A292" s="56" t="s">
        <v>422</v>
      </c>
      <c r="B292" s="60" t="s">
        <v>108</v>
      </c>
      <c r="C292" s="60" t="s">
        <v>412</v>
      </c>
      <c r="D292" s="54" t="s">
        <v>421</v>
      </c>
      <c r="E292" s="60"/>
      <c r="F292" s="52">
        <f>F293+F295</f>
        <v>508.1</v>
      </c>
      <c r="G292" s="52">
        <f>G293+G295</f>
        <v>383.2</v>
      </c>
      <c r="H292" s="299">
        <f t="shared" si="77"/>
        <v>-124.90000000000003</v>
      </c>
      <c r="I292" s="52">
        <f>I293+I295</f>
        <v>300</v>
      </c>
      <c r="J292" s="52">
        <f>J293+J295</f>
        <v>383.2</v>
      </c>
      <c r="K292" s="299">
        <f t="shared" si="75"/>
        <v>0</v>
      </c>
      <c r="L292" s="52">
        <f>L293+L295</f>
        <v>300</v>
      </c>
      <c r="M292" s="299">
        <f t="shared" si="79"/>
        <v>0</v>
      </c>
      <c r="N292" s="52">
        <f>N293+N295</f>
        <v>300</v>
      </c>
      <c r="O292" s="52">
        <f>O293+O295</f>
        <v>300</v>
      </c>
      <c r="P292" s="299">
        <f t="shared" si="78"/>
        <v>0</v>
      </c>
    </row>
    <row r="293" spans="1:16" s="51" customFormat="1" ht="41.25" customHeight="1" x14ac:dyDescent="0.2">
      <c r="A293" s="56" t="s">
        <v>420</v>
      </c>
      <c r="B293" s="60" t="s">
        <v>108</v>
      </c>
      <c r="C293" s="60" t="s">
        <v>412</v>
      </c>
      <c r="D293" s="54" t="s">
        <v>419</v>
      </c>
      <c r="E293" s="60"/>
      <c r="F293" s="52">
        <f>F294</f>
        <v>208.1</v>
      </c>
      <c r="G293" s="52">
        <f>G294</f>
        <v>83.199999999999989</v>
      </c>
      <c r="H293" s="299">
        <f t="shared" si="77"/>
        <v>-124.9</v>
      </c>
      <c r="I293" s="52">
        <f>I294</f>
        <v>0</v>
      </c>
      <c r="J293" s="52">
        <f>J294</f>
        <v>83.199999999999989</v>
      </c>
      <c r="K293" s="299">
        <f t="shared" si="75"/>
        <v>0</v>
      </c>
      <c r="L293" s="52">
        <f>L294</f>
        <v>0</v>
      </c>
      <c r="M293" s="299">
        <f t="shared" si="79"/>
        <v>0</v>
      </c>
      <c r="N293" s="52">
        <f>N294</f>
        <v>0</v>
      </c>
      <c r="O293" s="52">
        <f>O294</f>
        <v>0</v>
      </c>
      <c r="P293" s="299">
        <f t="shared" si="78"/>
        <v>0</v>
      </c>
    </row>
    <row r="294" spans="1:16" s="51" customFormat="1" ht="30.75" customHeight="1" x14ac:dyDescent="0.2">
      <c r="A294" s="56" t="s">
        <v>73</v>
      </c>
      <c r="B294" s="60" t="s">
        <v>108</v>
      </c>
      <c r="C294" s="60" t="s">
        <v>412</v>
      </c>
      <c r="D294" s="54" t="s">
        <v>419</v>
      </c>
      <c r="E294" s="60" t="s">
        <v>70</v>
      </c>
      <c r="F294" s="52">
        <f>74.1+134</f>
        <v>208.1</v>
      </c>
      <c r="G294" s="52">
        <f>208.1-124.9</f>
        <v>83.199999999999989</v>
      </c>
      <c r="H294" s="299">
        <f t="shared" si="77"/>
        <v>-124.9</v>
      </c>
      <c r="I294" s="52">
        <v>0</v>
      </c>
      <c r="J294" s="52">
        <f>208.1-124.9</f>
        <v>83.199999999999989</v>
      </c>
      <c r="K294" s="299">
        <f t="shared" si="75"/>
        <v>0</v>
      </c>
      <c r="L294" s="52">
        <v>0</v>
      </c>
      <c r="M294" s="299">
        <f t="shared" si="79"/>
        <v>0</v>
      </c>
      <c r="N294" s="52">
        <v>0</v>
      </c>
      <c r="O294" s="52">
        <v>0</v>
      </c>
      <c r="P294" s="299">
        <f t="shared" si="78"/>
        <v>0</v>
      </c>
    </row>
    <row r="295" spans="1:16" s="51" customFormat="1" ht="28.5" customHeight="1" x14ac:dyDescent="0.2">
      <c r="A295" s="56" t="s">
        <v>418</v>
      </c>
      <c r="B295" s="60" t="s">
        <v>108</v>
      </c>
      <c r="C295" s="60" t="s">
        <v>412</v>
      </c>
      <c r="D295" s="54" t="s">
        <v>417</v>
      </c>
      <c r="E295" s="60"/>
      <c r="F295" s="52">
        <f>F296+F297</f>
        <v>300</v>
      </c>
      <c r="G295" s="52">
        <f>G296+G297</f>
        <v>300</v>
      </c>
      <c r="H295" s="299">
        <f t="shared" si="77"/>
        <v>0</v>
      </c>
      <c r="I295" s="52">
        <f>I296+I297</f>
        <v>300</v>
      </c>
      <c r="J295" s="52">
        <f>J296+J297</f>
        <v>300</v>
      </c>
      <c r="K295" s="299">
        <f t="shared" si="75"/>
        <v>0</v>
      </c>
      <c r="L295" s="52">
        <f>L296+L297</f>
        <v>300</v>
      </c>
      <c r="M295" s="299">
        <f t="shared" si="79"/>
        <v>0</v>
      </c>
      <c r="N295" s="52">
        <f>N296+N297</f>
        <v>300</v>
      </c>
      <c r="O295" s="52">
        <f>O296+O297</f>
        <v>300</v>
      </c>
      <c r="P295" s="299">
        <f t="shared" si="78"/>
        <v>0</v>
      </c>
    </row>
    <row r="296" spans="1:16" s="51" customFormat="1" ht="26.25" customHeight="1" x14ac:dyDescent="0.2">
      <c r="A296" s="56" t="s">
        <v>73</v>
      </c>
      <c r="B296" s="60" t="s">
        <v>108</v>
      </c>
      <c r="C296" s="60" t="s">
        <v>412</v>
      </c>
      <c r="D296" s="54" t="s">
        <v>417</v>
      </c>
      <c r="E296" s="60" t="s">
        <v>70</v>
      </c>
      <c r="F296" s="52">
        <v>300</v>
      </c>
      <c r="G296" s="52">
        <v>300</v>
      </c>
      <c r="H296" s="299">
        <f t="shared" si="77"/>
        <v>0</v>
      </c>
      <c r="I296" s="52">
        <v>300</v>
      </c>
      <c r="J296" s="52">
        <v>300</v>
      </c>
      <c r="K296" s="299">
        <f t="shared" si="75"/>
        <v>0</v>
      </c>
      <c r="L296" s="52">
        <v>300</v>
      </c>
      <c r="M296" s="299">
        <f t="shared" si="79"/>
        <v>0</v>
      </c>
      <c r="N296" s="52">
        <v>300</v>
      </c>
      <c r="O296" s="52">
        <v>300</v>
      </c>
      <c r="P296" s="299">
        <f t="shared" si="78"/>
        <v>0</v>
      </c>
    </row>
    <row r="297" spans="1:16" s="51" customFormat="1" ht="16.5" hidden="1" customHeight="1" x14ac:dyDescent="0.2">
      <c r="A297" s="56" t="s">
        <v>413</v>
      </c>
      <c r="B297" s="60" t="s">
        <v>108</v>
      </c>
      <c r="C297" s="60" t="s">
        <v>412</v>
      </c>
      <c r="D297" s="54" t="s">
        <v>417</v>
      </c>
      <c r="E297" s="60" t="s">
        <v>320</v>
      </c>
      <c r="F297" s="52">
        <v>0</v>
      </c>
      <c r="G297" s="52">
        <v>0</v>
      </c>
      <c r="H297" s="299">
        <f t="shared" si="77"/>
        <v>0</v>
      </c>
      <c r="I297" s="52"/>
      <c r="J297" s="52">
        <v>0</v>
      </c>
      <c r="K297" s="299">
        <f t="shared" si="75"/>
        <v>0</v>
      </c>
      <c r="L297" s="52"/>
      <c r="M297" s="299">
        <f t="shared" si="79"/>
        <v>0</v>
      </c>
      <c r="N297" s="52">
        <v>0</v>
      </c>
      <c r="O297" s="52">
        <v>0</v>
      </c>
      <c r="P297" s="299">
        <f t="shared" si="78"/>
        <v>0</v>
      </c>
    </row>
    <row r="298" spans="1:16" s="51" customFormat="1" ht="15" customHeight="1" x14ac:dyDescent="0.2">
      <c r="A298" s="56" t="s">
        <v>52</v>
      </c>
      <c r="B298" s="53" t="s">
        <v>108</v>
      </c>
      <c r="C298" s="53" t="s">
        <v>412</v>
      </c>
      <c r="D298" s="54" t="s">
        <v>133</v>
      </c>
      <c r="E298" s="60"/>
      <c r="F298" s="52">
        <f>F299+F302</f>
        <v>3870.6</v>
      </c>
      <c r="G298" s="52">
        <f>G299+G302</f>
        <v>3870.6</v>
      </c>
      <c r="H298" s="299">
        <f t="shared" si="77"/>
        <v>0</v>
      </c>
      <c r="I298" s="52">
        <f>I299+I302</f>
        <v>3791.1</v>
      </c>
      <c r="J298" s="52">
        <f>J299+J302</f>
        <v>3870.6</v>
      </c>
      <c r="K298" s="299">
        <f t="shared" si="75"/>
        <v>0</v>
      </c>
      <c r="L298" s="52">
        <f>L299+L302</f>
        <v>3791.1</v>
      </c>
      <c r="M298" s="299">
        <f t="shared" si="79"/>
        <v>0</v>
      </c>
      <c r="N298" s="52">
        <f>N299+N302</f>
        <v>3787.8</v>
      </c>
      <c r="O298" s="52">
        <f>O299+O302</f>
        <v>3787.8</v>
      </c>
      <c r="P298" s="299">
        <f t="shared" si="78"/>
        <v>0</v>
      </c>
    </row>
    <row r="299" spans="1:16" s="51" customFormat="1" ht="54" customHeight="1" x14ac:dyDescent="0.2">
      <c r="A299" s="56" t="s">
        <v>132</v>
      </c>
      <c r="B299" s="53" t="s">
        <v>108</v>
      </c>
      <c r="C299" s="53" t="s">
        <v>412</v>
      </c>
      <c r="D299" s="54" t="s">
        <v>131</v>
      </c>
      <c r="E299" s="60"/>
      <c r="F299" s="52">
        <f>F300</f>
        <v>44.6</v>
      </c>
      <c r="G299" s="52">
        <f>G300</f>
        <v>44.6</v>
      </c>
      <c r="H299" s="299">
        <f t="shared" si="77"/>
        <v>0</v>
      </c>
      <c r="I299" s="52">
        <f>I300</f>
        <v>17</v>
      </c>
      <c r="J299" s="52">
        <f>J300</f>
        <v>44.6</v>
      </c>
      <c r="K299" s="299">
        <f t="shared" si="75"/>
        <v>0</v>
      </c>
      <c r="L299" s="52">
        <f>L300</f>
        <v>17</v>
      </c>
      <c r="M299" s="299">
        <f t="shared" si="79"/>
        <v>0</v>
      </c>
      <c r="N299" s="52">
        <f>N300</f>
        <v>17</v>
      </c>
      <c r="O299" s="52">
        <f>O300</f>
        <v>17</v>
      </c>
      <c r="P299" s="299">
        <f t="shared" si="78"/>
        <v>0</v>
      </c>
    </row>
    <row r="300" spans="1:16" s="51" customFormat="1" ht="66.75" customHeight="1" x14ac:dyDescent="0.2">
      <c r="A300" s="56" t="s">
        <v>130</v>
      </c>
      <c r="B300" s="60" t="s">
        <v>108</v>
      </c>
      <c r="C300" s="60" t="s">
        <v>412</v>
      </c>
      <c r="D300" s="54" t="s">
        <v>128</v>
      </c>
      <c r="E300" s="60"/>
      <c r="F300" s="52">
        <f>F301</f>
        <v>44.6</v>
      </c>
      <c r="G300" s="52">
        <f>G301</f>
        <v>44.6</v>
      </c>
      <c r="H300" s="299">
        <f t="shared" si="77"/>
        <v>0</v>
      </c>
      <c r="I300" s="52">
        <f>I301</f>
        <v>17</v>
      </c>
      <c r="J300" s="52">
        <f>J301</f>
        <v>44.6</v>
      </c>
      <c r="K300" s="299">
        <f t="shared" si="75"/>
        <v>0</v>
      </c>
      <c r="L300" s="52">
        <f>L301</f>
        <v>17</v>
      </c>
      <c r="M300" s="299">
        <f t="shared" si="79"/>
        <v>0</v>
      </c>
      <c r="N300" s="52">
        <f>N301</f>
        <v>17</v>
      </c>
      <c r="O300" s="52">
        <f>O301</f>
        <v>17</v>
      </c>
      <c r="P300" s="299">
        <f t="shared" si="78"/>
        <v>0</v>
      </c>
    </row>
    <row r="301" spans="1:16" s="51" customFormat="1" ht="27.75" customHeight="1" x14ac:dyDescent="0.2">
      <c r="A301" s="56" t="s">
        <v>73</v>
      </c>
      <c r="B301" s="60" t="s">
        <v>108</v>
      </c>
      <c r="C301" s="60" t="s">
        <v>412</v>
      </c>
      <c r="D301" s="54" t="s">
        <v>128</v>
      </c>
      <c r="E301" s="60" t="s">
        <v>70</v>
      </c>
      <c r="F301" s="52">
        <v>44.6</v>
      </c>
      <c r="G301" s="52">
        <v>44.6</v>
      </c>
      <c r="H301" s="299">
        <f t="shared" si="77"/>
        <v>0</v>
      </c>
      <c r="I301" s="52">
        <v>17</v>
      </c>
      <c r="J301" s="52">
        <v>44.6</v>
      </c>
      <c r="K301" s="299">
        <f t="shared" si="75"/>
        <v>0</v>
      </c>
      <c r="L301" s="52">
        <v>17</v>
      </c>
      <c r="M301" s="299">
        <f t="shared" si="79"/>
        <v>0</v>
      </c>
      <c r="N301" s="52">
        <v>17</v>
      </c>
      <c r="O301" s="52">
        <v>17</v>
      </c>
      <c r="P301" s="299">
        <f t="shared" si="78"/>
        <v>0</v>
      </c>
    </row>
    <row r="302" spans="1:16" s="51" customFormat="1" ht="41.25" customHeight="1" x14ac:dyDescent="0.2">
      <c r="A302" s="56" t="s">
        <v>416</v>
      </c>
      <c r="B302" s="60" t="s">
        <v>108</v>
      </c>
      <c r="C302" s="60" t="s">
        <v>412</v>
      </c>
      <c r="D302" s="54" t="s">
        <v>415</v>
      </c>
      <c r="E302" s="60"/>
      <c r="F302" s="52">
        <f>F303</f>
        <v>3826</v>
      </c>
      <c r="G302" s="52">
        <f>G303</f>
        <v>3826</v>
      </c>
      <c r="H302" s="299">
        <f t="shared" si="77"/>
        <v>0</v>
      </c>
      <c r="I302" s="52">
        <f>I303</f>
        <v>3774.1</v>
      </c>
      <c r="J302" s="52">
        <f>J303</f>
        <v>3826</v>
      </c>
      <c r="K302" s="299">
        <f t="shared" si="75"/>
        <v>0</v>
      </c>
      <c r="L302" s="52">
        <f>L303</f>
        <v>3774.1</v>
      </c>
      <c r="M302" s="299">
        <f t="shared" si="79"/>
        <v>0</v>
      </c>
      <c r="N302" s="52">
        <f>N303</f>
        <v>3770.8</v>
      </c>
      <c r="O302" s="52">
        <f>O303</f>
        <v>3770.8</v>
      </c>
      <c r="P302" s="299">
        <f t="shared" si="78"/>
        <v>0</v>
      </c>
    </row>
    <row r="303" spans="1:16" s="51" customFormat="1" ht="18" customHeight="1" x14ac:dyDescent="0.2">
      <c r="A303" s="57" t="s">
        <v>414</v>
      </c>
      <c r="B303" s="53" t="s">
        <v>108</v>
      </c>
      <c r="C303" s="53" t="s">
        <v>412</v>
      </c>
      <c r="D303" s="54" t="s">
        <v>411</v>
      </c>
      <c r="E303" s="60"/>
      <c r="F303" s="52">
        <f>F304+F305+F306</f>
        <v>3826</v>
      </c>
      <c r="G303" s="52">
        <f>G304+G305+G306</f>
        <v>3826</v>
      </c>
      <c r="H303" s="299">
        <f t="shared" si="77"/>
        <v>0</v>
      </c>
      <c r="I303" s="52">
        <f>I304+I305+I306</f>
        <v>3774.1</v>
      </c>
      <c r="J303" s="52">
        <f>J304+J305+J306</f>
        <v>3826</v>
      </c>
      <c r="K303" s="299">
        <f t="shared" si="75"/>
        <v>0</v>
      </c>
      <c r="L303" s="52">
        <f>L304+L305+L306</f>
        <v>3774.1</v>
      </c>
      <c r="M303" s="299">
        <f t="shared" si="79"/>
        <v>0</v>
      </c>
      <c r="N303" s="52">
        <f>N304+N305+N306</f>
        <v>3770.8</v>
      </c>
      <c r="O303" s="52">
        <f>O304+O305+O306</f>
        <v>3770.8</v>
      </c>
      <c r="P303" s="299">
        <f t="shared" si="78"/>
        <v>0</v>
      </c>
    </row>
    <row r="304" spans="1:16" s="51" customFormat="1" ht="27.75" customHeight="1" x14ac:dyDescent="0.2">
      <c r="A304" s="56" t="s">
        <v>84</v>
      </c>
      <c r="B304" s="53" t="s">
        <v>108</v>
      </c>
      <c r="C304" s="53" t="s">
        <v>412</v>
      </c>
      <c r="D304" s="54" t="s">
        <v>411</v>
      </c>
      <c r="E304" s="60" t="s">
        <v>83</v>
      </c>
      <c r="F304" s="52">
        <f>2300.4+1031.4+19.1+51.9</f>
        <v>3402.8</v>
      </c>
      <c r="G304" s="52">
        <f>2300.4+1031.4+19.1+51.9</f>
        <v>3402.8</v>
      </c>
      <c r="H304" s="299">
        <f t="shared" si="77"/>
        <v>0</v>
      </c>
      <c r="I304" s="52">
        <f>2300.4+1031.4+19.1</f>
        <v>3350.9</v>
      </c>
      <c r="J304" s="52">
        <f>3402.8</f>
        <v>3402.8</v>
      </c>
      <c r="K304" s="299">
        <f t="shared" si="75"/>
        <v>0</v>
      </c>
      <c r="L304" s="52">
        <f>2300.4+1031.4+19.1</f>
        <v>3350.9</v>
      </c>
      <c r="M304" s="299">
        <f t="shared" si="79"/>
        <v>0</v>
      </c>
      <c r="N304" s="52">
        <f>2300.4+1031.4+15.8</f>
        <v>3347.6000000000004</v>
      </c>
      <c r="O304" s="52">
        <f>2300.4+1031.4+15.8</f>
        <v>3347.6000000000004</v>
      </c>
      <c r="P304" s="299">
        <f t="shared" si="78"/>
        <v>0</v>
      </c>
    </row>
    <row r="305" spans="1:16" s="51" customFormat="1" ht="29.25" customHeight="1" x14ac:dyDescent="0.2">
      <c r="A305" s="56" t="s">
        <v>73</v>
      </c>
      <c r="B305" s="60" t="s">
        <v>108</v>
      </c>
      <c r="C305" s="60" t="s">
        <v>412</v>
      </c>
      <c r="D305" s="54" t="s">
        <v>411</v>
      </c>
      <c r="E305" s="60" t="s">
        <v>70</v>
      </c>
      <c r="F305" s="52">
        <f>362.2+60</f>
        <v>422.2</v>
      </c>
      <c r="G305" s="52">
        <f>362.2+60</f>
        <v>422.2</v>
      </c>
      <c r="H305" s="299">
        <f t="shared" si="77"/>
        <v>0</v>
      </c>
      <c r="I305" s="52">
        <v>422.2</v>
      </c>
      <c r="J305" s="52">
        <f>362.2+60</f>
        <v>422.2</v>
      </c>
      <c r="K305" s="299">
        <f t="shared" si="75"/>
        <v>0</v>
      </c>
      <c r="L305" s="52">
        <v>422.2</v>
      </c>
      <c r="M305" s="299">
        <f t="shared" si="79"/>
        <v>0</v>
      </c>
      <c r="N305" s="52">
        <v>422.2</v>
      </c>
      <c r="O305" s="52">
        <v>422.2</v>
      </c>
      <c r="P305" s="299">
        <f t="shared" si="78"/>
        <v>0</v>
      </c>
    </row>
    <row r="306" spans="1:16" s="51" customFormat="1" ht="18" customHeight="1" x14ac:dyDescent="0.2">
      <c r="A306" s="56" t="s">
        <v>413</v>
      </c>
      <c r="B306" s="60" t="s">
        <v>108</v>
      </c>
      <c r="C306" s="60" t="s">
        <v>412</v>
      </c>
      <c r="D306" s="54" t="s">
        <v>411</v>
      </c>
      <c r="E306" s="60" t="s">
        <v>320</v>
      </c>
      <c r="F306" s="52">
        <v>1</v>
      </c>
      <c r="G306" s="52">
        <v>1</v>
      </c>
      <c r="H306" s="299">
        <f t="shared" si="77"/>
        <v>0</v>
      </c>
      <c r="I306" s="52">
        <v>1</v>
      </c>
      <c r="J306" s="52">
        <v>1</v>
      </c>
      <c r="K306" s="299">
        <f t="shared" si="75"/>
        <v>0</v>
      </c>
      <c r="L306" s="52">
        <v>1</v>
      </c>
      <c r="M306" s="299">
        <f t="shared" si="79"/>
        <v>0</v>
      </c>
      <c r="N306" s="52">
        <v>1</v>
      </c>
      <c r="O306" s="52">
        <v>1</v>
      </c>
      <c r="P306" s="299">
        <f t="shared" si="78"/>
        <v>0</v>
      </c>
    </row>
    <row r="307" spans="1:16" s="43" customFormat="1" ht="12.75" customHeight="1" x14ac:dyDescent="0.2">
      <c r="A307" s="90" t="s">
        <v>410</v>
      </c>
      <c r="B307" s="71" t="s">
        <v>59</v>
      </c>
      <c r="C307" s="71"/>
      <c r="D307" s="71"/>
      <c r="E307" s="71"/>
      <c r="F307" s="44">
        <f>F308+F333+F370</f>
        <v>168676.09999999998</v>
      </c>
      <c r="G307" s="44">
        <f>G308+G333+G370</f>
        <v>184416.8</v>
      </c>
      <c r="H307" s="299">
        <f t="shared" si="77"/>
        <v>15740.700000000012</v>
      </c>
      <c r="I307" s="44">
        <f>I308+I333+I370</f>
        <v>48464</v>
      </c>
      <c r="J307" s="44">
        <f>J308+J333+J370</f>
        <v>231801.29999999996</v>
      </c>
      <c r="K307" s="299">
        <f t="shared" si="75"/>
        <v>47384.499999999971</v>
      </c>
      <c r="L307" s="44">
        <f>L308+L333+L370</f>
        <v>36537</v>
      </c>
      <c r="M307" s="299">
        <f t="shared" si="79"/>
        <v>-11927</v>
      </c>
      <c r="N307" s="44">
        <f>N308+N333+N370</f>
        <v>49129.2</v>
      </c>
      <c r="O307" s="44">
        <f>O308+O333+O370</f>
        <v>37202.199999999997</v>
      </c>
      <c r="P307" s="299">
        <f t="shared" si="78"/>
        <v>-11927</v>
      </c>
    </row>
    <row r="308" spans="1:16" s="43" customFormat="1" ht="12.75" customHeight="1" x14ac:dyDescent="0.2">
      <c r="A308" s="50" t="s">
        <v>409</v>
      </c>
      <c r="B308" s="71" t="s">
        <v>59</v>
      </c>
      <c r="C308" s="71" t="s">
        <v>45</v>
      </c>
      <c r="D308" s="71"/>
      <c r="E308" s="71"/>
      <c r="F308" s="44">
        <f>F314+F319+F309</f>
        <v>9883.7999999999993</v>
      </c>
      <c r="G308" s="44">
        <f>G314+G319+G309</f>
        <v>9897.7999999999993</v>
      </c>
      <c r="H308" s="299">
        <f t="shared" si="77"/>
        <v>14</v>
      </c>
      <c r="I308" s="44">
        <f>I314+I319+I309</f>
        <v>14807</v>
      </c>
      <c r="J308" s="44">
        <f>J314+J319+J309</f>
        <v>1762.3000000000002</v>
      </c>
      <c r="K308" s="299">
        <f t="shared" si="75"/>
        <v>-8135.4999999999991</v>
      </c>
      <c r="L308" s="44">
        <f>L314+L319+L309</f>
        <v>2880</v>
      </c>
      <c r="M308" s="299">
        <f t="shared" si="79"/>
        <v>-11927</v>
      </c>
      <c r="N308" s="44">
        <f>N314+N319+N309</f>
        <v>14007</v>
      </c>
      <c r="O308" s="44">
        <f>O314+O319+O309</f>
        <v>2080</v>
      </c>
      <c r="P308" s="299">
        <f t="shared" si="78"/>
        <v>-11927</v>
      </c>
    </row>
    <row r="309" spans="1:16" s="43" customFormat="1" ht="38.25" hidden="1" customHeight="1" x14ac:dyDescent="0.2">
      <c r="A309" s="56" t="s">
        <v>408</v>
      </c>
      <c r="B309" s="78" t="s">
        <v>59</v>
      </c>
      <c r="C309" s="78" t="s">
        <v>45</v>
      </c>
      <c r="D309" s="53" t="s">
        <v>134</v>
      </c>
      <c r="E309" s="53"/>
      <c r="F309" s="52">
        <f t="shared" ref="F309:G312" si="80">F310</f>
        <v>0</v>
      </c>
      <c r="G309" s="52">
        <f t="shared" si="80"/>
        <v>0</v>
      </c>
      <c r="H309" s="299">
        <f t="shared" si="77"/>
        <v>0</v>
      </c>
      <c r="I309" s="52">
        <f t="shared" ref="I309:L312" si="81">I310</f>
        <v>0</v>
      </c>
      <c r="J309" s="52">
        <f t="shared" si="81"/>
        <v>0</v>
      </c>
      <c r="K309" s="299">
        <f t="shared" si="75"/>
        <v>0</v>
      </c>
      <c r="L309" s="52">
        <f t="shared" si="81"/>
        <v>0</v>
      </c>
      <c r="M309" s="299">
        <f t="shared" si="79"/>
        <v>0</v>
      </c>
      <c r="N309" s="52">
        <f t="shared" ref="N309:O312" si="82">N310</f>
        <v>0</v>
      </c>
      <c r="O309" s="52">
        <f t="shared" si="82"/>
        <v>0</v>
      </c>
      <c r="P309" s="299">
        <f t="shared" si="78"/>
        <v>0</v>
      </c>
    </row>
    <row r="310" spans="1:16" s="43" customFormat="1" ht="25.5" hidden="1" customHeight="1" x14ac:dyDescent="0.2">
      <c r="A310" s="56" t="s">
        <v>407</v>
      </c>
      <c r="B310" s="78" t="s">
        <v>59</v>
      </c>
      <c r="C310" s="78" t="s">
        <v>45</v>
      </c>
      <c r="D310" s="54" t="s">
        <v>406</v>
      </c>
      <c r="E310" s="53"/>
      <c r="F310" s="52">
        <f t="shared" si="80"/>
        <v>0</v>
      </c>
      <c r="G310" s="52">
        <f t="shared" si="80"/>
        <v>0</v>
      </c>
      <c r="H310" s="299">
        <f t="shared" si="77"/>
        <v>0</v>
      </c>
      <c r="I310" s="52">
        <f t="shared" si="81"/>
        <v>0</v>
      </c>
      <c r="J310" s="52">
        <f t="shared" si="81"/>
        <v>0</v>
      </c>
      <c r="K310" s="299">
        <f t="shared" si="75"/>
        <v>0</v>
      </c>
      <c r="L310" s="52">
        <f t="shared" si="81"/>
        <v>0</v>
      </c>
      <c r="M310" s="299">
        <f t="shared" si="79"/>
        <v>0</v>
      </c>
      <c r="N310" s="52">
        <f t="shared" si="82"/>
        <v>0</v>
      </c>
      <c r="O310" s="52">
        <f t="shared" si="82"/>
        <v>0</v>
      </c>
      <c r="P310" s="299">
        <f t="shared" si="78"/>
        <v>0</v>
      </c>
    </row>
    <row r="311" spans="1:16" s="43" customFormat="1" ht="25.5" hidden="1" customHeight="1" x14ac:dyDescent="0.2">
      <c r="A311" s="56" t="s">
        <v>405</v>
      </c>
      <c r="B311" s="78" t="s">
        <v>59</v>
      </c>
      <c r="C311" s="78" t="s">
        <v>45</v>
      </c>
      <c r="D311" s="54" t="s">
        <v>404</v>
      </c>
      <c r="E311" s="53"/>
      <c r="F311" s="52">
        <f t="shared" si="80"/>
        <v>0</v>
      </c>
      <c r="G311" s="52">
        <f t="shared" si="80"/>
        <v>0</v>
      </c>
      <c r="H311" s="299">
        <f t="shared" si="77"/>
        <v>0</v>
      </c>
      <c r="I311" s="52">
        <f t="shared" si="81"/>
        <v>0</v>
      </c>
      <c r="J311" s="52">
        <f t="shared" si="81"/>
        <v>0</v>
      </c>
      <c r="K311" s="299">
        <f t="shared" si="75"/>
        <v>0</v>
      </c>
      <c r="L311" s="52">
        <f t="shared" si="81"/>
        <v>0</v>
      </c>
      <c r="M311" s="299">
        <f t="shared" si="79"/>
        <v>0</v>
      </c>
      <c r="N311" s="52">
        <f t="shared" si="82"/>
        <v>0</v>
      </c>
      <c r="O311" s="52">
        <f t="shared" si="82"/>
        <v>0</v>
      </c>
      <c r="P311" s="299">
        <f t="shared" si="78"/>
        <v>0</v>
      </c>
    </row>
    <row r="312" spans="1:16" s="43" customFormat="1" ht="12.75" hidden="1" customHeight="1" x14ac:dyDescent="0.2">
      <c r="A312" s="56" t="s">
        <v>375</v>
      </c>
      <c r="B312" s="78" t="s">
        <v>59</v>
      </c>
      <c r="C312" s="78" t="s">
        <v>45</v>
      </c>
      <c r="D312" s="54" t="s">
        <v>403</v>
      </c>
      <c r="E312" s="53"/>
      <c r="F312" s="52">
        <f t="shared" si="80"/>
        <v>0</v>
      </c>
      <c r="G312" s="52">
        <f t="shared" si="80"/>
        <v>0</v>
      </c>
      <c r="H312" s="299">
        <f t="shared" si="77"/>
        <v>0</v>
      </c>
      <c r="I312" s="52">
        <f t="shared" si="81"/>
        <v>0</v>
      </c>
      <c r="J312" s="52">
        <f t="shared" si="81"/>
        <v>0</v>
      </c>
      <c r="K312" s="299">
        <f t="shared" si="75"/>
        <v>0</v>
      </c>
      <c r="L312" s="52">
        <f t="shared" si="81"/>
        <v>0</v>
      </c>
      <c r="M312" s="299">
        <f t="shared" si="79"/>
        <v>0</v>
      </c>
      <c r="N312" s="52">
        <f t="shared" si="82"/>
        <v>0</v>
      </c>
      <c r="O312" s="52">
        <f t="shared" si="82"/>
        <v>0</v>
      </c>
      <c r="P312" s="299">
        <f t="shared" si="78"/>
        <v>0</v>
      </c>
    </row>
    <row r="313" spans="1:16" s="43" customFormat="1" ht="25.5" hidden="1" customHeight="1" x14ac:dyDescent="0.2">
      <c r="A313" s="56" t="s">
        <v>73</v>
      </c>
      <c r="B313" s="78" t="s">
        <v>59</v>
      </c>
      <c r="C313" s="78" t="s">
        <v>45</v>
      </c>
      <c r="D313" s="54" t="s">
        <v>403</v>
      </c>
      <c r="E313" s="53" t="s">
        <v>70</v>
      </c>
      <c r="F313" s="52">
        <v>0</v>
      </c>
      <c r="G313" s="52">
        <v>0</v>
      </c>
      <c r="H313" s="299">
        <f t="shared" si="77"/>
        <v>0</v>
      </c>
      <c r="I313" s="52">
        <v>0</v>
      </c>
      <c r="J313" s="52">
        <v>0</v>
      </c>
      <c r="K313" s="299">
        <f t="shared" si="75"/>
        <v>0</v>
      </c>
      <c r="L313" s="52">
        <v>0</v>
      </c>
      <c r="M313" s="299">
        <f t="shared" si="79"/>
        <v>0</v>
      </c>
      <c r="N313" s="52">
        <v>0</v>
      </c>
      <c r="O313" s="52">
        <v>0</v>
      </c>
      <c r="P313" s="299">
        <f t="shared" si="78"/>
        <v>0</v>
      </c>
    </row>
    <row r="314" spans="1:16" s="51" customFormat="1" ht="38.25" customHeight="1" x14ac:dyDescent="0.2">
      <c r="A314" s="64" t="s">
        <v>135</v>
      </c>
      <c r="B314" s="78" t="s">
        <v>59</v>
      </c>
      <c r="C314" s="78" t="s">
        <v>45</v>
      </c>
      <c r="D314" s="54" t="s">
        <v>134</v>
      </c>
      <c r="E314" s="78"/>
      <c r="F314" s="52">
        <f t="shared" ref="F314:G317" si="83">F315</f>
        <v>1080</v>
      </c>
      <c r="G314" s="52">
        <f t="shared" si="83"/>
        <v>1080</v>
      </c>
      <c r="H314" s="299">
        <f t="shared" si="77"/>
        <v>0</v>
      </c>
      <c r="I314" s="52">
        <f t="shared" ref="I314:L317" si="84">I315</f>
        <v>1080</v>
      </c>
      <c r="J314" s="52">
        <f t="shared" si="84"/>
        <v>1309.5</v>
      </c>
      <c r="K314" s="299">
        <f t="shared" si="75"/>
        <v>229.5</v>
      </c>
      <c r="L314" s="52">
        <f t="shared" si="84"/>
        <v>1080</v>
      </c>
      <c r="M314" s="299">
        <f t="shared" si="79"/>
        <v>0</v>
      </c>
      <c r="N314" s="52">
        <f t="shared" ref="N314:O317" si="85">N315</f>
        <v>1080</v>
      </c>
      <c r="O314" s="52">
        <f t="shared" si="85"/>
        <v>1080</v>
      </c>
      <c r="P314" s="299">
        <f t="shared" si="78"/>
        <v>0</v>
      </c>
    </row>
    <row r="315" spans="1:16" s="51" customFormat="1" ht="14.25" customHeight="1" x14ac:dyDescent="0.2">
      <c r="A315" s="64" t="s">
        <v>52</v>
      </c>
      <c r="B315" s="78" t="s">
        <v>59</v>
      </c>
      <c r="C315" s="78" t="s">
        <v>45</v>
      </c>
      <c r="D315" s="54" t="s">
        <v>133</v>
      </c>
      <c r="E315" s="78"/>
      <c r="F315" s="52">
        <f t="shared" si="83"/>
        <v>1080</v>
      </c>
      <c r="G315" s="52">
        <f t="shared" si="83"/>
        <v>1080</v>
      </c>
      <c r="H315" s="299">
        <f t="shared" si="77"/>
        <v>0</v>
      </c>
      <c r="I315" s="52">
        <f t="shared" si="84"/>
        <v>1080</v>
      </c>
      <c r="J315" s="52">
        <f t="shared" si="84"/>
        <v>1309.5</v>
      </c>
      <c r="K315" s="299">
        <f t="shared" si="75"/>
        <v>229.5</v>
      </c>
      <c r="L315" s="52">
        <f t="shared" si="84"/>
        <v>1080</v>
      </c>
      <c r="M315" s="299">
        <f t="shared" si="79"/>
        <v>0</v>
      </c>
      <c r="N315" s="52">
        <f t="shared" si="85"/>
        <v>1080</v>
      </c>
      <c r="O315" s="52">
        <f t="shared" si="85"/>
        <v>1080</v>
      </c>
      <c r="P315" s="299">
        <f t="shared" si="78"/>
        <v>0</v>
      </c>
    </row>
    <row r="316" spans="1:16" s="51" customFormat="1" ht="43.5" customHeight="1" x14ac:dyDescent="0.2">
      <c r="A316" s="56" t="s">
        <v>357</v>
      </c>
      <c r="B316" s="78" t="s">
        <v>59</v>
      </c>
      <c r="C316" s="78" t="s">
        <v>45</v>
      </c>
      <c r="D316" s="54" t="s">
        <v>356</v>
      </c>
      <c r="E316" s="78"/>
      <c r="F316" s="52">
        <f t="shared" si="83"/>
        <v>1080</v>
      </c>
      <c r="G316" s="52">
        <f t="shared" si="83"/>
        <v>1080</v>
      </c>
      <c r="H316" s="299">
        <f t="shared" si="77"/>
        <v>0</v>
      </c>
      <c r="I316" s="52">
        <f t="shared" si="84"/>
        <v>1080</v>
      </c>
      <c r="J316" s="52">
        <f t="shared" si="84"/>
        <v>1309.5</v>
      </c>
      <c r="K316" s="299">
        <f t="shared" si="75"/>
        <v>229.5</v>
      </c>
      <c r="L316" s="52">
        <f t="shared" si="84"/>
        <v>1080</v>
      </c>
      <c r="M316" s="299">
        <f t="shared" si="79"/>
        <v>0</v>
      </c>
      <c r="N316" s="52">
        <f t="shared" si="85"/>
        <v>1080</v>
      </c>
      <c r="O316" s="52">
        <f t="shared" si="85"/>
        <v>1080</v>
      </c>
      <c r="P316" s="299">
        <f t="shared" si="78"/>
        <v>0</v>
      </c>
    </row>
    <row r="317" spans="1:16" s="51" customFormat="1" ht="25.5" customHeight="1" x14ac:dyDescent="0.2">
      <c r="A317" s="123" t="s">
        <v>355</v>
      </c>
      <c r="B317" s="78" t="s">
        <v>59</v>
      </c>
      <c r="C317" s="78" t="s">
        <v>45</v>
      </c>
      <c r="D317" s="74" t="s">
        <v>354</v>
      </c>
      <c r="E317" s="78"/>
      <c r="F317" s="52">
        <f t="shared" si="83"/>
        <v>1080</v>
      </c>
      <c r="G317" s="52">
        <f t="shared" si="83"/>
        <v>1080</v>
      </c>
      <c r="H317" s="299">
        <f t="shared" si="77"/>
        <v>0</v>
      </c>
      <c r="I317" s="52">
        <f t="shared" si="84"/>
        <v>1080</v>
      </c>
      <c r="J317" s="52">
        <f t="shared" si="84"/>
        <v>1309.5</v>
      </c>
      <c r="K317" s="299">
        <f t="shared" si="75"/>
        <v>229.5</v>
      </c>
      <c r="L317" s="52">
        <f t="shared" si="84"/>
        <v>1080</v>
      </c>
      <c r="M317" s="299">
        <f t="shared" si="79"/>
        <v>0</v>
      </c>
      <c r="N317" s="52">
        <f t="shared" si="85"/>
        <v>1080</v>
      </c>
      <c r="O317" s="52">
        <f t="shared" si="85"/>
        <v>1080</v>
      </c>
      <c r="P317" s="299">
        <f t="shared" si="78"/>
        <v>0</v>
      </c>
    </row>
    <row r="318" spans="1:16" s="51" customFormat="1" ht="27" customHeight="1" x14ac:dyDescent="0.2">
      <c r="A318" s="76" t="s">
        <v>73</v>
      </c>
      <c r="B318" s="78" t="s">
        <v>59</v>
      </c>
      <c r="C318" s="78" t="s">
        <v>45</v>
      </c>
      <c r="D318" s="74" t="s">
        <v>354</v>
      </c>
      <c r="E318" s="78" t="s">
        <v>70</v>
      </c>
      <c r="F318" s="52">
        <v>1080</v>
      </c>
      <c r="G318" s="52">
        <v>1080</v>
      </c>
      <c r="H318" s="299">
        <f t="shared" si="77"/>
        <v>0</v>
      </c>
      <c r="I318" s="52">
        <v>1080</v>
      </c>
      <c r="J318" s="52">
        <f>1080+229.5</f>
        <v>1309.5</v>
      </c>
      <c r="K318" s="299">
        <f t="shared" si="75"/>
        <v>229.5</v>
      </c>
      <c r="L318" s="52">
        <v>1080</v>
      </c>
      <c r="M318" s="299">
        <f t="shared" si="79"/>
        <v>0</v>
      </c>
      <c r="N318" s="52">
        <v>1080</v>
      </c>
      <c r="O318" s="52">
        <v>1080</v>
      </c>
      <c r="P318" s="299">
        <f t="shared" si="78"/>
        <v>0</v>
      </c>
    </row>
    <row r="319" spans="1:16" s="51" customFormat="1" ht="38.25" customHeight="1" x14ac:dyDescent="0.2">
      <c r="A319" s="69" t="s">
        <v>126</v>
      </c>
      <c r="B319" s="78" t="s">
        <v>59</v>
      </c>
      <c r="C319" s="78" t="s">
        <v>45</v>
      </c>
      <c r="D319" s="54" t="s">
        <v>125</v>
      </c>
      <c r="E319" s="78"/>
      <c r="F319" s="52">
        <f>F326+F320</f>
        <v>8803.7999999999993</v>
      </c>
      <c r="G319" s="52">
        <f>G326+G320</f>
        <v>8817.7999999999993</v>
      </c>
      <c r="H319" s="299">
        <f t="shared" si="77"/>
        <v>14</v>
      </c>
      <c r="I319" s="52">
        <f>I326+I320</f>
        <v>13727</v>
      </c>
      <c r="J319" s="52">
        <f>J326+J320</f>
        <v>452.80000000000024</v>
      </c>
      <c r="K319" s="299">
        <f t="shared" si="75"/>
        <v>-8364.9999999999982</v>
      </c>
      <c r="L319" s="52">
        <f>L326+L320</f>
        <v>1800.0000000000002</v>
      </c>
      <c r="M319" s="132">
        <f t="shared" si="79"/>
        <v>-11927</v>
      </c>
      <c r="N319" s="52">
        <f>N326+N320</f>
        <v>12927</v>
      </c>
      <c r="O319" s="52">
        <f>O326+O320</f>
        <v>1000.0000000000002</v>
      </c>
      <c r="P319" s="299">
        <f t="shared" si="78"/>
        <v>-11927</v>
      </c>
    </row>
    <row r="320" spans="1:16" s="51" customFormat="1" ht="15" customHeight="1" x14ac:dyDescent="0.2">
      <c r="A320" s="56" t="s">
        <v>270</v>
      </c>
      <c r="B320" s="53" t="s">
        <v>59</v>
      </c>
      <c r="C320" s="53" t="s">
        <v>45</v>
      </c>
      <c r="D320" s="128" t="s">
        <v>402</v>
      </c>
      <c r="E320" s="127"/>
      <c r="F320" s="129">
        <f>F321</f>
        <v>8435.4</v>
      </c>
      <c r="G320" s="129">
        <f>G321</f>
        <v>8435.4</v>
      </c>
      <c r="H320" s="299">
        <f t="shared" si="77"/>
        <v>0</v>
      </c>
      <c r="I320" s="129">
        <f>I321</f>
        <v>12295.8</v>
      </c>
      <c r="J320" s="129">
        <f>J321</f>
        <v>2.8421709430404007E-13</v>
      </c>
      <c r="K320" s="299">
        <f t="shared" si="75"/>
        <v>-8435.4</v>
      </c>
      <c r="L320" s="129">
        <f>L321</f>
        <v>368.80000000000018</v>
      </c>
      <c r="M320" s="132">
        <f t="shared" si="79"/>
        <v>-11927</v>
      </c>
      <c r="N320" s="129">
        <f>N321</f>
        <v>12295.8</v>
      </c>
      <c r="O320" s="129">
        <f>O321</f>
        <v>368.80000000000018</v>
      </c>
      <c r="P320" s="299">
        <f t="shared" si="78"/>
        <v>-11927</v>
      </c>
    </row>
    <row r="321" spans="1:16" s="51" customFormat="1" ht="15" customHeight="1" x14ac:dyDescent="0.2">
      <c r="A321" s="122" t="s">
        <v>401</v>
      </c>
      <c r="B321" s="53" t="s">
        <v>59</v>
      </c>
      <c r="C321" s="53" t="s">
        <v>45</v>
      </c>
      <c r="D321" s="128" t="s">
        <v>400</v>
      </c>
      <c r="E321" s="127"/>
      <c r="F321" s="129">
        <f>F322+F324</f>
        <v>8435.4</v>
      </c>
      <c r="G321" s="129">
        <f>G322+G324</f>
        <v>8435.4</v>
      </c>
      <c r="H321" s="299">
        <f t="shared" si="77"/>
        <v>0</v>
      </c>
      <c r="I321" s="129">
        <f>I322+I324</f>
        <v>12295.8</v>
      </c>
      <c r="J321" s="129">
        <f>J322+J324</f>
        <v>2.8421709430404007E-13</v>
      </c>
      <c r="K321" s="299">
        <f t="shared" si="75"/>
        <v>-8435.4</v>
      </c>
      <c r="L321" s="129">
        <f>L322+L324</f>
        <v>368.80000000000018</v>
      </c>
      <c r="M321" s="132">
        <f t="shared" si="79"/>
        <v>-11927</v>
      </c>
      <c r="N321" s="129">
        <f>N322+N324</f>
        <v>12295.8</v>
      </c>
      <c r="O321" s="129">
        <f>O322+O324</f>
        <v>368.80000000000018</v>
      </c>
      <c r="P321" s="299">
        <f t="shared" si="78"/>
        <v>-11927</v>
      </c>
    </row>
    <row r="322" spans="1:16" s="51" customFormat="1" ht="42" customHeight="1" x14ac:dyDescent="0.2">
      <c r="A322" s="122" t="s">
        <v>399</v>
      </c>
      <c r="B322" s="53" t="s">
        <v>59</v>
      </c>
      <c r="C322" s="53" t="s">
        <v>45</v>
      </c>
      <c r="D322" s="54" t="s">
        <v>398</v>
      </c>
      <c r="E322" s="127"/>
      <c r="F322" s="52">
        <f>F323</f>
        <v>3454.2999999999997</v>
      </c>
      <c r="G322" s="52">
        <f>G323</f>
        <v>3454.2999999999997</v>
      </c>
      <c r="H322" s="299">
        <f t="shared" si="77"/>
        <v>0</v>
      </c>
      <c r="I322" s="52">
        <f>I323</f>
        <v>5035.1000000000004</v>
      </c>
      <c r="J322" s="52">
        <f>J323</f>
        <v>2.8421709430404007E-13</v>
      </c>
      <c r="K322" s="299">
        <f t="shared" si="75"/>
        <v>-3454.2999999999993</v>
      </c>
      <c r="L322" s="52">
        <f>L323</f>
        <v>151</v>
      </c>
      <c r="M322" s="132">
        <f t="shared" si="79"/>
        <v>-4884.1000000000004</v>
      </c>
      <c r="N322" s="52">
        <f>N323</f>
        <v>5035.1000000000004</v>
      </c>
      <c r="O322" s="52">
        <f>O323</f>
        <v>151</v>
      </c>
      <c r="P322" s="299">
        <f t="shared" si="78"/>
        <v>-4884.1000000000004</v>
      </c>
    </row>
    <row r="323" spans="1:16" s="51" customFormat="1" ht="14.25" customHeight="1" x14ac:dyDescent="0.2">
      <c r="A323" s="93" t="s">
        <v>167</v>
      </c>
      <c r="B323" s="53" t="s">
        <v>59</v>
      </c>
      <c r="C323" s="53" t="s">
        <v>45</v>
      </c>
      <c r="D323" s="54" t="s">
        <v>398</v>
      </c>
      <c r="E323" s="60" t="s">
        <v>164</v>
      </c>
      <c r="F323" s="52">
        <f>3350.6+103.7</f>
        <v>3454.2999999999997</v>
      </c>
      <c r="G323" s="52">
        <f>3350.6+103.7</f>
        <v>3454.2999999999997</v>
      </c>
      <c r="H323" s="299">
        <f t="shared" si="77"/>
        <v>0</v>
      </c>
      <c r="I323" s="52">
        <f>4884.1+151</f>
        <v>5035.1000000000004</v>
      </c>
      <c r="J323" s="129">
        <f>3454.3-3350.6-8.6-95.1</f>
        <v>2.8421709430404007E-13</v>
      </c>
      <c r="K323" s="299">
        <f t="shared" si="75"/>
        <v>-3454.2999999999993</v>
      </c>
      <c r="L323" s="129">
        <f>5035.1-4884.1</f>
        <v>151</v>
      </c>
      <c r="M323" s="465">
        <f t="shared" si="79"/>
        <v>-4884.1000000000004</v>
      </c>
      <c r="N323" s="129">
        <f>4884.1+151</f>
        <v>5035.1000000000004</v>
      </c>
      <c r="O323" s="129">
        <f>5035.1-4884.1</f>
        <v>151</v>
      </c>
      <c r="P323" s="299">
        <f t="shared" si="78"/>
        <v>-4884.1000000000004</v>
      </c>
    </row>
    <row r="324" spans="1:16" s="51" customFormat="1" ht="27" customHeight="1" x14ac:dyDescent="0.2">
      <c r="A324" s="68" t="s">
        <v>397</v>
      </c>
      <c r="B324" s="53" t="s">
        <v>59</v>
      </c>
      <c r="C324" s="53" t="s">
        <v>45</v>
      </c>
      <c r="D324" s="128" t="s">
        <v>396</v>
      </c>
      <c r="E324" s="127"/>
      <c r="F324" s="52">
        <f>F325</f>
        <v>4981.1000000000004</v>
      </c>
      <c r="G324" s="52">
        <f>G325</f>
        <v>4981.1000000000004</v>
      </c>
      <c r="H324" s="299">
        <f t="shared" si="77"/>
        <v>0</v>
      </c>
      <c r="I324" s="52">
        <f>I325</f>
        <v>7260.7</v>
      </c>
      <c r="J324" s="52">
        <f>J325</f>
        <v>0</v>
      </c>
      <c r="K324" s="299">
        <f t="shared" si="75"/>
        <v>-4981.1000000000004</v>
      </c>
      <c r="L324" s="52">
        <f>L325</f>
        <v>217.80000000000018</v>
      </c>
      <c r="M324" s="132">
        <f>L324-I324</f>
        <v>-7042.9</v>
      </c>
      <c r="N324" s="52">
        <f>N325</f>
        <v>7260.7</v>
      </c>
      <c r="O324" s="52">
        <f>O325</f>
        <v>217.80000000000018</v>
      </c>
      <c r="P324" s="299">
        <f t="shared" si="78"/>
        <v>-7042.9</v>
      </c>
    </row>
    <row r="325" spans="1:16" s="51" customFormat="1" ht="13.5" customHeight="1" x14ac:dyDescent="0.2">
      <c r="A325" s="93" t="s">
        <v>167</v>
      </c>
      <c r="B325" s="53" t="s">
        <v>59</v>
      </c>
      <c r="C325" s="53" t="s">
        <v>45</v>
      </c>
      <c r="D325" s="128" t="s">
        <v>396</v>
      </c>
      <c r="E325" s="127" t="s">
        <v>164</v>
      </c>
      <c r="F325" s="52">
        <f>4831.6+149.5</f>
        <v>4981.1000000000004</v>
      </c>
      <c r="G325" s="52">
        <f>4831.6+149.5</f>
        <v>4981.1000000000004</v>
      </c>
      <c r="H325" s="299">
        <f t="shared" si="77"/>
        <v>0</v>
      </c>
      <c r="I325" s="52">
        <f>7042.9+217.8</f>
        <v>7260.7</v>
      </c>
      <c r="J325" s="52">
        <f>4981.1-4831.6-149.5</f>
        <v>0</v>
      </c>
      <c r="K325" s="299">
        <f t="shared" si="75"/>
        <v>-4981.1000000000004</v>
      </c>
      <c r="L325" s="52">
        <f>7260.7-7042.9</f>
        <v>217.80000000000018</v>
      </c>
      <c r="M325" s="465">
        <f t="shared" ref="M325:M386" si="86">L325-I325</f>
        <v>-7042.9</v>
      </c>
      <c r="N325" s="52">
        <f>7042.9+217.8</f>
        <v>7260.7</v>
      </c>
      <c r="O325" s="52">
        <f>7260.7-7042.9</f>
        <v>217.80000000000018</v>
      </c>
      <c r="P325" s="299">
        <f t="shared" si="78"/>
        <v>-7042.9</v>
      </c>
    </row>
    <row r="326" spans="1:16" s="51" customFormat="1" ht="17.25" customHeight="1" x14ac:dyDescent="0.2">
      <c r="A326" s="56" t="s">
        <v>66</v>
      </c>
      <c r="B326" s="60" t="s">
        <v>59</v>
      </c>
      <c r="C326" s="60" t="s">
        <v>45</v>
      </c>
      <c r="D326" s="54" t="s">
        <v>124</v>
      </c>
      <c r="E326" s="94"/>
      <c r="F326" s="52">
        <f>F327+F330</f>
        <v>368.4</v>
      </c>
      <c r="G326" s="52">
        <f>G327+G330</f>
        <v>382.4</v>
      </c>
      <c r="H326" s="299">
        <f t="shared" si="77"/>
        <v>14</v>
      </c>
      <c r="I326" s="52">
        <f>I327+I330</f>
        <v>1431.2</v>
      </c>
      <c r="J326" s="52">
        <f>J327+J330</f>
        <v>452.79999999999995</v>
      </c>
      <c r="K326" s="299">
        <f t="shared" si="75"/>
        <v>70.399999999999977</v>
      </c>
      <c r="L326" s="52">
        <f>L327+L330</f>
        <v>1431.2</v>
      </c>
      <c r="M326" s="299">
        <f t="shared" si="86"/>
        <v>0</v>
      </c>
      <c r="N326" s="52">
        <f>N327+N330</f>
        <v>631.20000000000005</v>
      </c>
      <c r="O326" s="52">
        <f>O327+O330</f>
        <v>631.20000000000005</v>
      </c>
      <c r="P326" s="299">
        <f t="shared" si="78"/>
        <v>0</v>
      </c>
    </row>
    <row r="327" spans="1:16" s="51" customFormat="1" ht="27.75" customHeight="1" x14ac:dyDescent="0.2">
      <c r="A327" s="56" t="s">
        <v>395</v>
      </c>
      <c r="B327" s="60" t="s">
        <v>59</v>
      </c>
      <c r="C327" s="60" t="s">
        <v>45</v>
      </c>
      <c r="D327" s="54" t="s">
        <v>394</v>
      </c>
      <c r="E327" s="60"/>
      <c r="F327" s="52">
        <f>F328</f>
        <v>368.4</v>
      </c>
      <c r="G327" s="52">
        <f>G328</f>
        <v>382.4</v>
      </c>
      <c r="H327" s="299">
        <f t="shared" si="77"/>
        <v>14</v>
      </c>
      <c r="I327" s="52">
        <f>I328</f>
        <v>631.20000000000005</v>
      </c>
      <c r="J327" s="52">
        <f>J328</f>
        <v>382.4</v>
      </c>
      <c r="K327" s="299">
        <f t="shared" si="75"/>
        <v>0</v>
      </c>
      <c r="L327" s="52">
        <f>L328</f>
        <v>631.20000000000005</v>
      </c>
      <c r="M327" s="299">
        <f t="shared" si="86"/>
        <v>0</v>
      </c>
      <c r="N327" s="52">
        <f>N328</f>
        <v>631.20000000000005</v>
      </c>
      <c r="O327" s="52">
        <f>O328</f>
        <v>631.20000000000005</v>
      </c>
      <c r="P327" s="299">
        <f t="shared" si="78"/>
        <v>0</v>
      </c>
    </row>
    <row r="328" spans="1:16" s="51" customFormat="1" ht="29.25" customHeight="1" x14ac:dyDescent="0.2">
      <c r="A328" s="56" t="s">
        <v>393</v>
      </c>
      <c r="B328" s="60" t="s">
        <v>59</v>
      </c>
      <c r="C328" s="60" t="s">
        <v>45</v>
      </c>
      <c r="D328" s="54" t="s">
        <v>392</v>
      </c>
      <c r="E328" s="60"/>
      <c r="F328" s="52">
        <f>F329</f>
        <v>368.4</v>
      </c>
      <c r="G328" s="52">
        <f>G329</f>
        <v>382.4</v>
      </c>
      <c r="H328" s="299">
        <f t="shared" si="77"/>
        <v>14</v>
      </c>
      <c r="I328" s="52">
        <f>I329</f>
        <v>631.20000000000005</v>
      </c>
      <c r="J328" s="52">
        <f>J329</f>
        <v>382.4</v>
      </c>
      <c r="K328" s="299">
        <f t="shared" si="75"/>
        <v>0</v>
      </c>
      <c r="L328" s="52">
        <f>L329</f>
        <v>631.20000000000005</v>
      </c>
      <c r="M328" s="299">
        <f t="shared" si="86"/>
        <v>0</v>
      </c>
      <c r="N328" s="52">
        <f>N329</f>
        <v>631.20000000000005</v>
      </c>
      <c r="O328" s="52">
        <f>O329</f>
        <v>631.20000000000005</v>
      </c>
      <c r="P328" s="299">
        <f t="shared" si="78"/>
        <v>0</v>
      </c>
    </row>
    <row r="329" spans="1:16" s="51" customFormat="1" ht="24.75" customHeight="1" x14ac:dyDescent="0.2">
      <c r="A329" s="56" t="s">
        <v>73</v>
      </c>
      <c r="B329" s="60" t="s">
        <v>59</v>
      </c>
      <c r="C329" s="60" t="s">
        <v>45</v>
      </c>
      <c r="D329" s="54" t="s">
        <v>392</v>
      </c>
      <c r="E329" s="60" t="s">
        <v>70</v>
      </c>
      <c r="F329" s="52">
        <f>710.1+368.4-710.1</f>
        <v>368.4</v>
      </c>
      <c r="G329" s="52">
        <f>368.4+14</f>
        <v>382.4</v>
      </c>
      <c r="H329" s="299">
        <f t="shared" si="77"/>
        <v>14</v>
      </c>
      <c r="I329" s="52">
        <f>1000-368.8</f>
        <v>631.20000000000005</v>
      </c>
      <c r="J329" s="52">
        <f>368.4+14</f>
        <v>382.4</v>
      </c>
      <c r="K329" s="299">
        <f t="shared" si="75"/>
        <v>0</v>
      </c>
      <c r="L329" s="52">
        <f>1000-368.8</f>
        <v>631.20000000000005</v>
      </c>
      <c r="M329" s="299">
        <f t="shared" si="86"/>
        <v>0</v>
      </c>
      <c r="N329" s="65">
        <f>1000-368.8</f>
        <v>631.20000000000005</v>
      </c>
      <c r="O329" s="65">
        <f>1000-368.8</f>
        <v>631.20000000000005</v>
      </c>
      <c r="P329" s="299">
        <f t="shared" si="78"/>
        <v>0</v>
      </c>
    </row>
    <row r="330" spans="1:16" s="51" customFormat="1" ht="27" customHeight="1" x14ac:dyDescent="0.2">
      <c r="A330" s="62" t="s">
        <v>391</v>
      </c>
      <c r="B330" s="60" t="s">
        <v>59</v>
      </c>
      <c r="C330" s="60" t="s">
        <v>45</v>
      </c>
      <c r="D330" s="54" t="s">
        <v>390</v>
      </c>
      <c r="E330" s="60"/>
      <c r="F330" s="52">
        <f>F331</f>
        <v>0</v>
      </c>
      <c r="G330" s="52">
        <f>G331</f>
        <v>0</v>
      </c>
      <c r="H330" s="299">
        <f t="shared" si="77"/>
        <v>0</v>
      </c>
      <c r="I330" s="52">
        <f>I331</f>
        <v>800</v>
      </c>
      <c r="J330" s="52">
        <f>J331</f>
        <v>70.400000000000006</v>
      </c>
      <c r="K330" s="299">
        <f t="shared" si="75"/>
        <v>70.400000000000006</v>
      </c>
      <c r="L330" s="52">
        <f>L331</f>
        <v>800</v>
      </c>
      <c r="M330" s="299">
        <f t="shared" si="86"/>
        <v>0</v>
      </c>
      <c r="N330" s="52">
        <f>N331</f>
        <v>0</v>
      </c>
      <c r="O330" s="52">
        <f>O331</f>
        <v>0</v>
      </c>
      <c r="P330" s="299">
        <f t="shared" si="78"/>
        <v>0</v>
      </c>
    </row>
    <row r="331" spans="1:16" s="51" customFormat="1" ht="30.75" customHeight="1" x14ac:dyDescent="0.2">
      <c r="A331" s="62" t="s">
        <v>389</v>
      </c>
      <c r="B331" s="60" t="s">
        <v>59</v>
      </c>
      <c r="C331" s="60" t="s">
        <v>45</v>
      </c>
      <c r="D331" s="54" t="s">
        <v>388</v>
      </c>
      <c r="E331" s="60"/>
      <c r="F331" s="52">
        <f>F332</f>
        <v>0</v>
      </c>
      <c r="G331" s="52">
        <f>G332</f>
        <v>0</v>
      </c>
      <c r="H331" s="299">
        <f t="shared" si="77"/>
        <v>0</v>
      </c>
      <c r="I331" s="52">
        <f>I332</f>
        <v>800</v>
      </c>
      <c r="J331" s="52">
        <f>J332</f>
        <v>70.400000000000006</v>
      </c>
      <c r="K331" s="299">
        <f t="shared" si="75"/>
        <v>70.400000000000006</v>
      </c>
      <c r="L331" s="52">
        <f>L332</f>
        <v>800</v>
      </c>
      <c r="M331" s="299">
        <f t="shared" si="86"/>
        <v>0</v>
      </c>
      <c r="N331" s="52">
        <f>N332</f>
        <v>0</v>
      </c>
      <c r="O331" s="52">
        <f>O332</f>
        <v>0</v>
      </c>
      <c r="P331" s="299">
        <f t="shared" si="78"/>
        <v>0</v>
      </c>
    </row>
    <row r="332" spans="1:16" s="51" customFormat="1" ht="29.25" customHeight="1" x14ac:dyDescent="0.2">
      <c r="A332" s="56" t="s">
        <v>73</v>
      </c>
      <c r="B332" s="60" t="s">
        <v>59</v>
      </c>
      <c r="C332" s="60" t="s">
        <v>45</v>
      </c>
      <c r="D332" s="54" t="s">
        <v>388</v>
      </c>
      <c r="E332" s="60" t="s">
        <v>70</v>
      </c>
      <c r="F332" s="52">
        <f>1500-1500</f>
        <v>0</v>
      </c>
      <c r="G332" s="52">
        <f>1500-1500</f>
        <v>0</v>
      </c>
      <c r="H332" s="299">
        <f t="shared" si="77"/>
        <v>0</v>
      </c>
      <c r="I332" s="52">
        <v>800</v>
      </c>
      <c r="J332" s="52">
        <v>70.400000000000006</v>
      </c>
      <c r="K332" s="299">
        <f t="shared" ref="K332:K395" si="87">J332-G332</f>
        <v>70.400000000000006</v>
      </c>
      <c r="L332" s="52">
        <v>800</v>
      </c>
      <c r="M332" s="299">
        <f t="shared" si="86"/>
        <v>0</v>
      </c>
      <c r="N332" s="52">
        <v>0</v>
      </c>
      <c r="O332" s="52">
        <v>0</v>
      </c>
      <c r="P332" s="299">
        <f t="shared" si="78"/>
        <v>0</v>
      </c>
    </row>
    <row r="333" spans="1:16" s="47" customFormat="1" ht="12.75" customHeight="1" x14ac:dyDescent="0.2">
      <c r="A333" s="50" t="s">
        <v>387</v>
      </c>
      <c r="B333" s="71" t="s">
        <v>59</v>
      </c>
      <c r="C333" s="71" t="s">
        <v>72</v>
      </c>
      <c r="D333" s="49"/>
      <c r="E333" s="71"/>
      <c r="F333" s="44">
        <f>F334+F365</f>
        <v>124174.09999999999</v>
      </c>
      <c r="G333" s="44">
        <f>G334+G365</f>
        <v>132065.9</v>
      </c>
      <c r="H333" s="299">
        <f t="shared" si="77"/>
        <v>7891.8000000000029</v>
      </c>
      <c r="I333" s="44">
        <f>I334+I365</f>
        <v>7915.1</v>
      </c>
      <c r="J333" s="44">
        <f>J334+J365</f>
        <v>182451.69999999998</v>
      </c>
      <c r="K333" s="299">
        <f t="shared" si="87"/>
        <v>50385.799999999988</v>
      </c>
      <c r="L333" s="44">
        <f>L334+L365</f>
        <v>7915.1</v>
      </c>
      <c r="M333" s="299">
        <f t="shared" si="86"/>
        <v>0</v>
      </c>
      <c r="N333" s="44">
        <f>N334+N365</f>
        <v>9450</v>
      </c>
      <c r="O333" s="44">
        <f>O334+O365</f>
        <v>9450</v>
      </c>
      <c r="P333" s="299">
        <f t="shared" si="78"/>
        <v>0</v>
      </c>
    </row>
    <row r="334" spans="1:16" s="51" customFormat="1" ht="38.25" customHeight="1" x14ac:dyDescent="0.2">
      <c r="A334" s="69" t="s">
        <v>309</v>
      </c>
      <c r="B334" s="78" t="s">
        <v>59</v>
      </c>
      <c r="C334" s="78" t="s">
        <v>72</v>
      </c>
      <c r="D334" s="54" t="s">
        <v>308</v>
      </c>
      <c r="E334" s="53"/>
      <c r="F334" s="52">
        <f>F335+F356</f>
        <v>124174.09999999999</v>
      </c>
      <c r="G334" s="52">
        <f>G335+G356</f>
        <v>132065.9</v>
      </c>
      <c r="H334" s="299">
        <f t="shared" si="77"/>
        <v>7891.8000000000029</v>
      </c>
      <c r="I334" s="52">
        <f>I335+I356</f>
        <v>7815.1</v>
      </c>
      <c r="J334" s="52">
        <f>J335+J356</f>
        <v>182451.69999999998</v>
      </c>
      <c r="K334" s="299">
        <f t="shared" si="87"/>
        <v>50385.799999999988</v>
      </c>
      <c r="L334" s="52">
        <f>L335+L356</f>
        <v>7815.1</v>
      </c>
      <c r="M334" s="299">
        <f t="shared" si="86"/>
        <v>0</v>
      </c>
      <c r="N334" s="52">
        <f>N335+N356</f>
        <v>9050</v>
      </c>
      <c r="O334" s="52">
        <f>O335+O356</f>
        <v>9050</v>
      </c>
      <c r="P334" s="299">
        <f t="shared" si="78"/>
        <v>0</v>
      </c>
    </row>
    <row r="335" spans="1:16" s="51" customFormat="1" x14ac:dyDescent="0.2">
      <c r="A335" s="56" t="s">
        <v>66</v>
      </c>
      <c r="B335" s="78" t="s">
        <v>59</v>
      </c>
      <c r="C335" s="78" t="s">
        <v>72</v>
      </c>
      <c r="D335" s="54" t="s">
        <v>386</v>
      </c>
      <c r="E335" s="60"/>
      <c r="F335" s="52">
        <f>F336+F345+F348+F353</f>
        <v>118454.9</v>
      </c>
      <c r="G335" s="52">
        <f>G336+G345+G348+G353</f>
        <v>126314.69999999998</v>
      </c>
      <c r="H335" s="299">
        <f t="shared" si="77"/>
        <v>7859.7999999999884</v>
      </c>
      <c r="I335" s="52">
        <f>I336+I345+I348+I353</f>
        <v>5000</v>
      </c>
      <c r="J335" s="52">
        <f>J336+J345+J348+J353</f>
        <v>175920.4</v>
      </c>
      <c r="K335" s="299">
        <f t="shared" si="87"/>
        <v>49605.700000000012</v>
      </c>
      <c r="L335" s="52">
        <f>L336+L345+L348+L353</f>
        <v>5000</v>
      </c>
      <c r="M335" s="299">
        <f t="shared" si="86"/>
        <v>0</v>
      </c>
      <c r="N335" s="52">
        <f>N336+N345+N348+N353</f>
        <v>6700</v>
      </c>
      <c r="O335" s="52">
        <f>O336+O345+O348+O353</f>
        <v>6700</v>
      </c>
      <c r="P335" s="299">
        <f t="shared" si="78"/>
        <v>0</v>
      </c>
    </row>
    <row r="336" spans="1:16" s="51" customFormat="1" ht="38.25" customHeight="1" x14ac:dyDescent="0.2">
      <c r="A336" s="56" t="s">
        <v>385</v>
      </c>
      <c r="B336" s="78" t="s">
        <v>59</v>
      </c>
      <c r="C336" s="78" t="s">
        <v>72</v>
      </c>
      <c r="D336" s="54" t="s">
        <v>384</v>
      </c>
      <c r="E336" s="60"/>
      <c r="F336" s="52">
        <f>F337+F340+F343</f>
        <v>111902</v>
      </c>
      <c r="G336" s="52">
        <f t="shared" ref="G336:O336" si="88">G337+G340+G343</f>
        <v>115396.4</v>
      </c>
      <c r="H336" s="299">
        <f t="shared" ref="H336:H411" si="89">G336-F336</f>
        <v>3494.3999999999942</v>
      </c>
      <c r="I336" s="52">
        <f t="shared" si="88"/>
        <v>0</v>
      </c>
      <c r="J336" s="52">
        <f t="shared" si="88"/>
        <v>166536.29999999999</v>
      </c>
      <c r="K336" s="299">
        <f t="shared" si="87"/>
        <v>51139.899999999994</v>
      </c>
      <c r="L336" s="52">
        <f t="shared" si="88"/>
        <v>0</v>
      </c>
      <c r="M336" s="299">
        <f t="shared" si="86"/>
        <v>0</v>
      </c>
      <c r="N336" s="52">
        <f t="shared" si="88"/>
        <v>0</v>
      </c>
      <c r="O336" s="52">
        <f t="shared" si="88"/>
        <v>0</v>
      </c>
      <c r="P336" s="299">
        <f t="shared" ref="P336:P411" si="90">O336-N336</f>
        <v>0</v>
      </c>
    </row>
    <row r="337" spans="1:16" s="51" customFormat="1" ht="25.5" customHeight="1" x14ac:dyDescent="0.2">
      <c r="A337" s="56" t="s">
        <v>383</v>
      </c>
      <c r="B337" s="78" t="s">
        <v>59</v>
      </c>
      <c r="C337" s="78" t="s">
        <v>72</v>
      </c>
      <c r="D337" s="54" t="s">
        <v>382</v>
      </c>
      <c r="E337" s="60"/>
      <c r="F337" s="52">
        <f>F338+F339</f>
        <v>18396.2</v>
      </c>
      <c r="G337" s="52">
        <f>G338+G339</f>
        <v>18396.2</v>
      </c>
      <c r="H337" s="299">
        <f t="shared" si="89"/>
        <v>0</v>
      </c>
      <c r="I337" s="52">
        <f>I338+I339</f>
        <v>0</v>
      </c>
      <c r="J337" s="52">
        <f>J338+J339</f>
        <v>18396.2</v>
      </c>
      <c r="K337" s="299">
        <f t="shared" si="87"/>
        <v>0</v>
      </c>
      <c r="L337" s="52">
        <f>L338+L339</f>
        <v>0</v>
      </c>
      <c r="M337" s="299">
        <f t="shared" si="86"/>
        <v>0</v>
      </c>
      <c r="N337" s="52">
        <f>N338+N339</f>
        <v>0</v>
      </c>
      <c r="O337" s="52">
        <f>O338+O339</f>
        <v>0</v>
      </c>
      <c r="P337" s="299">
        <f t="shared" si="90"/>
        <v>0</v>
      </c>
    </row>
    <row r="338" spans="1:16" s="51" customFormat="1" ht="27.75" hidden="1" customHeight="1" x14ac:dyDescent="0.2">
      <c r="A338" s="56" t="s">
        <v>73</v>
      </c>
      <c r="B338" s="78" t="s">
        <v>59</v>
      </c>
      <c r="C338" s="78" t="s">
        <v>72</v>
      </c>
      <c r="D338" s="54" t="s">
        <v>382</v>
      </c>
      <c r="E338" s="60" t="s">
        <v>70</v>
      </c>
      <c r="F338" s="52"/>
      <c r="G338" s="52"/>
      <c r="H338" s="299">
        <f t="shared" si="89"/>
        <v>0</v>
      </c>
      <c r="I338" s="52"/>
      <c r="J338" s="52"/>
      <c r="K338" s="299">
        <f t="shared" si="87"/>
        <v>0</v>
      </c>
      <c r="L338" s="52"/>
      <c r="M338" s="299">
        <f t="shared" si="86"/>
        <v>0</v>
      </c>
      <c r="N338" s="52"/>
      <c r="O338" s="52"/>
      <c r="P338" s="299">
        <f t="shared" si="90"/>
        <v>0</v>
      </c>
    </row>
    <row r="339" spans="1:16" s="51" customFormat="1" ht="18" customHeight="1" x14ac:dyDescent="0.2">
      <c r="A339" s="64" t="s">
        <v>167</v>
      </c>
      <c r="B339" s="78" t="s">
        <v>59</v>
      </c>
      <c r="C339" s="78" t="s">
        <v>72</v>
      </c>
      <c r="D339" s="54" t="s">
        <v>382</v>
      </c>
      <c r="E339" s="60" t="s">
        <v>164</v>
      </c>
      <c r="F339" s="52">
        <f>17844.3+551.9</f>
        <v>18396.2</v>
      </c>
      <c r="G339" s="52">
        <f>17844.3+551.9</f>
        <v>18396.2</v>
      </c>
      <c r="H339" s="299">
        <f t="shared" si="89"/>
        <v>0</v>
      </c>
      <c r="I339" s="52">
        <v>0</v>
      </c>
      <c r="J339" s="52">
        <f>17844.3+551.9</f>
        <v>18396.2</v>
      </c>
      <c r="K339" s="299">
        <f t="shared" si="87"/>
        <v>0</v>
      </c>
      <c r="L339" s="52">
        <v>0</v>
      </c>
      <c r="M339" s="299">
        <f t="shared" si="86"/>
        <v>0</v>
      </c>
      <c r="N339" s="52">
        <v>0</v>
      </c>
      <c r="O339" s="52">
        <v>0</v>
      </c>
      <c r="P339" s="299">
        <f t="shared" si="90"/>
        <v>0</v>
      </c>
    </row>
    <row r="340" spans="1:16" s="51" customFormat="1" ht="37.5" customHeight="1" x14ac:dyDescent="0.2">
      <c r="A340" s="64" t="s">
        <v>381</v>
      </c>
      <c r="B340" s="78" t="s">
        <v>59</v>
      </c>
      <c r="C340" s="78" t="s">
        <v>72</v>
      </c>
      <c r="D340" s="54" t="s">
        <v>380</v>
      </c>
      <c r="E340" s="60"/>
      <c r="F340" s="52">
        <f>F341+F342</f>
        <v>93505.8</v>
      </c>
      <c r="G340" s="52">
        <f>G341+G342</f>
        <v>93505.8</v>
      </c>
      <c r="H340" s="299">
        <f t="shared" si="89"/>
        <v>0</v>
      </c>
      <c r="I340" s="52">
        <f>I341+I342</f>
        <v>0</v>
      </c>
      <c r="J340" s="52">
        <f>J341+J342</f>
        <v>144645.69999999998</v>
      </c>
      <c r="K340" s="299">
        <f t="shared" si="87"/>
        <v>51139.89999999998</v>
      </c>
      <c r="L340" s="52">
        <f>L341+L342</f>
        <v>0</v>
      </c>
      <c r="M340" s="299">
        <f t="shared" si="86"/>
        <v>0</v>
      </c>
      <c r="N340" s="52">
        <f>N341+N342</f>
        <v>0</v>
      </c>
      <c r="O340" s="52">
        <f>O341+O342</f>
        <v>0</v>
      </c>
      <c r="P340" s="299">
        <f t="shared" si="90"/>
        <v>0</v>
      </c>
    </row>
    <row r="341" spans="1:16" s="51" customFormat="1" ht="26.25" hidden="1" customHeight="1" x14ac:dyDescent="0.2">
      <c r="A341" s="56" t="s">
        <v>73</v>
      </c>
      <c r="B341" s="78" t="s">
        <v>59</v>
      </c>
      <c r="C341" s="78" t="s">
        <v>72</v>
      </c>
      <c r="D341" s="54" t="s">
        <v>380</v>
      </c>
      <c r="E341" s="60" t="s">
        <v>70</v>
      </c>
      <c r="F341" s="52"/>
      <c r="G341" s="52"/>
      <c r="H341" s="299">
        <f t="shared" si="89"/>
        <v>0</v>
      </c>
      <c r="I341" s="52"/>
      <c r="J341" s="52"/>
      <c r="K341" s="299">
        <f t="shared" si="87"/>
        <v>0</v>
      </c>
      <c r="L341" s="52"/>
      <c r="M341" s="299">
        <f t="shared" si="86"/>
        <v>0</v>
      </c>
      <c r="N341" s="52"/>
      <c r="O341" s="52"/>
      <c r="P341" s="299">
        <f t="shared" si="90"/>
        <v>0</v>
      </c>
    </row>
    <row r="342" spans="1:16" s="51" customFormat="1" ht="18" customHeight="1" x14ac:dyDescent="0.2">
      <c r="A342" s="64" t="s">
        <v>167</v>
      </c>
      <c r="B342" s="78" t="s">
        <v>59</v>
      </c>
      <c r="C342" s="78" t="s">
        <v>72</v>
      </c>
      <c r="D342" s="54" t="s">
        <v>380</v>
      </c>
      <c r="E342" s="60" t="s">
        <v>164</v>
      </c>
      <c r="F342" s="52">
        <f>109124.6+3375-18424-569.8</f>
        <v>93505.8</v>
      </c>
      <c r="G342" s="52">
        <f>109124.6+3375-18424-569.8</f>
        <v>93505.8</v>
      </c>
      <c r="H342" s="299">
        <f t="shared" si="89"/>
        <v>0</v>
      </c>
      <c r="I342" s="52">
        <v>0</v>
      </c>
      <c r="J342" s="52">
        <f>93505.8-13492.8+63098.5+1200+152.9+181.3</f>
        <v>144645.69999999998</v>
      </c>
      <c r="K342" s="299">
        <f t="shared" si="87"/>
        <v>51139.89999999998</v>
      </c>
      <c r="L342" s="52">
        <v>0</v>
      </c>
      <c r="M342" s="299">
        <f t="shared" si="86"/>
        <v>0</v>
      </c>
      <c r="N342" s="52">
        <v>0</v>
      </c>
      <c r="O342" s="52">
        <v>0</v>
      </c>
      <c r="P342" s="299">
        <f t="shared" si="90"/>
        <v>0</v>
      </c>
    </row>
    <row r="343" spans="1:16" s="51" customFormat="1" ht="41.25" customHeight="1" x14ac:dyDescent="0.2">
      <c r="A343" s="64" t="s">
        <v>1069</v>
      </c>
      <c r="B343" s="78" t="s">
        <v>59</v>
      </c>
      <c r="C343" s="78" t="s">
        <v>72</v>
      </c>
      <c r="D343" s="54" t="s">
        <v>1070</v>
      </c>
      <c r="E343" s="60"/>
      <c r="F343" s="52">
        <f>F344</f>
        <v>0</v>
      </c>
      <c r="G343" s="52">
        <f t="shared" ref="G343:O343" si="91">G344</f>
        <v>3494.4</v>
      </c>
      <c r="H343" s="299">
        <f t="shared" si="89"/>
        <v>3494.4</v>
      </c>
      <c r="I343" s="52">
        <f t="shared" si="91"/>
        <v>0</v>
      </c>
      <c r="J343" s="52">
        <f t="shared" si="91"/>
        <v>3494.4</v>
      </c>
      <c r="K343" s="299">
        <f t="shared" si="87"/>
        <v>0</v>
      </c>
      <c r="L343" s="52">
        <f t="shared" si="91"/>
        <v>0</v>
      </c>
      <c r="M343" s="299">
        <f t="shared" si="86"/>
        <v>0</v>
      </c>
      <c r="N343" s="52">
        <f t="shared" si="91"/>
        <v>0</v>
      </c>
      <c r="O343" s="52">
        <f t="shared" si="91"/>
        <v>0</v>
      </c>
      <c r="P343" s="299">
        <f t="shared" si="90"/>
        <v>0</v>
      </c>
    </row>
    <row r="344" spans="1:16" s="51" customFormat="1" ht="18" customHeight="1" x14ac:dyDescent="0.2">
      <c r="A344" s="64" t="s">
        <v>167</v>
      </c>
      <c r="B344" s="78" t="s">
        <v>59</v>
      </c>
      <c r="C344" s="78" t="s">
        <v>72</v>
      </c>
      <c r="D344" s="54" t="s">
        <v>1070</v>
      </c>
      <c r="E344" s="60" t="s">
        <v>164</v>
      </c>
      <c r="F344" s="52">
        <v>0</v>
      </c>
      <c r="G344" s="52">
        <v>3494.4</v>
      </c>
      <c r="H344" s="299">
        <f t="shared" si="89"/>
        <v>3494.4</v>
      </c>
      <c r="I344" s="52">
        <v>0</v>
      </c>
      <c r="J344" s="52">
        <v>3494.4</v>
      </c>
      <c r="K344" s="299">
        <f t="shared" si="87"/>
        <v>0</v>
      </c>
      <c r="L344" s="52">
        <v>0</v>
      </c>
      <c r="M344" s="299">
        <f t="shared" si="86"/>
        <v>0</v>
      </c>
      <c r="N344" s="52">
        <v>0</v>
      </c>
      <c r="O344" s="52">
        <v>0</v>
      </c>
      <c r="P344" s="299">
        <f t="shared" si="90"/>
        <v>0</v>
      </c>
    </row>
    <row r="345" spans="1:16" s="51" customFormat="1" ht="29.25" customHeight="1" x14ac:dyDescent="0.2">
      <c r="A345" s="69" t="s">
        <v>379</v>
      </c>
      <c r="B345" s="78" t="s">
        <v>59</v>
      </c>
      <c r="C345" s="78" t="s">
        <v>72</v>
      </c>
      <c r="D345" s="54" t="s">
        <v>378</v>
      </c>
      <c r="E345" s="78"/>
      <c r="F345" s="52">
        <f>F346</f>
        <v>1000</v>
      </c>
      <c r="G345" s="52">
        <f>G346</f>
        <v>4288.5</v>
      </c>
      <c r="H345" s="299">
        <f t="shared" si="89"/>
        <v>3288.5</v>
      </c>
      <c r="I345" s="52">
        <f>I346</f>
        <v>1000</v>
      </c>
      <c r="J345" s="52">
        <f>J346</f>
        <v>4107.2</v>
      </c>
      <c r="K345" s="299">
        <f t="shared" si="87"/>
        <v>-181.30000000000018</v>
      </c>
      <c r="L345" s="52">
        <f>L346</f>
        <v>1000</v>
      </c>
      <c r="M345" s="299">
        <f t="shared" si="86"/>
        <v>0</v>
      </c>
      <c r="N345" s="52">
        <f>N346</f>
        <v>1000</v>
      </c>
      <c r="O345" s="52">
        <f>O346</f>
        <v>1000</v>
      </c>
      <c r="P345" s="299">
        <f t="shared" si="90"/>
        <v>0</v>
      </c>
    </row>
    <row r="346" spans="1:16" s="51" customFormat="1" ht="18" customHeight="1" x14ac:dyDescent="0.2">
      <c r="A346" s="69" t="s">
        <v>375</v>
      </c>
      <c r="B346" s="78" t="s">
        <v>59</v>
      </c>
      <c r="C346" s="78" t="s">
        <v>72</v>
      </c>
      <c r="D346" s="54" t="s">
        <v>377</v>
      </c>
      <c r="E346" s="78"/>
      <c r="F346" s="52">
        <f>F347</f>
        <v>1000</v>
      </c>
      <c r="G346" s="52">
        <f>G347</f>
        <v>4288.5</v>
      </c>
      <c r="H346" s="299">
        <f t="shared" si="89"/>
        <v>3288.5</v>
      </c>
      <c r="I346" s="52">
        <f>I347</f>
        <v>1000</v>
      </c>
      <c r="J346" s="52">
        <f>J347</f>
        <v>4107.2</v>
      </c>
      <c r="K346" s="299">
        <f t="shared" si="87"/>
        <v>-181.30000000000018</v>
      </c>
      <c r="L346" s="52">
        <f>L347</f>
        <v>1000</v>
      </c>
      <c r="M346" s="299">
        <f t="shared" si="86"/>
        <v>0</v>
      </c>
      <c r="N346" s="52">
        <f>N347</f>
        <v>1000</v>
      </c>
      <c r="O346" s="52">
        <f>O347</f>
        <v>1000</v>
      </c>
      <c r="P346" s="299">
        <f t="shared" si="90"/>
        <v>0</v>
      </c>
    </row>
    <row r="347" spans="1:16" s="51" customFormat="1" ht="27.75" customHeight="1" x14ac:dyDescent="0.2">
      <c r="A347" s="69" t="s">
        <v>73</v>
      </c>
      <c r="B347" s="78" t="s">
        <v>59</v>
      </c>
      <c r="C347" s="78" t="s">
        <v>72</v>
      </c>
      <c r="D347" s="54" t="s">
        <v>377</v>
      </c>
      <c r="E347" s="78" t="s">
        <v>70</v>
      </c>
      <c r="F347" s="52">
        <v>1000</v>
      </c>
      <c r="G347" s="52">
        <f>1000+3488.5-200</f>
        <v>4288.5</v>
      </c>
      <c r="H347" s="299">
        <f t="shared" si="89"/>
        <v>3288.5</v>
      </c>
      <c r="I347" s="52">
        <v>1000</v>
      </c>
      <c r="J347" s="52">
        <f>4288.5-181.3</f>
        <v>4107.2</v>
      </c>
      <c r="K347" s="299">
        <f t="shared" si="87"/>
        <v>-181.30000000000018</v>
      </c>
      <c r="L347" s="52">
        <v>1000</v>
      </c>
      <c r="M347" s="299">
        <f t="shared" si="86"/>
        <v>0</v>
      </c>
      <c r="N347" s="65">
        <v>1000</v>
      </c>
      <c r="O347" s="65">
        <v>1000</v>
      </c>
      <c r="P347" s="299">
        <f t="shared" si="90"/>
        <v>0</v>
      </c>
    </row>
    <row r="348" spans="1:16" s="51" customFormat="1" ht="27.75" customHeight="1" x14ac:dyDescent="0.2">
      <c r="A348" s="69" t="s">
        <v>1075</v>
      </c>
      <c r="B348" s="78" t="s">
        <v>59</v>
      </c>
      <c r="C348" s="78" t="s">
        <v>72</v>
      </c>
      <c r="D348" s="54" t="s">
        <v>376</v>
      </c>
      <c r="E348" s="78"/>
      <c r="F348" s="52">
        <f>F349+F351</f>
        <v>3000</v>
      </c>
      <c r="G348" s="52">
        <f t="shared" ref="G348:O348" si="92">G349+G351</f>
        <v>4076.9</v>
      </c>
      <c r="H348" s="299">
        <f t="shared" si="89"/>
        <v>1076.9000000000001</v>
      </c>
      <c r="I348" s="52">
        <f t="shared" si="92"/>
        <v>1000</v>
      </c>
      <c r="J348" s="52">
        <f t="shared" si="92"/>
        <v>5276.9</v>
      </c>
      <c r="K348" s="299">
        <f t="shared" si="87"/>
        <v>1199.9999999999995</v>
      </c>
      <c r="L348" s="52">
        <f t="shared" si="92"/>
        <v>1000</v>
      </c>
      <c r="M348" s="299">
        <f t="shared" si="86"/>
        <v>0</v>
      </c>
      <c r="N348" s="52">
        <f t="shared" si="92"/>
        <v>1000</v>
      </c>
      <c r="O348" s="52">
        <f t="shared" si="92"/>
        <v>1000</v>
      </c>
      <c r="P348" s="299">
        <f t="shared" si="90"/>
        <v>0</v>
      </c>
    </row>
    <row r="349" spans="1:16" s="51" customFormat="1" ht="17.25" customHeight="1" x14ac:dyDescent="0.2">
      <c r="A349" s="69" t="s">
        <v>375</v>
      </c>
      <c r="B349" s="78" t="s">
        <v>59</v>
      </c>
      <c r="C349" s="78" t="s">
        <v>72</v>
      </c>
      <c r="D349" s="54" t="s">
        <v>374</v>
      </c>
      <c r="E349" s="78"/>
      <c r="F349" s="52">
        <f>F350</f>
        <v>3000</v>
      </c>
      <c r="G349" s="52">
        <f>G350</f>
        <v>3899</v>
      </c>
      <c r="H349" s="299">
        <f t="shared" si="89"/>
        <v>899</v>
      </c>
      <c r="I349" s="52">
        <f>I350</f>
        <v>1000</v>
      </c>
      <c r="J349" s="52">
        <f>J350</f>
        <v>5099</v>
      </c>
      <c r="K349" s="299">
        <f t="shared" si="87"/>
        <v>1200</v>
      </c>
      <c r="L349" s="52">
        <f>L350</f>
        <v>1000</v>
      </c>
      <c r="M349" s="299">
        <f t="shared" si="86"/>
        <v>0</v>
      </c>
      <c r="N349" s="52">
        <f>N350</f>
        <v>1000</v>
      </c>
      <c r="O349" s="52">
        <f>O350</f>
        <v>1000</v>
      </c>
      <c r="P349" s="299">
        <f t="shared" si="90"/>
        <v>0</v>
      </c>
    </row>
    <row r="350" spans="1:16" s="51" customFormat="1" ht="28.5" customHeight="1" x14ac:dyDescent="0.2">
      <c r="A350" s="56" t="s">
        <v>73</v>
      </c>
      <c r="B350" s="78" t="s">
        <v>59</v>
      </c>
      <c r="C350" s="78" t="s">
        <v>72</v>
      </c>
      <c r="D350" s="54" t="s">
        <v>374</v>
      </c>
      <c r="E350" s="78" t="s">
        <v>70</v>
      </c>
      <c r="F350" s="52">
        <v>3000</v>
      </c>
      <c r="G350" s="52">
        <f>3000+549+350</f>
        <v>3899</v>
      </c>
      <c r="H350" s="299">
        <f t="shared" si="89"/>
        <v>899</v>
      </c>
      <c r="I350" s="52">
        <v>1000</v>
      </c>
      <c r="J350" s="52">
        <f>3899+1200</f>
        <v>5099</v>
      </c>
      <c r="K350" s="299">
        <f t="shared" si="87"/>
        <v>1200</v>
      </c>
      <c r="L350" s="52">
        <v>1000</v>
      </c>
      <c r="M350" s="299">
        <f t="shared" si="86"/>
        <v>0</v>
      </c>
      <c r="N350" s="65">
        <v>1000</v>
      </c>
      <c r="O350" s="65">
        <v>1000</v>
      </c>
      <c r="P350" s="299">
        <f t="shared" si="90"/>
        <v>0</v>
      </c>
    </row>
    <row r="351" spans="1:16" s="51" customFormat="1" ht="27" customHeight="1" x14ac:dyDescent="0.2">
      <c r="A351" s="56" t="s">
        <v>1092</v>
      </c>
      <c r="B351" s="78" t="s">
        <v>59</v>
      </c>
      <c r="C351" s="78" t="s">
        <v>72</v>
      </c>
      <c r="D351" s="54" t="s">
        <v>1068</v>
      </c>
      <c r="E351" s="78"/>
      <c r="F351" s="52">
        <f>F352</f>
        <v>0</v>
      </c>
      <c r="G351" s="52">
        <f t="shared" ref="G351:O351" si="93">G352</f>
        <v>177.9</v>
      </c>
      <c r="H351" s="299">
        <f t="shared" si="89"/>
        <v>177.9</v>
      </c>
      <c r="I351" s="52">
        <f t="shared" si="93"/>
        <v>0</v>
      </c>
      <c r="J351" s="52">
        <f t="shared" si="93"/>
        <v>177.9</v>
      </c>
      <c r="K351" s="299">
        <f t="shared" si="87"/>
        <v>0</v>
      </c>
      <c r="L351" s="52">
        <f t="shared" si="93"/>
        <v>0</v>
      </c>
      <c r="M351" s="299">
        <f t="shared" si="86"/>
        <v>0</v>
      </c>
      <c r="N351" s="52">
        <f t="shared" si="93"/>
        <v>0</v>
      </c>
      <c r="O351" s="52">
        <f t="shared" si="93"/>
        <v>0</v>
      </c>
      <c r="P351" s="299">
        <f t="shared" si="90"/>
        <v>0</v>
      </c>
    </row>
    <row r="352" spans="1:16" s="51" customFormat="1" ht="28.5" customHeight="1" x14ac:dyDescent="0.2">
      <c r="A352" s="56" t="s">
        <v>73</v>
      </c>
      <c r="B352" s="78" t="s">
        <v>59</v>
      </c>
      <c r="C352" s="78" t="s">
        <v>72</v>
      </c>
      <c r="D352" s="54" t="s">
        <v>1068</v>
      </c>
      <c r="E352" s="78" t="s">
        <v>70</v>
      </c>
      <c r="F352" s="52">
        <v>0</v>
      </c>
      <c r="G352" s="52">
        <v>177.9</v>
      </c>
      <c r="H352" s="299">
        <f t="shared" si="89"/>
        <v>177.9</v>
      </c>
      <c r="I352" s="52">
        <v>0</v>
      </c>
      <c r="J352" s="52">
        <v>177.9</v>
      </c>
      <c r="K352" s="299">
        <f t="shared" si="87"/>
        <v>0</v>
      </c>
      <c r="L352" s="52">
        <v>0</v>
      </c>
      <c r="M352" s="299">
        <f t="shared" si="86"/>
        <v>0</v>
      </c>
      <c r="N352" s="65">
        <v>0</v>
      </c>
      <c r="O352" s="52">
        <v>0</v>
      </c>
      <c r="P352" s="299">
        <f t="shared" si="90"/>
        <v>0</v>
      </c>
    </row>
    <row r="353" spans="1:16" s="51" customFormat="1" ht="18.75" customHeight="1" x14ac:dyDescent="0.2">
      <c r="A353" s="56" t="s">
        <v>373</v>
      </c>
      <c r="B353" s="78" t="s">
        <v>59</v>
      </c>
      <c r="C353" s="78" t="s">
        <v>72</v>
      </c>
      <c r="D353" s="54" t="s">
        <v>372</v>
      </c>
      <c r="E353" s="78"/>
      <c r="F353" s="52">
        <f>F354</f>
        <v>2552.9</v>
      </c>
      <c r="G353" s="52">
        <f>G354</f>
        <v>2552.9</v>
      </c>
      <c r="H353" s="299">
        <f t="shared" si="89"/>
        <v>0</v>
      </c>
      <c r="I353" s="52">
        <f>I354</f>
        <v>3000</v>
      </c>
      <c r="J353" s="52">
        <f>J354</f>
        <v>0</v>
      </c>
      <c r="K353" s="299">
        <f t="shared" si="87"/>
        <v>-2552.9</v>
      </c>
      <c r="L353" s="52">
        <f>L354</f>
        <v>3000</v>
      </c>
      <c r="M353" s="299">
        <f t="shared" si="86"/>
        <v>0</v>
      </c>
      <c r="N353" s="52">
        <f>N354</f>
        <v>4700</v>
      </c>
      <c r="O353" s="52">
        <f>O354</f>
        <v>4700</v>
      </c>
      <c r="P353" s="299">
        <f t="shared" si="90"/>
        <v>0</v>
      </c>
    </row>
    <row r="354" spans="1:16" s="51" customFormat="1" ht="28.5" customHeight="1" x14ac:dyDescent="0.2">
      <c r="A354" s="69" t="s">
        <v>371</v>
      </c>
      <c r="B354" s="78" t="s">
        <v>59</v>
      </c>
      <c r="C354" s="78" t="s">
        <v>72</v>
      </c>
      <c r="D354" s="54" t="s">
        <v>369</v>
      </c>
      <c r="E354" s="60"/>
      <c r="F354" s="52">
        <f>F355</f>
        <v>2552.9</v>
      </c>
      <c r="G354" s="52">
        <f>G355</f>
        <v>2552.9</v>
      </c>
      <c r="H354" s="299">
        <f t="shared" si="89"/>
        <v>0</v>
      </c>
      <c r="I354" s="52">
        <f>I355</f>
        <v>3000</v>
      </c>
      <c r="J354" s="52">
        <f>J355</f>
        <v>0</v>
      </c>
      <c r="K354" s="299">
        <f t="shared" si="87"/>
        <v>-2552.9</v>
      </c>
      <c r="L354" s="52">
        <f>L355</f>
        <v>3000</v>
      </c>
      <c r="M354" s="299">
        <f t="shared" si="86"/>
        <v>0</v>
      </c>
      <c r="N354" s="52">
        <f>N355</f>
        <v>4700</v>
      </c>
      <c r="O354" s="52">
        <f>O355</f>
        <v>4700</v>
      </c>
      <c r="P354" s="299">
        <f t="shared" si="90"/>
        <v>0</v>
      </c>
    </row>
    <row r="355" spans="1:16" s="51" customFormat="1" ht="40.5" customHeight="1" x14ac:dyDescent="0.2">
      <c r="A355" s="126" t="s">
        <v>370</v>
      </c>
      <c r="B355" s="78" t="s">
        <v>59</v>
      </c>
      <c r="C355" s="78" t="s">
        <v>72</v>
      </c>
      <c r="D355" s="54" t="s">
        <v>369</v>
      </c>
      <c r="E355" s="60" t="s">
        <v>368</v>
      </c>
      <c r="F355" s="52">
        <f>5000-2447.1</f>
        <v>2552.9</v>
      </c>
      <c r="G355" s="52">
        <f>5000-2447.1</f>
        <v>2552.9</v>
      </c>
      <c r="H355" s="299">
        <f t="shared" si="89"/>
        <v>0</v>
      </c>
      <c r="I355" s="52">
        <f>5000-2000</f>
        <v>3000</v>
      </c>
      <c r="J355" s="52">
        <f>2552.9-1200-1200-152.9</f>
        <v>0</v>
      </c>
      <c r="K355" s="299">
        <f t="shared" si="87"/>
        <v>-2552.9</v>
      </c>
      <c r="L355" s="52">
        <f>5000-2000</f>
        <v>3000</v>
      </c>
      <c r="M355" s="299">
        <f t="shared" si="86"/>
        <v>0</v>
      </c>
      <c r="N355" s="65">
        <f>5000-300</f>
        <v>4700</v>
      </c>
      <c r="O355" s="65">
        <f>5000-300</f>
        <v>4700</v>
      </c>
      <c r="P355" s="299">
        <f t="shared" si="90"/>
        <v>0</v>
      </c>
    </row>
    <row r="356" spans="1:16" s="51" customFormat="1" ht="15.75" customHeight="1" x14ac:dyDescent="0.2">
      <c r="A356" s="56" t="s">
        <v>52</v>
      </c>
      <c r="B356" s="78" t="s">
        <v>59</v>
      </c>
      <c r="C356" s="78" t="s">
        <v>72</v>
      </c>
      <c r="D356" s="54" t="s">
        <v>307</v>
      </c>
      <c r="E356" s="60"/>
      <c r="F356" s="52">
        <f>F357</f>
        <v>5719.2</v>
      </c>
      <c r="G356" s="52">
        <f>G357</f>
        <v>5751.2</v>
      </c>
      <c r="H356" s="299">
        <f t="shared" si="89"/>
        <v>32</v>
      </c>
      <c r="I356" s="52">
        <f>I357</f>
        <v>2815.1</v>
      </c>
      <c r="J356" s="52">
        <f>J357</f>
        <v>6531.3</v>
      </c>
      <c r="K356" s="299">
        <f t="shared" si="87"/>
        <v>780.10000000000036</v>
      </c>
      <c r="L356" s="52">
        <f>L357</f>
        <v>2815.1</v>
      </c>
      <c r="M356" s="299">
        <f t="shared" si="86"/>
        <v>0</v>
      </c>
      <c r="N356" s="52">
        <f>N357</f>
        <v>2350</v>
      </c>
      <c r="O356" s="52">
        <f>O357</f>
        <v>2350</v>
      </c>
      <c r="P356" s="299">
        <f t="shared" si="90"/>
        <v>0</v>
      </c>
    </row>
    <row r="357" spans="1:16" s="51" customFormat="1" ht="42" customHeight="1" x14ac:dyDescent="0.2">
      <c r="A357" s="56" t="s">
        <v>367</v>
      </c>
      <c r="B357" s="78" t="s">
        <v>59</v>
      </c>
      <c r="C357" s="78" t="s">
        <v>72</v>
      </c>
      <c r="D357" s="54" t="s">
        <v>366</v>
      </c>
      <c r="E357" s="60"/>
      <c r="F357" s="52">
        <f>F358+F361+F363</f>
        <v>5719.2</v>
      </c>
      <c r="G357" s="52">
        <f>G358+G361+G363</f>
        <v>5751.2</v>
      </c>
      <c r="H357" s="299">
        <f t="shared" si="89"/>
        <v>32</v>
      </c>
      <c r="I357" s="52">
        <f>I358+I361+I363</f>
        <v>2815.1</v>
      </c>
      <c r="J357" s="52">
        <f>J358+J361+J363</f>
        <v>6531.3</v>
      </c>
      <c r="K357" s="299">
        <f t="shared" si="87"/>
        <v>780.10000000000036</v>
      </c>
      <c r="L357" s="52">
        <f>L358+L361+L363</f>
        <v>2815.1</v>
      </c>
      <c r="M357" s="299">
        <f t="shared" si="86"/>
        <v>0</v>
      </c>
      <c r="N357" s="52">
        <f>N358+N361+N363</f>
        <v>2350</v>
      </c>
      <c r="O357" s="52">
        <f>O358+O361+O363</f>
        <v>2350</v>
      </c>
      <c r="P357" s="299">
        <f t="shared" si="90"/>
        <v>0</v>
      </c>
    </row>
    <row r="358" spans="1:16" s="51" customFormat="1" ht="28.5" customHeight="1" x14ac:dyDescent="0.2">
      <c r="A358" s="56" t="s">
        <v>365</v>
      </c>
      <c r="B358" s="78" t="s">
        <v>59</v>
      </c>
      <c r="C358" s="78" t="s">
        <v>72</v>
      </c>
      <c r="D358" s="54" t="s">
        <v>363</v>
      </c>
      <c r="E358" s="78"/>
      <c r="F358" s="52">
        <f>F359+F360</f>
        <v>3369.2</v>
      </c>
      <c r="G358" s="52">
        <f>G359+G360</f>
        <v>3401.2</v>
      </c>
      <c r="H358" s="299">
        <f t="shared" si="89"/>
        <v>32</v>
      </c>
      <c r="I358" s="52">
        <f>I359+I360</f>
        <v>2815.1</v>
      </c>
      <c r="J358" s="52">
        <f>J359+J360</f>
        <v>4181.3</v>
      </c>
      <c r="K358" s="299">
        <f t="shared" si="87"/>
        <v>780.10000000000036</v>
      </c>
      <c r="L358" s="52">
        <f>L359+L360</f>
        <v>2815.1</v>
      </c>
      <c r="M358" s="299">
        <f t="shared" si="86"/>
        <v>0</v>
      </c>
      <c r="N358" s="52">
        <f>N359+N360</f>
        <v>2350</v>
      </c>
      <c r="O358" s="52">
        <f>O359+O360</f>
        <v>2350</v>
      </c>
      <c r="P358" s="299">
        <f t="shared" si="90"/>
        <v>0</v>
      </c>
    </row>
    <row r="359" spans="1:16" s="51" customFormat="1" ht="30" customHeight="1" x14ac:dyDescent="0.2">
      <c r="A359" s="56" t="s">
        <v>73</v>
      </c>
      <c r="B359" s="78" t="s">
        <v>59</v>
      </c>
      <c r="C359" s="78" t="s">
        <v>72</v>
      </c>
      <c r="D359" s="54" t="s">
        <v>363</v>
      </c>
      <c r="E359" s="78" t="s">
        <v>70</v>
      </c>
      <c r="F359" s="52">
        <f>1404.1+1500</f>
        <v>2904.1</v>
      </c>
      <c r="G359" s="52">
        <f>2904.1+32</f>
        <v>2936.1</v>
      </c>
      <c r="H359" s="299">
        <f t="shared" si="89"/>
        <v>32</v>
      </c>
      <c r="I359" s="52">
        <f>1500+465.1+850</f>
        <v>2815.1</v>
      </c>
      <c r="J359" s="52">
        <f>2936.1+468</f>
        <v>3404.1</v>
      </c>
      <c r="K359" s="299">
        <f t="shared" si="87"/>
        <v>468</v>
      </c>
      <c r="L359" s="52">
        <f>1500+465.1+850</f>
        <v>2815.1</v>
      </c>
      <c r="M359" s="299">
        <f t="shared" si="86"/>
        <v>0</v>
      </c>
      <c r="N359" s="65">
        <f>1500+850</f>
        <v>2350</v>
      </c>
      <c r="O359" s="65">
        <f>1500+850</f>
        <v>2350</v>
      </c>
      <c r="P359" s="299">
        <f t="shared" si="90"/>
        <v>0</v>
      </c>
    </row>
    <row r="360" spans="1:16" s="51" customFormat="1" ht="25.5" customHeight="1" x14ac:dyDescent="0.2">
      <c r="A360" s="125" t="s">
        <v>364</v>
      </c>
      <c r="B360" s="78" t="s">
        <v>59</v>
      </c>
      <c r="C360" s="78" t="s">
        <v>72</v>
      </c>
      <c r="D360" s="54" t="s">
        <v>363</v>
      </c>
      <c r="E360" s="60" t="s">
        <v>362</v>
      </c>
      <c r="F360" s="52">
        <v>465.1</v>
      </c>
      <c r="G360" s="52">
        <v>465.1</v>
      </c>
      <c r="H360" s="299">
        <f t="shared" si="89"/>
        <v>0</v>
      </c>
      <c r="I360" s="52">
        <v>0</v>
      </c>
      <c r="J360" s="52">
        <f>465.1+155.1+157</f>
        <v>777.2</v>
      </c>
      <c r="K360" s="299">
        <f t="shared" si="87"/>
        <v>312.10000000000002</v>
      </c>
      <c r="L360" s="52">
        <v>0</v>
      </c>
      <c r="M360" s="299">
        <f t="shared" si="86"/>
        <v>0</v>
      </c>
      <c r="N360" s="65">
        <v>0</v>
      </c>
      <c r="O360" s="65">
        <v>0</v>
      </c>
      <c r="P360" s="299">
        <f t="shared" si="90"/>
        <v>0</v>
      </c>
    </row>
    <row r="361" spans="1:16" s="51" customFormat="1" ht="28.5" customHeight="1" x14ac:dyDescent="0.2">
      <c r="A361" s="56" t="s">
        <v>361</v>
      </c>
      <c r="B361" s="78" t="s">
        <v>59</v>
      </c>
      <c r="C361" s="78" t="s">
        <v>72</v>
      </c>
      <c r="D361" s="54" t="s">
        <v>360</v>
      </c>
      <c r="E361" s="78"/>
      <c r="F361" s="52">
        <f>F362</f>
        <v>2000</v>
      </c>
      <c r="G361" s="52">
        <f>G362</f>
        <v>2000</v>
      </c>
      <c r="H361" s="299">
        <f t="shared" si="89"/>
        <v>0</v>
      </c>
      <c r="I361" s="52">
        <f>I362</f>
        <v>0</v>
      </c>
      <c r="J361" s="52">
        <f>J362</f>
        <v>2000</v>
      </c>
      <c r="K361" s="299">
        <f t="shared" si="87"/>
        <v>0</v>
      </c>
      <c r="L361" s="52">
        <f>L362</f>
        <v>0</v>
      </c>
      <c r="M361" s="299">
        <f t="shared" si="86"/>
        <v>0</v>
      </c>
      <c r="N361" s="52">
        <f>N362</f>
        <v>0</v>
      </c>
      <c r="O361" s="52">
        <f>O362</f>
        <v>0</v>
      </c>
      <c r="P361" s="299">
        <f t="shared" si="90"/>
        <v>0</v>
      </c>
    </row>
    <row r="362" spans="1:16" s="51" customFormat="1" ht="28.5" customHeight="1" x14ac:dyDescent="0.2">
      <c r="A362" s="56" t="s">
        <v>73</v>
      </c>
      <c r="B362" s="78" t="s">
        <v>59</v>
      </c>
      <c r="C362" s="78" t="s">
        <v>72</v>
      </c>
      <c r="D362" s="54" t="s">
        <v>360</v>
      </c>
      <c r="E362" s="78" t="s">
        <v>70</v>
      </c>
      <c r="F362" s="52">
        <f>4000-2000</f>
        <v>2000</v>
      </c>
      <c r="G362" s="52">
        <f>4000-2000</f>
        <v>2000</v>
      </c>
      <c r="H362" s="299">
        <f t="shared" si="89"/>
        <v>0</v>
      </c>
      <c r="I362" s="52">
        <v>0</v>
      </c>
      <c r="J362" s="52">
        <f>4000-2000</f>
        <v>2000</v>
      </c>
      <c r="K362" s="299">
        <f t="shared" si="87"/>
        <v>0</v>
      </c>
      <c r="L362" s="52">
        <v>0</v>
      </c>
      <c r="M362" s="299">
        <f t="shared" si="86"/>
        <v>0</v>
      </c>
      <c r="N362" s="52">
        <v>0</v>
      </c>
      <c r="O362" s="52">
        <v>0</v>
      </c>
      <c r="P362" s="299">
        <f t="shared" si="90"/>
        <v>0</v>
      </c>
    </row>
    <row r="363" spans="1:16" s="51" customFormat="1" ht="28.5" customHeight="1" x14ac:dyDescent="0.2">
      <c r="A363" s="124" t="s">
        <v>359</v>
      </c>
      <c r="B363" s="78" t="s">
        <v>59</v>
      </c>
      <c r="C363" s="78" t="s">
        <v>72</v>
      </c>
      <c r="D363" s="54" t="s">
        <v>358</v>
      </c>
      <c r="E363" s="60"/>
      <c r="F363" s="52">
        <f>F364</f>
        <v>350</v>
      </c>
      <c r="G363" s="52">
        <f>G364</f>
        <v>350</v>
      </c>
      <c r="H363" s="299">
        <f t="shared" si="89"/>
        <v>0</v>
      </c>
      <c r="I363" s="52">
        <f>I364</f>
        <v>0</v>
      </c>
      <c r="J363" s="52">
        <f>J364</f>
        <v>350</v>
      </c>
      <c r="K363" s="299">
        <f t="shared" si="87"/>
        <v>0</v>
      </c>
      <c r="L363" s="52">
        <f>L364</f>
        <v>0</v>
      </c>
      <c r="M363" s="299">
        <f t="shared" si="86"/>
        <v>0</v>
      </c>
      <c r="N363" s="52">
        <f>N364</f>
        <v>0</v>
      </c>
      <c r="O363" s="52">
        <f>O364</f>
        <v>0</v>
      </c>
      <c r="P363" s="299">
        <f t="shared" si="90"/>
        <v>0</v>
      </c>
    </row>
    <row r="364" spans="1:16" s="51" customFormat="1" ht="28.5" customHeight="1" x14ac:dyDescent="0.2">
      <c r="A364" s="56" t="s">
        <v>73</v>
      </c>
      <c r="B364" s="78" t="s">
        <v>59</v>
      </c>
      <c r="C364" s="78" t="s">
        <v>72</v>
      </c>
      <c r="D364" s="54" t="s">
        <v>358</v>
      </c>
      <c r="E364" s="60" t="s">
        <v>70</v>
      </c>
      <c r="F364" s="52">
        <v>350</v>
      </c>
      <c r="G364" s="52">
        <v>350</v>
      </c>
      <c r="H364" s="299">
        <f t="shared" si="89"/>
        <v>0</v>
      </c>
      <c r="I364" s="52">
        <v>0</v>
      </c>
      <c r="J364" s="52">
        <v>350</v>
      </c>
      <c r="K364" s="299">
        <f t="shared" si="87"/>
        <v>0</v>
      </c>
      <c r="L364" s="52">
        <v>0</v>
      </c>
      <c r="M364" s="299">
        <f t="shared" si="86"/>
        <v>0</v>
      </c>
      <c r="N364" s="65">
        <v>0</v>
      </c>
      <c r="O364" s="65">
        <v>0</v>
      </c>
      <c r="P364" s="299">
        <f t="shared" si="90"/>
        <v>0</v>
      </c>
    </row>
    <row r="365" spans="1:16" s="51" customFormat="1" ht="42" customHeight="1" x14ac:dyDescent="0.2">
      <c r="A365" s="64" t="s">
        <v>135</v>
      </c>
      <c r="B365" s="78" t="s">
        <v>59</v>
      </c>
      <c r="C365" s="78" t="s">
        <v>72</v>
      </c>
      <c r="D365" s="54" t="s">
        <v>134</v>
      </c>
      <c r="E365" s="53"/>
      <c r="F365" s="52">
        <f t="shared" ref="F365:G368" si="94">F366</f>
        <v>0</v>
      </c>
      <c r="G365" s="52">
        <f t="shared" si="94"/>
        <v>0</v>
      </c>
      <c r="H365" s="299">
        <f t="shared" si="89"/>
        <v>0</v>
      </c>
      <c r="I365" s="52">
        <f t="shared" ref="I365:L368" si="95">I366</f>
        <v>100</v>
      </c>
      <c r="J365" s="52">
        <f t="shared" si="95"/>
        <v>0</v>
      </c>
      <c r="K365" s="299">
        <f t="shared" si="87"/>
        <v>0</v>
      </c>
      <c r="L365" s="52">
        <f t="shared" si="95"/>
        <v>100</v>
      </c>
      <c r="M365" s="299">
        <f t="shared" si="86"/>
        <v>0</v>
      </c>
      <c r="N365" s="52">
        <f t="shared" ref="N365:O368" si="96">N366</f>
        <v>400</v>
      </c>
      <c r="O365" s="52">
        <f t="shared" si="96"/>
        <v>400</v>
      </c>
      <c r="P365" s="299">
        <f t="shared" si="90"/>
        <v>0</v>
      </c>
    </row>
    <row r="366" spans="1:16" s="51" customFormat="1" ht="18" customHeight="1" x14ac:dyDescent="0.2">
      <c r="A366" s="56" t="s">
        <v>52</v>
      </c>
      <c r="B366" s="78" t="s">
        <v>59</v>
      </c>
      <c r="C366" s="78" t="s">
        <v>72</v>
      </c>
      <c r="D366" s="54" t="s">
        <v>133</v>
      </c>
      <c r="E366" s="53"/>
      <c r="F366" s="52">
        <f t="shared" si="94"/>
        <v>0</v>
      </c>
      <c r="G366" s="52">
        <f t="shared" si="94"/>
        <v>0</v>
      </c>
      <c r="H366" s="299">
        <f t="shared" si="89"/>
        <v>0</v>
      </c>
      <c r="I366" s="52">
        <f t="shared" si="95"/>
        <v>100</v>
      </c>
      <c r="J366" s="52">
        <f t="shared" si="95"/>
        <v>0</v>
      </c>
      <c r="K366" s="299">
        <f t="shared" si="87"/>
        <v>0</v>
      </c>
      <c r="L366" s="52">
        <f t="shared" si="95"/>
        <v>100</v>
      </c>
      <c r="M366" s="299">
        <f t="shared" si="86"/>
        <v>0</v>
      </c>
      <c r="N366" s="52">
        <f t="shared" si="96"/>
        <v>400</v>
      </c>
      <c r="O366" s="52">
        <f t="shared" si="96"/>
        <v>400</v>
      </c>
      <c r="P366" s="299">
        <f t="shared" si="90"/>
        <v>0</v>
      </c>
    </row>
    <row r="367" spans="1:16" s="51" customFormat="1" ht="38.25" customHeight="1" x14ac:dyDescent="0.2">
      <c r="A367" s="56" t="s">
        <v>357</v>
      </c>
      <c r="B367" s="78" t="s">
        <v>59</v>
      </c>
      <c r="C367" s="78" t="s">
        <v>72</v>
      </c>
      <c r="D367" s="54" t="s">
        <v>356</v>
      </c>
      <c r="E367" s="53"/>
      <c r="F367" s="52">
        <f t="shared" si="94"/>
        <v>0</v>
      </c>
      <c r="G367" s="52">
        <f t="shared" si="94"/>
        <v>0</v>
      </c>
      <c r="H367" s="299">
        <f t="shared" si="89"/>
        <v>0</v>
      </c>
      <c r="I367" s="52">
        <f t="shared" si="95"/>
        <v>100</v>
      </c>
      <c r="J367" s="52">
        <f t="shared" si="95"/>
        <v>0</v>
      </c>
      <c r="K367" s="299">
        <f t="shared" si="87"/>
        <v>0</v>
      </c>
      <c r="L367" s="52">
        <f t="shared" si="95"/>
        <v>100</v>
      </c>
      <c r="M367" s="299">
        <f t="shared" si="86"/>
        <v>0</v>
      </c>
      <c r="N367" s="52">
        <f t="shared" si="96"/>
        <v>400</v>
      </c>
      <c r="O367" s="52">
        <f t="shared" si="96"/>
        <v>400</v>
      </c>
      <c r="P367" s="299">
        <f t="shared" si="90"/>
        <v>0</v>
      </c>
    </row>
    <row r="368" spans="1:16" s="51" customFormat="1" ht="30" customHeight="1" x14ac:dyDescent="0.2">
      <c r="A368" s="123" t="s">
        <v>355</v>
      </c>
      <c r="B368" s="78" t="s">
        <v>59</v>
      </c>
      <c r="C368" s="78" t="s">
        <v>72</v>
      </c>
      <c r="D368" s="74" t="s">
        <v>354</v>
      </c>
      <c r="E368" s="53"/>
      <c r="F368" s="52">
        <f t="shared" si="94"/>
        <v>0</v>
      </c>
      <c r="G368" s="52">
        <f t="shared" si="94"/>
        <v>0</v>
      </c>
      <c r="H368" s="299">
        <f t="shared" si="89"/>
        <v>0</v>
      </c>
      <c r="I368" s="52">
        <f t="shared" si="95"/>
        <v>100</v>
      </c>
      <c r="J368" s="52">
        <f t="shared" si="95"/>
        <v>0</v>
      </c>
      <c r="K368" s="299">
        <f t="shared" si="87"/>
        <v>0</v>
      </c>
      <c r="L368" s="52">
        <f t="shared" si="95"/>
        <v>100</v>
      </c>
      <c r="M368" s="299">
        <f t="shared" si="86"/>
        <v>0</v>
      </c>
      <c r="N368" s="52">
        <f t="shared" si="96"/>
        <v>400</v>
      </c>
      <c r="O368" s="52">
        <f t="shared" si="96"/>
        <v>400</v>
      </c>
      <c r="P368" s="299">
        <f t="shared" si="90"/>
        <v>0</v>
      </c>
    </row>
    <row r="369" spans="1:16" s="51" customFormat="1" ht="25.5" customHeight="1" x14ac:dyDescent="0.2">
      <c r="A369" s="76" t="s">
        <v>73</v>
      </c>
      <c r="B369" s="78" t="s">
        <v>59</v>
      </c>
      <c r="C369" s="78" t="s">
        <v>72</v>
      </c>
      <c r="D369" s="74" t="s">
        <v>354</v>
      </c>
      <c r="E369" s="53" t="s">
        <v>70</v>
      </c>
      <c r="F369" s="52">
        <f>1898.9-1898.9</f>
        <v>0</v>
      </c>
      <c r="G369" s="52">
        <f>1898.9-1898.9</f>
        <v>0</v>
      </c>
      <c r="H369" s="299">
        <f t="shared" si="89"/>
        <v>0</v>
      </c>
      <c r="I369" s="52">
        <v>100</v>
      </c>
      <c r="J369" s="52">
        <f>1898.9-1898.9</f>
        <v>0</v>
      </c>
      <c r="K369" s="299">
        <f t="shared" si="87"/>
        <v>0</v>
      </c>
      <c r="L369" s="52">
        <v>100</v>
      </c>
      <c r="M369" s="299">
        <f t="shared" si="86"/>
        <v>0</v>
      </c>
      <c r="N369" s="65">
        <v>400</v>
      </c>
      <c r="O369" s="65">
        <v>400</v>
      </c>
      <c r="P369" s="299">
        <f t="shared" si="90"/>
        <v>0</v>
      </c>
    </row>
    <row r="370" spans="1:16" s="47" customFormat="1" ht="12.75" customHeight="1" x14ac:dyDescent="0.2">
      <c r="A370" s="50" t="s">
        <v>353</v>
      </c>
      <c r="B370" s="71" t="s">
        <v>59</v>
      </c>
      <c r="C370" s="71" t="s">
        <v>111</v>
      </c>
      <c r="D370" s="49"/>
      <c r="E370" s="71"/>
      <c r="F370" s="44">
        <f>F371+F413+F420</f>
        <v>34618.199999999997</v>
      </c>
      <c r="G370" s="44">
        <f>G371+G413+G420</f>
        <v>42453.1</v>
      </c>
      <c r="H370" s="299">
        <f t="shared" si="89"/>
        <v>7834.9000000000015</v>
      </c>
      <c r="I370" s="44">
        <f>I371+I413+I420</f>
        <v>25741.9</v>
      </c>
      <c r="J370" s="44">
        <f>J371+J413+J420</f>
        <v>47587.299999999996</v>
      </c>
      <c r="K370" s="299">
        <f t="shared" si="87"/>
        <v>5134.1999999999971</v>
      </c>
      <c r="L370" s="44">
        <f>L371+L413+L420</f>
        <v>25741.9</v>
      </c>
      <c r="M370" s="299">
        <f t="shared" si="86"/>
        <v>0</v>
      </c>
      <c r="N370" s="44">
        <f>N371+N413+N420</f>
        <v>25672.2</v>
      </c>
      <c r="O370" s="44">
        <f>O371+O413+O420</f>
        <v>25672.2</v>
      </c>
      <c r="P370" s="299">
        <f t="shared" si="90"/>
        <v>0</v>
      </c>
    </row>
    <row r="371" spans="1:16" s="51" customFormat="1" ht="26.25" customHeight="1" x14ac:dyDescent="0.2">
      <c r="A371" s="56" t="s">
        <v>352</v>
      </c>
      <c r="B371" s="78" t="s">
        <v>59</v>
      </c>
      <c r="C371" s="78" t="s">
        <v>111</v>
      </c>
      <c r="D371" s="54" t="s">
        <v>351</v>
      </c>
      <c r="E371" s="78"/>
      <c r="F371" s="52">
        <f>F378+F400+F372</f>
        <v>25691.1</v>
      </c>
      <c r="G371" s="52">
        <f>G378+G400+G372</f>
        <v>33326</v>
      </c>
      <c r="H371" s="299">
        <f t="shared" si="89"/>
        <v>7634.9000000000015</v>
      </c>
      <c r="I371" s="52">
        <f>I378+I400+I372</f>
        <v>14814.8</v>
      </c>
      <c r="J371" s="52">
        <f>J378+J400+J372</f>
        <v>36362.699999999997</v>
      </c>
      <c r="K371" s="299">
        <f t="shared" si="87"/>
        <v>3036.6999999999971</v>
      </c>
      <c r="L371" s="52">
        <f>L378+L400+L372</f>
        <v>14814.8</v>
      </c>
      <c r="M371" s="299">
        <f t="shared" si="86"/>
        <v>0</v>
      </c>
      <c r="N371" s="52">
        <f>N378+N400+N372</f>
        <v>13934.2</v>
      </c>
      <c r="O371" s="52">
        <f>O378+O400+O372</f>
        <v>13934.2</v>
      </c>
      <c r="P371" s="299">
        <f t="shared" si="90"/>
        <v>0</v>
      </c>
    </row>
    <row r="372" spans="1:16" s="51" customFormat="1" ht="15" customHeight="1" x14ac:dyDescent="0.2">
      <c r="A372" s="122" t="s">
        <v>270</v>
      </c>
      <c r="B372" s="78" t="s">
        <v>59</v>
      </c>
      <c r="C372" s="78" t="s">
        <v>111</v>
      </c>
      <c r="D372" s="54" t="s">
        <v>350</v>
      </c>
      <c r="E372" s="60"/>
      <c r="F372" s="52">
        <f>F373</f>
        <v>3152</v>
      </c>
      <c r="G372" s="52">
        <f>G373</f>
        <v>3152</v>
      </c>
      <c r="H372" s="299">
        <f t="shared" si="89"/>
        <v>0</v>
      </c>
      <c r="I372" s="52">
        <f>I373</f>
        <v>1384</v>
      </c>
      <c r="J372" s="52">
        <f>J373</f>
        <v>3152</v>
      </c>
      <c r="K372" s="299">
        <f t="shared" si="87"/>
        <v>0</v>
      </c>
      <c r="L372" s="52">
        <f>L373</f>
        <v>1384</v>
      </c>
      <c r="M372" s="299">
        <f t="shared" si="86"/>
        <v>0</v>
      </c>
      <c r="N372" s="52">
        <f>N373</f>
        <v>1328.8000000000002</v>
      </c>
      <c r="O372" s="52">
        <f>O373</f>
        <v>1328.8000000000002</v>
      </c>
      <c r="P372" s="299">
        <f t="shared" si="90"/>
        <v>0</v>
      </c>
    </row>
    <row r="373" spans="1:16" s="51" customFormat="1" ht="15" customHeight="1" x14ac:dyDescent="0.2">
      <c r="A373" s="122" t="s">
        <v>349</v>
      </c>
      <c r="B373" s="78" t="s">
        <v>59</v>
      </c>
      <c r="C373" s="78" t="s">
        <v>111</v>
      </c>
      <c r="D373" s="54" t="s">
        <v>348</v>
      </c>
      <c r="E373" s="60"/>
      <c r="F373" s="52">
        <f>F374+F376</f>
        <v>3152</v>
      </c>
      <c r="G373" s="52">
        <f>G374+G376</f>
        <v>3152</v>
      </c>
      <c r="H373" s="299">
        <f t="shared" si="89"/>
        <v>0</v>
      </c>
      <c r="I373" s="52">
        <f>I374+I376</f>
        <v>1384</v>
      </c>
      <c r="J373" s="52">
        <f>J374+J376</f>
        <v>3152</v>
      </c>
      <c r="K373" s="299">
        <f t="shared" si="87"/>
        <v>0</v>
      </c>
      <c r="L373" s="52">
        <f>L374+L376</f>
        <v>1384</v>
      </c>
      <c r="M373" s="299">
        <f t="shared" si="86"/>
        <v>0</v>
      </c>
      <c r="N373" s="52">
        <f>N374+N376</f>
        <v>1328.8000000000002</v>
      </c>
      <c r="O373" s="52">
        <f>O374+O376</f>
        <v>1328.8000000000002</v>
      </c>
      <c r="P373" s="299">
        <f t="shared" si="90"/>
        <v>0</v>
      </c>
    </row>
    <row r="374" spans="1:16" s="51" customFormat="1" ht="24" customHeight="1" x14ac:dyDescent="0.2">
      <c r="A374" s="121" t="s">
        <v>347</v>
      </c>
      <c r="B374" s="78" t="s">
        <v>59</v>
      </c>
      <c r="C374" s="78" t="s">
        <v>111</v>
      </c>
      <c r="D374" s="54" t="s">
        <v>346</v>
      </c>
      <c r="E374" s="60"/>
      <c r="F374" s="52">
        <f>F375</f>
        <v>1440.3</v>
      </c>
      <c r="G374" s="52">
        <f>G375</f>
        <v>1440.3</v>
      </c>
      <c r="H374" s="299">
        <f t="shared" si="89"/>
        <v>0</v>
      </c>
      <c r="I374" s="52">
        <f>I375</f>
        <v>1384</v>
      </c>
      <c r="J374" s="52">
        <f>J375</f>
        <v>1440.3</v>
      </c>
      <c r="K374" s="299">
        <f t="shared" si="87"/>
        <v>0</v>
      </c>
      <c r="L374" s="52">
        <f>L375</f>
        <v>1384</v>
      </c>
      <c r="M374" s="299">
        <f t="shared" si="86"/>
        <v>0</v>
      </c>
      <c r="N374" s="52">
        <f>N375</f>
        <v>1328.8000000000002</v>
      </c>
      <c r="O374" s="52">
        <f>O375</f>
        <v>1328.8000000000002</v>
      </c>
      <c r="P374" s="299">
        <f t="shared" si="90"/>
        <v>0</v>
      </c>
    </row>
    <row r="375" spans="1:16" s="51" customFormat="1" ht="26.25" customHeight="1" x14ac:dyDescent="0.2">
      <c r="A375" s="56" t="s">
        <v>73</v>
      </c>
      <c r="B375" s="78" t="s">
        <v>59</v>
      </c>
      <c r="C375" s="78" t="s">
        <v>111</v>
      </c>
      <c r="D375" s="54" t="s">
        <v>346</v>
      </c>
      <c r="E375" s="60" t="s">
        <v>70</v>
      </c>
      <c r="F375" s="52">
        <f>1296.3+144</f>
        <v>1440.3</v>
      </c>
      <c r="G375" s="52">
        <f>1296.3+144</f>
        <v>1440.3</v>
      </c>
      <c r="H375" s="299">
        <f t="shared" si="89"/>
        <v>0</v>
      </c>
      <c r="I375" s="52">
        <f>1245.6+138.4</f>
        <v>1384</v>
      </c>
      <c r="J375" s="52">
        <f>1296.3+144</f>
        <v>1440.3</v>
      </c>
      <c r="K375" s="299">
        <f t="shared" si="87"/>
        <v>0</v>
      </c>
      <c r="L375" s="52">
        <f>1245.6+138.4</f>
        <v>1384</v>
      </c>
      <c r="M375" s="299">
        <f t="shared" si="86"/>
        <v>0</v>
      </c>
      <c r="N375" s="65">
        <f>1195.9+132.9</f>
        <v>1328.8000000000002</v>
      </c>
      <c r="O375" s="65">
        <f>1195.9+132.9</f>
        <v>1328.8000000000002</v>
      </c>
      <c r="P375" s="299">
        <f t="shared" si="90"/>
        <v>0</v>
      </c>
    </row>
    <row r="376" spans="1:16" s="51" customFormat="1" ht="26.25" customHeight="1" x14ac:dyDescent="0.2">
      <c r="A376" s="64" t="s">
        <v>345</v>
      </c>
      <c r="B376" s="78" t="s">
        <v>59</v>
      </c>
      <c r="C376" s="78" t="s">
        <v>111</v>
      </c>
      <c r="D376" s="54" t="s">
        <v>344</v>
      </c>
      <c r="E376" s="60"/>
      <c r="F376" s="52">
        <f>F377</f>
        <v>1711.7</v>
      </c>
      <c r="G376" s="52">
        <f>G377</f>
        <v>1711.7</v>
      </c>
      <c r="H376" s="299">
        <f t="shared" si="89"/>
        <v>0</v>
      </c>
      <c r="I376" s="52">
        <f>I377</f>
        <v>0</v>
      </c>
      <c r="J376" s="52">
        <f>J377</f>
        <v>1711.7</v>
      </c>
      <c r="K376" s="299">
        <f t="shared" si="87"/>
        <v>0</v>
      </c>
      <c r="L376" s="52">
        <f>L377</f>
        <v>0</v>
      </c>
      <c r="M376" s="299">
        <f t="shared" si="86"/>
        <v>0</v>
      </c>
      <c r="N376" s="52">
        <f>N377</f>
        <v>0</v>
      </c>
      <c r="O376" s="52">
        <f>O377</f>
        <v>0</v>
      </c>
      <c r="P376" s="299">
        <f t="shared" si="90"/>
        <v>0</v>
      </c>
    </row>
    <row r="377" spans="1:16" s="51" customFormat="1" ht="26.25" customHeight="1" x14ac:dyDescent="0.2">
      <c r="A377" s="56" t="s">
        <v>73</v>
      </c>
      <c r="B377" s="78" t="s">
        <v>59</v>
      </c>
      <c r="C377" s="78" t="s">
        <v>111</v>
      </c>
      <c r="D377" s="54" t="s">
        <v>344</v>
      </c>
      <c r="E377" s="60" t="s">
        <v>70</v>
      </c>
      <c r="F377" s="52">
        <f>1540.5+171.2</f>
        <v>1711.7</v>
      </c>
      <c r="G377" s="52">
        <f>1540.5+171.2</f>
        <v>1711.7</v>
      </c>
      <c r="H377" s="299">
        <f t="shared" si="89"/>
        <v>0</v>
      </c>
      <c r="I377" s="52">
        <v>0</v>
      </c>
      <c r="J377" s="52">
        <f>1540.5+171.2</f>
        <v>1711.7</v>
      </c>
      <c r="K377" s="299">
        <f t="shared" si="87"/>
        <v>0</v>
      </c>
      <c r="L377" s="52">
        <v>0</v>
      </c>
      <c r="M377" s="299">
        <f t="shared" si="86"/>
        <v>0</v>
      </c>
      <c r="N377" s="65">
        <v>0</v>
      </c>
      <c r="O377" s="65">
        <v>0</v>
      </c>
      <c r="P377" s="299">
        <f t="shared" si="90"/>
        <v>0</v>
      </c>
    </row>
    <row r="378" spans="1:16" s="51" customFormat="1" ht="12.75" customHeight="1" x14ac:dyDescent="0.2">
      <c r="A378" s="64" t="s">
        <v>66</v>
      </c>
      <c r="B378" s="78" t="s">
        <v>59</v>
      </c>
      <c r="C378" s="78" t="s">
        <v>111</v>
      </c>
      <c r="D378" s="54" t="s">
        <v>343</v>
      </c>
      <c r="E378" s="60"/>
      <c r="F378" s="52">
        <f>F379+F384+F387</f>
        <v>11557.8</v>
      </c>
      <c r="G378" s="52">
        <f>G379+G384+G387</f>
        <v>19192.699999999997</v>
      </c>
      <c r="H378" s="299">
        <f t="shared" si="89"/>
        <v>7634.8999999999978</v>
      </c>
      <c r="I378" s="52">
        <f>I379+I384+I387+I380</f>
        <v>2587.9</v>
      </c>
      <c r="J378" s="52">
        <f>J379+J384+J387</f>
        <v>22029.399999999998</v>
      </c>
      <c r="K378" s="299">
        <f t="shared" si="87"/>
        <v>2836.7000000000007</v>
      </c>
      <c r="L378" s="52">
        <f>L379+L384+L387+L380</f>
        <v>2587.9</v>
      </c>
      <c r="M378" s="299">
        <f t="shared" si="86"/>
        <v>0</v>
      </c>
      <c r="N378" s="52">
        <f>N379+N384+N387+N380</f>
        <v>1725.3</v>
      </c>
      <c r="O378" s="52">
        <f>O379+O384+O387+O380</f>
        <v>1725.3</v>
      </c>
      <c r="P378" s="299">
        <f t="shared" si="90"/>
        <v>0</v>
      </c>
    </row>
    <row r="379" spans="1:16" s="51" customFormat="1" ht="26.25" customHeight="1" x14ac:dyDescent="0.2">
      <c r="A379" s="64" t="s">
        <v>342</v>
      </c>
      <c r="B379" s="78" t="s">
        <v>59</v>
      </c>
      <c r="C379" s="78" t="s">
        <v>111</v>
      </c>
      <c r="D379" s="54" t="s">
        <v>341</v>
      </c>
      <c r="E379" s="94"/>
      <c r="F379" s="52">
        <f>F382+F380</f>
        <v>6551.9</v>
      </c>
      <c r="G379" s="52">
        <f>G382+G380</f>
        <v>6551.9</v>
      </c>
      <c r="H379" s="299">
        <f t="shared" si="89"/>
        <v>0</v>
      </c>
      <c r="I379" s="52">
        <f>I382+I380</f>
        <v>0</v>
      </c>
      <c r="J379" s="52">
        <f>J382+J380</f>
        <v>6551.9</v>
      </c>
      <c r="K379" s="299">
        <f t="shared" si="87"/>
        <v>0</v>
      </c>
      <c r="L379" s="52">
        <f>L382+L380</f>
        <v>0</v>
      </c>
      <c r="M379" s="299">
        <f t="shared" si="86"/>
        <v>0</v>
      </c>
      <c r="N379" s="52">
        <f>N382+N380</f>
        <v>0</v>
      </c>
      <c r="O379" s="52">
        <f>O382+O380</f>
        <v>0</v>
      </c>
      <c r="P379" s="299">
        <f t="shared" si="90"/>
        <v>0</v>
      </c>
    </row>
    <row r="380" spans="1:16" s="51" customFormat="1" ht="26.25" customHeight="1" x14ac:dyDescent="0.2">
      <c r="A380" s="64" t="s">
        <v>340</v>
      </c>
      <c r="B380" s="53" t="s">
        <v>59</v>
      </c>
      <c r="C380" s="53" t="s">
        <v>111</v>
      </c>
      <c r="D380" s="54" t="s">
        <v>339</v>
      </c>
      <c r="E380" s="53"/>
      <c r="F380" s="52">
        <f>F381</f>
        <v>3286.2999999999997</v>
      </c>
      <c r="G380" s="52">
        <f>G381</f>
        <v>3286.2999999999997</v>
      </c>
      <c r="H380" s="299">
        <f t="shared" si="89"/>
        <v>0</v>
      </c>
      <c r="I380" s="52">
        <f>I381</f>
        <v>0</v>
      </c>
      <c r="J380" s="52">
        <f>J381</f>
        <v>3286.2999999999997</v>
      </c>
      <c r="K380" s="299">
        <f t="shared" si="87"/>
        <v>0</v>
      </c>
      <c r="L380" s="52">
        <f>L381</f>
        <v>0</v>
      </c>
      <c r="M380" s="299">
        <f t="shared" si="86"/>
        <v>0</v>
      </c>
      <c r="N380" s="52">
        <f>N381</f>
        <v>0</v>
      </c>
      <c r="O380" s="52">
        <f>O381</f>
        <v>0</v>
      </c>
      <c r="P380" s="299">
        <f t="shared" si="90"/>
        <v>0</v>
      </c>
    </row>
    <row r="381" spans="1:16" s="51" customFormat="1" ht="26.25" customHeight="1" x14ac:dyDescent="0.2">
      <c r="A381" s="56" t="s">
        <v>73</v>
      </c>
      <c r="B381" s="53" t="s">
        <v>59</v>
      </c>
      <c r="C381" s="53" t="s">
        <v>111</v>
      </c>
      <c r="D381" s="54" t="s">
        <v>339</v>
      </c>
      <c r="E381" s="53" t="s">
        <v>70</v>
      </c>
      <c r="F381" s="52">
        <f>3889-931.3+328.6</f>
        <v>3286.2999999999997</v>
      </c>
      <c r="G381" s="52">
        <f>3889-931.3+328.6</f>
        <v>3286.2999999999997</v>
      </c>
      <c r="H381" s="299">
        <f t="shared" si="89"/>
        <v>0</v>
      </c>
      <c r="I381" s="52">
        <v>0</v>
      </c>
      <c r="J381" s="52">
        <f>3889-931.3+328.6</f>
        <v>3286.2999999999997</v>
      </c>
      <c r="K381" s="299">
        <f t="shared" si="87"/>
        <v>0</v>
      </c>
      <c r="L381" s="52">
        <v>0</v>
      </c>
      <c r="M381" s="299">
        <f t="shared" si="86"/>
        <v>0</v>
      </c>
      <c r="N381" s="65">
        <v>0</v>
      </c>
      <c r="O381" s="65">
        <v>0</v>
      </c>
      <c r="P381" s="299">
        <f t="shared" si="90"/>
        <v>0</v>
      </c>
    </row>
    <row r="382" spans="1:16" s="51" customFormat="1" ht="17.25" customHeight="1" x14ac:dyDescent="0.2">
      <c r="A382" s="64" t="s">
        <v>338</v>
      </c>
      <c r="B382" s="78" t="s">
        <v>59</v>
      </c>
      <c r="C382" s="78" t="s">
        <v>111</v>
      </c>
      <c r="D382" s="54" t="s">
        <v>337</v>
      </c>
      <c r="E382" s="60"/>
      <c r="F382" s="52">
        <f>F383</f>
        <v>3265.6000000000004</v>
      </c>
      <c r="G382" s="52">
        <f>G383</f>
        <v>3265.6000000000004</v>
      </c>
      <c r="H382" s="299">
        <f t="shared" si="89"/>
        <v>0</v>
      </c>
      <c r="I382" s="52">
        <f>I383</f>
        <v>0</v>
      </c>
      <c r="J382" s="52">
        <f>J383</f>
        <v>3265.6000000000004</v>
      </c>
      <c r="K382" s="299">
        <f t="shared" si="87"/>
        <v>0</v>
      </c>
      <c r="L382" s="52">
        <f>L383</f>
        <v>0</v>
      </c>
      <c r="M382" s="299">
        <f t="shared" si="86"/>
        <v>0</v>
      </c>
      <c r="N382" s="52">
        <f>N383</f>
        <v>0</v>
      </c>
      <c r="O382" s="52">
        <f>O383</f>
        <v>0</v>
      </c>
      <c r="P382" s="299">
        <f t="shared" si="90"/>
        <v>0</v>
      </c>
    </row>
    <row r="383" spans="1:16" s="51" customFormat="1" ht="29.25" customHeight="1" x14ac:dyDescent="0.2">
      <c r="A383" s="56" t="s">
        <v>73</v>
      </c>
      <c r="B383" s="78" t="s">
        <v>59</v>
      </c>
      <c r="C383" s="78" t="s">
        <v>111</v>
      </c>
      <c r="D383" s="54" t="s">
        <v>337</v>
      </c>
      <c r="E383" s="60" t="s">
        <v>70</v>
      </c>
      <c r="F383" s="52">
        <f>745+82.8+2194+243.8</f>
        <v>3265.6000000000004</v>
      </c>
      <c r="G383" s="52">
        <f>745+82.8+2194+243.8</f>
        <v>3265.6000000000004</v>
      </c>
      <c r="H383" s="299">
        <f t="shared" si="89"/>
        <v>0</v>
      </c>
      <c r="I383" s="52">
        <v>0</v>
      </c>
      <c r="J383" s="52">
        <f>745+82.8+2194+243.8</f>
        <v>3265.6000000000004</v>
      </c>
      <c r="K383" s="299">
        <f t="shared" si="87"/>
        <v>0</v>
      </c>
      <c r="L383" s="52">
        <v>0</v>
      </c>
      <c r="M383" s="299">
        <f t="shared" si="86"/>
        <v>0</v>
      </c>
      <c r="N383" s="52">
        <v>0</v>
      </c>
      <c r="O383" s="52">
        <v>0</v>
      </c>
      <c r="P383" s="299">
        <f t="shared" si="90"/>
        <v>0</v>
      </c>
    </row>
    <row r="384" spans="1:16" s="51" customFormat="1" ht="25.5" customHeight="1" x14ac:dyDescent="0.2">
      <c r="A384" s="93" t="s">
        <v>336</v>
      </c>
      <c r="B384" s="78" t="s">
        <v>59</v>
      </c>
      <c r="C384" s="78" t="s">
        <v>111</v>
      </c>
      <c r="D384" s="54" t="s">
        <v>335</v>
      </c>
      <c r="E384" s="60"/>
      <c r="F384" s="52">
        <f>F385</f>
        <v>4143.2</v>
      </c>
      <c r="G384" s="52">
        <f>G385</f>
        <v>4143.2</v>
      </c>
      <c r="H384" s="299">
        <f t="shared" si="89"/>
        <v>0</v>
      </c>
      <c r="I384" s="52">
        <f>I385</f>
        <v>0</v>
      </c>
      <c r="J384" s="52">
        <f>J385</f>
        <v>4143.2</v>
      </c>
      <c r="K384" s="299">
        <f t="shared" si="87"/>
        <v>0</v>
      </c>
      <c r="L384" s="52">
        <f>L385</f>
        <v>0</v>
      </c>
      <c r="M384" s="299">
        <f t="shared" si="86"/>
        <v>0</v>
      </c>
      <c r="N384" s="52">
        <f>N385</f>
        <v>0</v>
      </c>
      <c r="O384" s="52">
        <f>O385</f>
        <v>0</v>
      </c>
      <c r="P384" s="299">
        <f t="shared" si="90"/>
        <v>0</v>
      </c>
    </row>
    <row r="385" spans="1:16" s="51" customFormat="1" ht="25.5" customHeight="1" x14ac:dyDescent="0.2">
      <c r="A385" s="93" t="s">
        <v>334</v>
      </c>
      <c r="B385" s="53" t="s">
        <v>59</v>
      </c>
      <c r="C385" s="53" t="s">
        <v>111</v>
      </c>
      <c r="D385" s="54" t="s">
        <v>333</v>
      </c>
      <c r="E385" s="60"/>
      <c r="F385" s="52">
        <f>F386</f>
        <v>4143.2</v>
      </c>
      <c r="G385" s="52">
        <f>G386</f>
        <v>4143.2</v>
      </c>
      <c r="H385" s="299">
        <f t="shared" si="89"/>
        <v>0</v>
      </c>
      <c r="I385" s="52">
        <f>I386</f>
        <v>0</v>
      </c>
      <c r="J385" s="52">
        <f>J386</f>
        <v>4143.2</v>
      </c>
      <c r="K385" s="299">
        <f t="shared" si="87"/>
        <v>0</v>
      </c>
      <c r="L385" s="52">
        <f>L386</f>
        <v>0</v>
      </c>
      <c r="M385" s="299">
        <f t="shared" si="86"/>
        <v>0</v>
      </c>
      <c r="N385" s="52">
        <f>N386</f>
        <v>0</v>
      </c>
      <c r="O385" s="52">
        <f>O386</f>
        <v>0</v>
      </c>
      <c r="P385" s="299">
        <f t="shared" si="90"/>
        <v>0</v>
      </c>
    </row>
    <row r="386" spans="1:16" s="51" customFormat="1" ht="25.5" x14ac:dyDescent="0.2">
      <c r="A386" s="84" t="s">
        <v>73</v>
      </c>
      <c r="B386" s="53" t="s">
        <v>59</v>
      </c>
      <c r="C386" s="53" t="s">
        <v>111</v>
      </c>
      <c r="D386" s="54" t="s">
        <v>333</v>
      </c>
      <c r="E386" s="60" t="s">
        <v>70</v>
      </c>
      <c r="F386" s="52">
        <f>4101.8+41.4</f>
        <v>4143.2</v>
      </c>
      <c r="G386" s="52">
        <f>4101.8+41.4</f>
        <v>4143.2</v>
      </c>
      <c r="H386" s="299">
        <f t="shared" si="89"/>
        <v>0</v>
      </c>
      <c r="I386" s="52">
        <v>0</v>
      </c>
      <c r="J386" s="52">
        <f>4101.8+41.4</f>
        <v>4143.2</v>
      </c>
      <c r="K386" s="299">
        <f t="shared" si="87"/>
        <v>0</v>
      </c>
      <c r="L386" s="52">
        <v>0</v>
      </c>
      <c r="M386" s="299">
        <f t="shared" si="86"/>
        <v>0</v>
      </c>
      <c r="N386" s="52">
        <v>0</v>
      </c>
      <c r="O386" s="52">
        <v>0</v>
      </c>
      <c r="P386" s="299">
        <f t="shared" si="90"/>
        <v>0</v>
      </c>
    </row>
    <row r="387" spans="1:16" s="51" customFormat="1" ht="25.5" customHeight="1" x14ac:dyDescent="0.2">
      <c r="A387" s="64" t="s">
        <v>332</v>
      </c>
      <c r="B387" s="78" t="s">
        <v>59</v>
      </c>
      <c r="C387" s="78" t="s">
        <v>111</v>
      </c>
      <c r="D387" s="54" t="s">
        <v>331</v>
      </c>
      <c r="E387" s="94"/>
      <c r="F387" s="52">
        <f>F388+F396+F390+F392+F394</f>
        <v>862.69999999999993</v>
      </c>
      <c r="G387" s="52">
        <f>G388+G396+G390+G392+G394+G398</f>
        <v>8497.6</v>
      </c>
      <c r="H387" s="52">
        <f t="shared" ref="H387:O387" si="97">H388+H396+H390+H392+H394+H398</f>
        <v>7634.9</v>
      </c>
      <c r="I387" s="52">
        <f t="shared" si="97"/>
        <v>2587.9</v>
      </c>
      <c r="J387" s="52">
        <f t="shared" si="97"/>
        <v>11334.3</v>
      </c>
      <c r="K387" s="299">
        <f t="shared" si="87"/>
        <v>2836.6999999999989</v>
      </c>
      <c r="L387" s="52">
        <f t="shared" si="97"/>
        <v>2587.9</v>
      </c>
      <c r="M387" s="52">
        <f t="shared" si="97"/>
        <v>0</v>
      </c>
      <c r="N387" s="52">
        <f t="shared" si="97"/>
        <v>1725.3</v>
      </c>
      <c r="O387" s="52">
        <f t="shared" si="97"/>
        <v>1725.3</v>
      </c>
      <c r="P387" s="299">
        <f t="shared" si="90"/>
        <v>0</v>
      </c>
    </row>
    <row r="388" spans="1:16" s="51" customFormat="1" ht="17.25" customHeight="1" x14ac:dyDescent="0.2">
      <c r="A388" s="64" t="s">
        <v>330</v>
      </c>
      <c r="B388" s="78" t="s">
        <v>59</v>
      </c>
      <c r="C388" s="78" t="s">
        <v>111</v>
      </c>
      <c r="D388" s="54" t="s">
        <v>329</v>
      </c>
      <c r="E388" s="60"/>
      <c r="F388" s="52">
        <f>F389</f>
        <v>0</v>
      </c>
      <c r="G388" s="52">
        <f>G389</f>
        <v>3988.9</v>
      </c>
      <c r="H388" s="299">
        <f t="shared" si="89"/>
        <v>3988.9</v>
      </c>
      <c r="I388" s="52">
        <f>I389</f>
        <v>0</v>
      </c>
      <c r="J388" s="52">
        <f>J389</f>
        <v>4688.8999999999996</v>
      </c>
      <c r="K388" s="299">
        <f t="shared" si="87"/>
        <v>699.99999999999955</v>
      </c>
      <c r="L388" s="52">
        <f>L389</f>
        <v>0</v>
      </c>
      <c r="M388" s="299">
        <f t="shared" ref="M388:M397" si="98">L388-I388</f>
        <v>0</v>
      </c>
      <c r="N388" s="52">
        <f>N389</f>
        <v>0</v>
      </c>
      <c r="O388" s="52">
        <f>O389</f>
        <v>0</v>
      </c>
      <c r="P388" s="299">
        <f t="shared" si="90"/>
        <v>0</v>
      </c>
    </row>
    <row r="389" spans="1:16" s="51" customFormat="1" ht="27" customHeight="1" x14ac:dyDescent="0.2">
      <c r="A389" s="56" t="s">
        <v>73</v>
      </c>
      <c r="B389" s="78" t="s">
        <v>59</v>
      </c>
      <c r="C389" s="78" t="s">
        <v>111</v>
      </c>
      <c r="D389" s="54" t="s">
        <v>329</v>
      </c>
      <c r="E389" s="60" t="s">
        <v>70</v>
      </c>
      <c r="F389" s="52">
        <v>0</v>
      </c>
      <c r="G389" s="52">
        <f>2484.9+300+1204</f>
        <v>3988.9</v>
      </c>
      <c r="H389" s="299">
        <f t="shared" si="89"/>
        <v>3988.9</v>
      </c>
      <c r="I389" s="52">
        <v>0</v>
      </c>
      <c r="J389" s="52">
        <f>3988.9+700</f>
        <v>4688.8999999999996</v>
      </c>
      <c r="K389" s="299">
        <f t="shared" si="87"/>
        <v>699.99999999999955</v>
      </c>
      <c r="L389" s="52">
        <v>0</v>
      </c>
      <c r="M389" s="299">
        <f t="shared" si="98"/>
        <v>0</v>
      </c>
      <c r="N389" s="52">
        <v>0</v>
      </c>
      <c r="O389" s="52">
        <v>0</v>
      </c>
      <c r="P389" s="299">
        <f t="shared" si="90"/>
        <v>0</v>
      </c>
    </row>
    <row r="390" spans="1:16" s="51" customFormat="1" ht="25.5" customHeight="1" x14ac:dyDescent="0.2">
      <c r="A390" s="337" t="s">
        <v>1079</v>
      </c>
      <c r="B390" s="53" t="s">
        <v>59</v>
      </c>
      <c r="C390" s="53" t="s">
        <v>111</v>
      </c>
      <c r="D390" s="54" t="s">
        <v>1080</v>
      </c>
      <c r="E390" s="53"/>
      <c r="F390" s="52">
        <f>F391</f>
        <v>0</v>
      </c>
      <c r="G390" s="52">
        <f t="shared" ref="G390:O390" si="99">G391</f>
        <v>240</v>
      </c>
      <c r="H390" s="299">
        <f t="shared" si="89"/>
        <v>240</v>
      </c>
      <c r="I390" s="52">
        <f t="shared" si="99"/>
        <v>0</v>
      </c>
      <c r="J390" s="52">
        <f t="shared" si="99"/>
        <v>240</v>
      </c>
      <c r="K390" s="299">
        <f t="shared" si="87"/>
        <v>0</v>
      </c>
      <c r="L390" s="52">
        <f t="shared" si="99"/>
        <v>0</v>
      </c>
      <c r="M390" s="299">
        <f t="shared" si="98"/>
        <v>0</v>
      </c>
      <c r="N390" s="52">
        <f t="shared" si="99"/>
        <v>0</v>
      </c>
      <c r="O390" s="52">
        <f t="shared" si="99"/>
        <v>0</v>
      </c>
      <c r="P390" s="299">
        <f t="shared" si="90"/>
        <v>0</v>
      </c>
    </row>
    <row r="391" spans="1:16" s="51" customFormat="1" ht="25.5" customHeight="1" x14ac:dyDescent="0.2">
      <c r="A391" s="230" t="s">
        <v>73</v>
      </c>
      <c r="B391" s="53" t="s">
        <v>59</v>
      </c>
      <c r="C391" s="53" t="s">
        <v>111</v>
      </c>
      <c r="D391" s="54" t="s">
        <v>1080</v>
      </c>
      <c r="E391" s="53" t="s">
        <v>70</v>
      </c>
      <c r="F391" s="52">
        <v>0</v>
      </c>
      <c r="G391" s="52">
        <v>240</v>
      </c>
      <c r="H391" s="299">
        <f t="shared" si="89"/>
        <v>240</v>
      </c>
      <c r="I391" s="52">
        <v>0</v>
      </c>
      <c r="J391" s="52">
        <v>240</v>
      </c>
      <c r="K391" s="299">
        <f t="shared" si="87"/>
        <v>0</v>
      </c>
      <c r="L391" s="52">
        <v>0</v>
      </c>
      <c r="M391" s="299">
        <f t="shared" si="98"/>
        <v>0</v>
      </c>
      <c r="N391" s="65">
        <v>0</v>
      </c>
      <c r="O391" s="52">
        <v>0</v>
      </c>
      <c r="P391" s="299">
        <f t="shared" si="90"/>
        <v>0</v>
      </c>
    </row>
    <row r="392" spans="1:16" s="51" customFormat="1" ht="24.75" customHeight="1" x14ac:dyDescent="0.2">
      <c r="A392" s="64" t="s">
        <v>1081</v>
      </c>
      <c r="B392" s="53" t="s">
        <v>59</v>
      </c>
      <c r="C392" s="53" t="s">
        <v>111</v>
      </c>
      <c r="D392" s="54" t="s">
        <v>1082</v>
      </c>
      <c r="E392" s="53"/>
      <c r="F392" s="52">
        <f>F393</f>
        <v>0</v>
      </c>
      <c r="G392" s="52">
        <f t="shared" ref="G392:O392" si="100">G393</f>
        <v>206</v>
      </c>
      <c r="H392" s="299">
        <f t="shared" si="89"/>
        <v>206</v>
      </c>
      <c r="I392" s="52">
        <f t="shared" si="100"/>
        <v>0</v>
      </c>
      <c r="J392" s="52">
        <f t="shared" si="100"/>
        <v>206</v>
      </c>
      <c r="K392" s="299">
        <f t="shared" si="87"/>
        <v>0</v>
      </c>
      <c r="L392" s="52">
        <f t="shared" si="100"/>
        <v>0</v>
      </c>
      <c r="M392" s="299">
        <f t="shared" si="98"/>
        <v>0</v>
      </c>
      <c r="N392" s="52">
        <f t="shared" si="100"/>
        <v>0</v>
      </c>
      <c r="O392" s="52">
        <f t="shared" si="100"/>
        <v>0</v>
      </c>
      <c r="P392" s="299">
        <f t="shared" si="90"/>
        <v>0</v>
      </c>
    </row>
    <row r="393" spans="1:16" s="51" customFormat="1" ht="25.5" customHeight="1" x14ac:dyDescent="0.2">
      <c r="A393" s="121" t="s">
        <v>73</v>
      </c>
      <c r="B393" s="53" t="s">
        <v>59</v>
      </c>
      <c r="C393" s="53" t="s">
        <v>111</v>
      </c>
      <c r="D393" s="54" t="s">
        <v>1082</v>
      </c>
      <c r="E393" s="53" t="s">
        <v>70</v>
      </c>
      <c r="F393" s="52">
        <v>0</v>
      </c>
      <c r="G393" s="52">
        <v>206</v>
      </c>
      <c r="H393" s="299">
        <f t="shared" si="89"/>
        <v>206</v>
      </c>
      <c r="I393" s="52">
        <v>0</v>
      </c>
      <c r="J393" s="52">
        <v>206</v>
      </c>
      <c r="K393" s="299">
        <f t="shared" si="87"/>
        <v>0</v>
      </c>
      <c r="L393" s="52">
        <v>0</v>
      </c>
      <c r="M393" s="299">
        <f t="shared" si="98"/>
        <v>0</v>
      </c>
      <c r="N393" s="65">
        <v>0</v>
      </c>
      <c r="O393" s="52">
        <v>0</v>
      </c>
      <c r="P393" s="299">
        <f t="shared" si="90"/>
        <v>0</v>
      </c>
    </row>
    <row r="394" spans="1:16" s="51" customFormat="1" ht="28.5" customHeight="1" x14ac:dyDescent="0.2">
      <c r="A394" s="62" t="s">
        <v>1103</v>
      </c>
      <c r="B394" s="78" t="s">
        <v>59</v>
      </c>
      <c r="C394" s="78" t="s">
        <v>111</v>
      </c>
      <c r="D394" s="54" t="s">
        <v>1091</v>
      </c>
      <c r="E394" s="60"/>
      <c r="F394" s="52">
        <f>F395</f>
        <v>0</v>
      </c>
      <c r="G394" s="52">
        <f t="shared" ref="G394:O394" si="101">G395</f>
        <v>3200</v>
      </c>
      <c r="H394" s="299">
        <f>G394-F394</f>
        <v>3200</v>
      </c>
      <c r="I394" s="52">
        <f t="shared" si="101"/>
        <v>0</v>
      </c>
      <c r="J394" s="52">
        <f t="shared" si="101"/>
        <v>3200</v>
      </c>
      <c r="K394" s="299">
        <f t="shared" si="87"/>
        <v>0</v>
      </c>
      <c r="L394" s="52">
        <f t="shared" si="101"/>
        <v>0</v>
      </c>
      <c r="M394" s="299">
        <f t="shared" si="98"/>
        <v>0</v>
      </c>
      <c r="N394" s="52">
        <f t="shared" si="101"/>
        <v>0</v>
      </c>
      <c r="O394" s="52">
        <f t="shared" si="101"/>
        <v>0</v>
      </c>
      <c r="P394" s="299">
        <f>O394-N394</f>
        <v>0</v>
      </c>
    </row>
    <row r="395" spans="1:16" s="51" customFormat="1" ht="25.5" x14ac:dyDescent="0.2">
      <c r="A395" s="56" t="s">
        <v>73</v>
      </c>
      <c r="B395" s="78" t="s">
        <v>59</v>
      </c>
      <c r="C395" s="78" t="s">
        <v>111</v>
      </c>
      <c r="D395" s="54" t="s">
        <v>1091</v>
      </c>
      <c r="E395" s="60" t="s">
        <v>70</v>
      </c>
      <c r="F395" s="52">
        <v>0</v>
      </c>
      <c r="G395" s="52">
        <f>3000+200</f>
        <v>3200</v>
      </c>
      <c r="H395" s="299">
        <f>G395-F395</f>
        <v>3200</v>
      </c>
      <c r="I395" s="52">
        <v>0</v>
      </c>
      <c r="J395" s="52">
        <f>3000+200</f>
        <v>3200</v>
      </c>
      <c r="K395" s="299">
        <f t="shared" si="87"/>
        <v>0</v>
      </c>
      <c r="L395" s="52">
        <v>0</v>
      </c>
      <c r="M395" s="299">
        <f t="shared" si="98"/>
        <v>0</v>
      </c>
      <c r="N395" s="52">
        <v>0</v>
      </c>
      <c r="O395" s="52">
        <v>0</v>
      </c>
      <c r="P395" s="299">
        <f>O395-N395</f>
        <v>0</v>
      </c>
    </row>
    <row r="396" spans="1:16" s="51" customFormat="1" ht="25.5" customHeight="1" x14ac:dyDescent="0.2">
      <c r="A396" s="95" t="s">
        <v>328</v>
      </c>
      <c r="B396" s="78" t="s">
        <v>59</v>
      </c>
      <c r="C396" s="78" t="s">
        <v>111</v>
      </c>
      <c r="D396" s="54" t="s">
        <v>327</v>
      </c>
      <c r="E396" s="60"/>
      <c r="F396" s="52">
        <f>F397</f>
        <v>862.69999999999993</v>
      </c>
      <c r="G396" s="52">
        <f>G397</f>
        <v>862.69999999999993</v>
      </c>
      <c r="H396" s="299">
        <f t="shared" si="89"/>
        <v>0</v>
      </c>
      <c r="I396" s="52">
        <f>I397</f>
        <v>2587.9</v>
      </c>
      <c r="J396" s="52">
        <f>J397</f>
        <v>862.69999999999993</v>
      </c>
      <c r="K396" s="299">
        <f t="shared" ref="K396:K459" si="102">J396-G396</f>
        <v>0</v>
      </c>
      <c r="L396" s="52">
        <f>L397</f>
        <v>2587.9</v>
      </c>
      <c r="M396" s="299">
        <f t="shared" si="98"/>
        <v>0</v>
      </c>
      <c r="N396" s="52">
        <f>N397</f>
        <v>1725.3</v>
      </c>
      <c r="O396" s="52">
        <f>O397</f>
        <v>1725.3</v>
      </c>
      <c r="P396" s="299">
        <f t="shared" si="90"/>
        <v>0</v>
      </c>
    </row>
    <row r="397" spans="1:16" s="51" customFormat="1" ht="25.5" customHeight="1" x14ac:dyDescent="0.2">
      <c r="A397" s="121" t="s">
        <v>73</v>
      </c>
      <c r="B397" s="78" t="s">
        <v>59</v>
      </c>
      <c r="C397" s="78" t="s">
        <v>111</v>
      </c>
      <c r="D397" s="54" t="s">
        <v>327</v>
      </c>
      <c r="E397" s="60" t="s">
        <v>70</v>
      </c>
      <c r="F397" s="52">
        <f>836.8+25.9</f>
        <v>862.69999999999993</v>
      </c>
      <c r="G397" s="52">
        <f>836.8+25.9</f>
        <v>862.69999999999993</v>
      </c>
      <c r="H397" s="299">
        <f t="shared" si="89"/>
        <v>0</v>
      </c>
      <c r="I397" s="52">
        <f>2510.3+77.6</f>
        <v>2587.9</v>
      </c>
      <c r="J397" s="52">
        <f>836.8+25.9</f>
        <v>862.69999999999993</v>
      </c>
      <c r="K397" s="299">
        <f t="shared" si="102"/>
        <v>0</v>
      </c>
      <c r="L397" s="52">
        <f>2510.3+77.6</f>
        <v>2587.9</v>
      </c>
      <c r="M397" s="299">
        <f t="shared" si="98"/>
        <v>0</v>
      </c>
      <c r="N397" s="52">
        <f>1673.5+51.8</f>
        <v>1725.3</v>
      </c>
      <c r="O397" s="52">
        <f>1673.5+51.8</f>
        <v>1725.3</v>
      </c>
      <c r="P397" s="299">
        <f t="shared" si="90"/>
        <v>0</v>
      </c>
    </row>
    <row r="398" spans="1:16" s="51" customFormat="1" ht="18" customHeight="1" x14ac:dyDescent="0.2">
      <c r="A398" s="337" t="s">
        <v>1109</v>
      </c>
      <c r="B398" s="53" t="s">
        <v>59</v>
      </c>
      <c r="C398" s="53" t="s">
        <v>111</v>
      </c>
      <c r="D398" s="54" t="s">
        <v>1110</v>
      </c>
      <c r="E398" s="60"/>
      <c r="F398" s="52"/>
      <c r="G398" s="52">
        <f>G399</f>
        <v>0</v>
      </c>
      <c r="H398" s="52">
        <f t="shared" ref="H398:O398" si="103">H399</f>
        <v>0</v>
      </c>
      <c r="I398" s="52">
        <f t="shared" si="103"/>
        <v>0</v>
      </c>
      <c r="J398" s="52">
        <f t="shared" si="103"/>
        <v>2136.6999999999998</v>
      </c>
      <c r="K398" s="299">
        <f t="shared" si="102"/>
        <v>2136.6999999999998</v>
      </c>
      <c r="L398" s="52">
        <f t="shared" si="103"/>
        <v>0</v>
      </c>
      <c r="M398" s="52">
        <f t="shared" si="103"/>
        <v>0</v>
      </c>
      <c r="N398" s="52">
        <f t="shared" si="103"/>
        <v>0</v>
      </c>
      <c r="O398" s="52">
        <f t="shared" si="103"/>
        <v>0</v>
      </c>
      <c r="P398" s="299"/>
    </row>
    <row r="399" spans="1:16" s="51" customFormat="1" ht="25.5" customHeight="1" x14ac:dyDescent="0.2">
      <c r="A399" s="230" t="s">
        <v>73</v>
      </c>
      <c r="B399" s="53" t="s">
        <v>59</v>
      </c>
      <c r="C399" s="53" t="s">
        <v>111</v>
      </c>
      <c r="D399" s="54" t="s">
        <v>1110</v>
      </c>
      <c r="E399" s="60" t="s">
        <v>70</v>
      </c>
      <c r="F399" s="52"/>
      <c r="G399" s="52">
        <v>0</v>
      </c>
      <c r="H399" s="315"/>
      <c r="I399" s="52"/>
      <c r="J399" s="52">
        <f>1923+213.7</f>
        <v>2136.6999999999998</v>
      </c>
      <c r="K399" s="299">
        <f t="shared" si="102"/>
        <v>2136.6999999999998</v>
      </c>
      <c r="L399" s="52">
        <v>0</v>
      </c>
      <c r="M399" s="320"/>
      <c r="N399" s="65"/>
      <c r="O399" s="52">
        <v>0</v>
      </c>
      <c r="P399" s="299"/>
    </row>
    <row r="400" spans="1:16" s="51" customFormat="1" ht="16.5" customHeight="1" x14ac:dyDescent="0.2">
      <c r="A400" s="62" t="s">
        <v>52</v>
      </c>
      <c r="B400" s="53" t="s">
        <v>59</v>
      </c>
      <c r="C400" s="53" t="s">
        <v>111</v>
      </c>
      <c r="D400" s="54" t="s">
        <v>326</v>
      </c>
      <c r="E400" s="60"/>
      <c r="F400" s="52">
        <f>F401+F407+F410</f>
        <v>10981.3</v>
      </c>
      <c r="G400" s="52">
        <f>G401+G407+G410</f>
        <v>10981.3</v>
      </c>
      <c r="H400" s="299">
        <f t="shared" si="89"/>
        <v>0</v>
      </c>
      <c r="I400" s="52">
        <f>I401+I407+I410</f>
        <v>10842.9</v>
      </c>
      <c r="J400" s="52">
        <f>J401+J407+J410</f>
        <v>11181.3</v>
      </c>
      <c r="K400" s="299">
        <f t="shared" si="102"/>
        <v>200</v>
      </c>
      <c r="L400" s="52">
        <f>L401+L407+L410</f>
        <v>10842.9</v>
      </c>
      <c r="M400" s="299">
        <f t="shared" ref="M400:M463" si="104">L400-I400</f>
        <v>0</v>
      </c>
      <c r="N400" s="52">
        <f>N401+N407+N410</f>
        <v>10880.1</v>
      </c>
      <c r="O400" s="52">
        <f>O401+O407+O410</f>
        <v>10880.1</v>
      </c>
      <c r="P400" s="299">
        <f t="shared" si="90"/>
        <v>0</v>
      </c>
    </row>
    <row r="401" spans="1:16" s="51" customFormat="1" ht="26.25" customHeight="1" x14ac:dyDescent="0.2">
      <c r="A401" s="64" t="s">
        <v>325</v>
      </c>
      <c r="B401" s="53" t="s">
        <v>59</v>
      </c>
      <c r="C401" s="53" t="s">
        <v>111</v>
      </c>
      <c r="D401" s="54" t="s">
        <v>324</v>
      </c>
      <c r="E401" s="60"/>
      <c r="F401" s="52">
        <f>F402+F405</f>
        <v>7889.3</v>
      </c>
      <c r="G401" s="52">
        <f>G402+G405</f>
        <v>7889.3</v>
      </c>
      <c r="H401" s="299">
        <f t="shared" si="89"/>
        <v>0</v>
      </c>
      <c r="I401" s="52">
        <f>I402+I405</f>
        <v>7889.3</v>
      </c>
      <c r="J401" s="52">
        <f>J402+J405</f>
        <v>7889.3</v>
      </c>
      <c r="K401" s="299">
        <f t="shared" si="102"/>
        <v>0</v>
      </c>
      <c r="L401" s="52">
        <f>L402+L405</f>
        <v>7889.3</v>
      </c>
      <c r="M401" s="299">
        <f t="shared" si="104"/>
        <v>0</v>
      </c>
      <c r="N401" s="52">
        <f>N402+N405</f>
        <v>7889.3</v>
      </c>
      <c r="O401" s="52">
        <f>O402+O405</f>
        <v>7889.3</v>
      </c>
      <c r="P401" s="299">
        <f t="shared" si="90"/>
        <v>0</v>
      </c>
    </row>
    <row r="402" spans="1:16" s="51" customFormat="1" ht="12.75" customHeight="1" x14ac:dyDescent="0.2">
      <c r="A402" s="64" t="s">
        <v>323</v>
      </c>
      <c r="B402" s="53" t="s">
        <v>59</v>
      </c>
      <c r="C402" s="53" t="s">
        <v>111</v>
      </c>
      <c r="D402" s="54" t="s">
        <v>321</v>
      </c>
      <c r="E402" s="60"/>
      <c r="F402" s="52">
        <f>F403+F404</f>
        <v>7639.3</v>
      </c>
      <c r="G402" s="52">
        <f>G403+G404</f>
        <v>7639.3</v>
      </c>
      <c r="H402" s="299">
        <f t="shared" si="89"/>
        <v>0</v>
      </c>
      <c r="I402" s="52">
        <f>I403+I404</f>
        <v>7639.3</v>
      </c>
      <c r="J402" s="52">
        <f>J403+J404</f>
        <v>7639.3</v>
      </c>
      <c r="K402" s="299">
        <f t="shared" si="102"/>
        <v>0</v>
      </c>
      <c r="L402" s="52">
        <f>L403+L404</f>
        <v>7639.3</v>
      </c>
      <c r="M402" s="299">
        <f t="shared" si="104"/>
        <v>0</v>
      </c>
      <c r="N402" s="52">
        <f>N403+N404</f>
        <v>7639.3</v>
      </c>
      <c r="O402" s="52">
        <f>O403+O404</f>
        <v>7639.3</v>
      </c>
      <c r="P402" s="299">
        <f t="shared" si="90"/>
        <v>0</v>
      </c>
    </row>
    <row r="403" spans="1:16" s="51" customFormat="1" ht="25.5" customHeight="1" x14ac:dyDescent="0.2">
      <c r="A403" s="56" t="s">
        <v>73</v>
      </c>
      <c r="B403" s="53" t="s">
        <v>59</v>
      </c>
      <c r="C403" s="53" t="s">
        <v>111</v>
      </c>
      <c r="D403" s="54" t="s">
        <v>321</v>
      </c>
      <c r="E403" s="60" t="s">
        <v>70</v>
      </c>
      <c r="F403" s="52">
        <f>5729.5+1909.8</f>
        <v>7639.3</v>
      </c>
      <c r="G403" s="52">
        <f>7639.3-0.4</f>
        <v>7638.9000000000005</v>
      </c>
      <c r="H403" s="299">
        <f t="shared" si="89"/>
        <v>-0.3999999999996362</v>
      </c>
      <c r="I403" s="52">
        <f>5729.5+1909.8</f>
        <v>7639.3</v>
      </c>
      <c r="J403" s="52">
        <f>7639.3-0.4</f>
        <v>7638.9000000000005</v>
      </c>
      <c r="K403" s="299">
        <f t="shared" si="102"/>
        <v>0</v>
      </c>
      <c r="L403" s="52">
        <f>5729.5+1909.8</f>
        <v>7639.3</v>
      </c>
      <c r="M403" s="299">
        <f t="shared" si="104"/>
        <v>0</v>
      </c>
      <c r="N403" s="52">
        <f>5729.5+1909.8</f>
        <v>7639.3</v>
      </c>
      <c r="O403" s="52">
        <f>5729.5+1909.8</f>
        <v>7639.3</v>
      </c>
      <c r="P403" s="299">
        <f t="shared" si="90"/>
        <v>0</v>
      </c>
    </row>
    <row r="404" spans="1:16" s="51" customFormat="1" ht="15" customHeight="1" x14ac:dyDescent="0.2">
      <c r="A404" s="120" t="s">
        <v>322</v>
      </c>
      <c r="B404" s="53" t="s">
        <v>59</v>
      </c>
      <c r="C404" s="53" t="s">
        <v>111</v>
      </c>
      <c r="D404" s="54" t="s">
        <v>321</v>
      </c>
      <c r="E404" s="60" t="s">
        <v>320</v>
      </c>
      <c r="F404" s="52">
        <v>0</v>
      </c>
      <c r="G404" s="52">
        <v>0.4</v>
      </c>
      <c r="H404" s="299">
        <f t="shared" si="89"/>
        <v>0.4</v>
      </c>
      <c r="I404" s="52">
        <v>0</v>
      </c>
      <c r="J404" s="52">
        <v>0.4</v>
      </c>
      <c r="K404" s="299">
        <f t="shared" si="102"/>
        <v>0</v>
      </c>
      <c r="L404" s="52">
        <v>0</v>
      </c>
      <c r="M404" s="299">
        <f t="shared" si="104"/>
        <v>0</v>
      </c>
      <c r="N404" s="52">
        <v>0</v>
      </c>
      <c r="O404" s="52">
        <v>0</v>
      </c>
      <c r="P404" s="299">
        <f t="shared" si="90"/>
        <v>0</v>
      </c>
    </row>
    <row r="405" spans="1:16" s="51" customFormat="1" ht="15" customHeight="1" x14ac:dyDescent="0.2">
      <c r="A405" s="84" t="s">
        <v>319</v>
      </c>
      <c r="B405" s="53" t="s">
        <v>59</v>
      </c>
      <c r="C405" s="53" t="s">
        <v>111</v>
      </c>
      <c r="D405" s="54" t="s">
        <v>318</v>
      </c>
      <c r="E405" s="53"/>
      <c r="F405" s="52">
        <f>F406</f>
        <v>250</v>
      </c>
      <c r="G405" s="52">
        <f>G406</f>
        <v>250</v>
      </c>
      <c r="H405" s="299">
        <f t="shared" si="89"/>
        <v>0</v>
      </c>
      <c r="I405" s="52">
        <f>I406</f>
        <v>250</v>
      </c>
      <c r="J405" s="52">
        <f>J406</f>
        <v>250</v>
      </c>
      <c r="K405" s="299">
        <f t="shared" si="102"/>
        <v>0</v>
      </c>
      <c r="L405" s="52">
        <f>L406</f>
        <v>250</v>
      </c>
      <c r="M405" s="299">
        <f t="shared" si="104"/>
        <v>0</v>
      </c>
      <c r="N405" s="52">
        <f>N406</f>
        <v>250</v>
      </c>
      <c r="O405" s="52">
        <f>O406</f>
        <v>250</v>
      </c>
      <c r="P405" s="299">
        <f t="shared" si="90"/>
        <v>0</v>
      </c>
    </row>
    <row r="406" spans="1:16" s="51" customFormat="1" ht="25.5" x14ac:dyDescent="0.2">
      <c r="A406" s="84" t="s">
        <v>73</v>
      </c>
      <c r="B406" s="53" t="s">
        <v>59</v>
      </c>
      <c r="C406" s="53" t="s">
        <v>111</v>
      </c>
      <c r="D406" s="54" t="s">
        <v>318</v>
      </c>
      <c r="E406" s="53" t="s">
        <v>70</v>
      </c>
      <c r="F406" s="52">
        <v>250</v>
      </c>
      <c r="G406" s="52">
        <v>250</v>
      </c>
      <c r="H406" s="299">
        <f t="shared" si="89"/>
        <v>0</v>
      </c>
      <c r="I406" s="52">
        <v>250</v>
      </c>
      <c r="J406" s="52">
        <v>250</v>
      </c>
      <c r="K406" s="299">
        <f t="shared" si="102"/>
        <v>0</v>
      </c>
      <c r="L406" s="52">
        <v>250</v>
      </c>
      <c r="M406" s="299">
        <f t="shared" si="104"/>
        <v>0</v>
      </c>
      <c r="N406" s="52">
        <v>250</v>
      </c>
      <c r="O406" s="52">
        <v>250</v>
      </c>
      <c r="P406" s="299">
        <f t="shared" si="90"/>
        <v>0</v>
      </c>
    </row>
    <row r="407" spans="1:16" s="51" customFormat="1" ht="25.5" customHeight="1" x14ac:dyDescent="0.2">
      <c r="A407" s="95" t="s">
        <v>317</v>
      </c>
      <c r="B407" s="53" t="s">
        <v>59</v>
      </c>
      <c r="C407" s="53" t="s">
        <v>111</v>
      </c>
      <c r="D407" s="54" t="s">
        <v>316</v>
      </c>
      <c r="E407" s="60"/>
      <c r="F407" s="52">
        <f>F408</f>
        <v>2332</v>
      </c>
      <c r="G407" s="52">
        <f>G408</f>
        <v>2332</v>
      </c>
      <c r="H407" s="299">
        <f t="shared" si="89"/>
        <v>0</v>
      </c>
      <c r="I407" s="52">
        <f>I408</f>
        <v>2193.6</v>
      </c>
      <c r="J407" s="52">
        <f>J408</f>
        <v>2332</v>
      </c>
      <c r="K407" s="299">
        <f t="shared" si="102"/>
        <v>0</v>
      </c>
      <c r="L407" s="52">
        <f>L408</f>
        <v>2193.6</v>
      </c>
      <c r="M407" s="299">
        <f t="shared" si="104"/>
        <v>0</v>
      </c>
      <c r="N407" s="52">
        <f>N408</f>
        <v>2230.8000000000002</v>
      </c>
      <c r="O407" s="52">
        <f>O408</f>
        <v>2230.8000000000002</v>
      </c>
      <c r="P407" s="299">
        <f t="shared" si="90"/>
        <v>0</v>
      </c>
    </row>
    <row r="408" spans="1:16" s="51" customFormat="1" ht="18" customHeight="1" x14ac:dyDescent="0.2">
      <c r="A408" s="56" t="s">
        <v>315</v>
      </c>
      <c r="B408" s="53" t="s">
        <v>59</v>
      </c>
      <c r="C408" s="53" t="s">
        <v>111</v>
      </c>
      <c r="D408" s="54" t="s">
        <v>314</v>
      </c>
      <c r="E408" s="60"/>
      <c r="F408" s="52">
        <f>F409</f>
        <v>2332</v>
      </c>
      <c r="G408" s="52">
        <f>G409</f>
        <v>2332</v>
      </c>
      <c r="H408" s="299">
        <f t="shared" si="89"/>
        <v>0</v>
      </c>
      <c r="I408" s="52">
        <f>I409</f>
        <v>2193.6</v>
      </c>
      <c r="J408" s="52">
        <f>J409</f>
        <v>2332</v>
      </c>
      <c r="K408" s="299">
        <f t="shared" si="102"/>
        <v>0</v>
      </c>
      <c r="L408" s="52">
        <f>L409</f>
        <v>2193.6</v>
      </c>
      <c r="M408" s="299">
        <f t="shared" si="104"/>
        <v>0</v>
      </c>
      <c r="N408" s="52">
        <f>N409</f>
        <v>2230.8000000000002</v>
      </c>
      <c r="O408" s="52">
        <f>O409</f>
        <v>2230.8000000000002</v>
      </c>
      <c r="P408" s="299">
        <f t="shared" si="90"/>
        <v>0</v>
      </c>
    </row>
    <row r="409" spans="1:16" s="51" customFormat="1" ht="25.5" customHeight="1" x14ac:dyDescent="0.2">
      <c r="A409" s="56" t="s">
        <v>73</v>
      </c>
      <c r="B409" s="53" t="s">
        <v>59</v>
      </c>
      <c r="C409" s="53" t="s">
        <v>111</v>
      </c>
      <c r="D409" s="54" t="s">
        <v>314</v>
      </c>
      <c r="E409" s="60" t="s">
        <v>70</v>
      </c>
      <c r="F409" s="52">
        <f>2332</f>
        <v>2332</v>
      </c>
      <c r="G409" s="52">
        <f>2332</f>
        <v>2332</v>
      </c>
      <c r="H409" s="299">
        <f t="shared" si="89"/>
        <v>0</v>
      </c>
      <c r="I409" s="52">
        <f>2332-138.4</f>
        <v>2193.6</v>
      </c>
      <c r="J409" s="52">
        <f>2332</f>
        <v>2332</v>
      </c>
      <c r="K409" s="299">
        <f t="shared" si="102"/>
        <v>0</v>
      </c>
      <c r="L409" s="52">
        <f>2332-138.4</f>
        <v>2193.6</v>
      </c>
      <c r="M409" s="299">
        <f t="shared" si="104"/>
        <v>0</v>
      </c>
      <c r="N409" s="52">
        <f>2332-101.2</f>
        <v>2230.8000000000002</v>
      </c>
      <c r="O409" s="52">
        <f>2332-101.2</f>
        <v>2230.8000000000002</v>
      </c>
      <c r="P409" s="299">
        <f t="shared" si="90"/>
        <v>0</v>
      </c>
    </row>
    <row r="410" spans="1:16" s="51" customFormat="1" ht="25.5" customHeight="1" x14ac:dyDescent="0.2">
      <c r="A410" s="56" t="s">
        <v>313</v>
      </c>
      <c r="B410" s="53" t="s">
        <v>59</v>
      </c>
      <c r="C410" s="53" t="s">
        <v>111</v>
      </c>
      <c r="D410" s="54" t="s">
        <v>312</v>
      </c>
      <c r="E410" s="60"/>
      <c r="F410" s="52">
        <f>F411</f>
        <v>760</v>
      </c>
      <c r="G410" s="52">
        <f>G411</f>
        <v>760</v>
      </c>
      <c r="H410" s="299">
        <f t="shared" si="89"/>
        <v>0</v>
      </c>
      <c r="I410" s="52">
        <f>I411</f>
        <v>760</v>
      </c>
      <c r="J410" s="52">
        <f>J411</f>
        <v>960</v>
      </c>
      <c r="K410" s="299">
        <f t="shared" si="102"/>
        <v>200</v>
      </c>
      <c r="L410" s="52">
        <f>L411</f>
        <v>760</v>
      </c>
      <c r="M410" s="299">
        <f t="shared" si="104"/>
        <v>0</v>
      </c>
      <c r="N410" s="52">
        <f>N411</f>
        <v>760</v>
      </c>
      <c r="O410" s="52">
        <f>O411</f>
        <v>760</v>
      </c>
      <c r="P410" s="299">
        <f t="shared" si="90"/>
        <v>0</v>
      </c>
    </row>
    <row r="411" spans="1:16" s="51" customFormat="1" ht="17.25" customHeight="1" x14ac:dyDescent="0.2">
      <c r="A411" s="108" t="s">
        <v>311</v>
      </c>
      <c r="B411" s="53" t="s">
        <v>59</v>
      </c>
      <c r="C411" s="53" t="s">
        <v>111</v>
      </c>
      <c r="D411" s="54" t="s">
        <v>310</v>
      </c>
      <c r="E411" s="60"/>
      <c r="F411" s="52">
        <f>F412</f>
        <v>760</v>
      </c>
      <c r="G411" s="52">
        <f>G412</f>
        <v>760</v>
      </c>
      <c r="H411" s="299">
        <f t="shared" si="89"/>
        <v>0</v>
      </c>
      <c r="I411" s="52">
        <f>I412</f>
        <v>760</v>
      </c>
      <c r="J411" s="52">
        <f>J412</f>
        <v>960</v>
      </c>
      <c r="K411" s="299">
        <f t="shared" si="102"/>
        <v>200</v>
      </c>
      <c r="L411" s="52">
        <f>L412</f>
        <v>760</v>
      </c>
      <c r="M411" s="299">
        <f t="shared" si="104"/>
        <v>0</v>
      </c>
      <c r="N411" s="52">
        <f>N412</f>
        <v>760</v>
      </c>
      <c r="O411" s="52">
        <f>O412</f>
        <v>760</v>
      </c>
      <c r="P411" s="299">
        <f t="shared" si="90"/>
        <v>0</v>
      </c>
    </row>
    <row r="412" spans="1:16" s="51" customFormat="1" ht="25.5" customHeight="1" x14ac:dyDescent="0.2">
      <c r="A412" s="108" t="s">
        <v>73</v>
      </c>
      <c r="B412" s="53" t="s">
        <v>59</v>
      </c>
      <c r="C412" s="53" t="s">
        <v>111</v>
      </c>
      <c r="D412" s="54" t="s">
        <v>310</v>
      </c>
      <c r="E412" s="60" t="s">
        <v>70</v>
      </c>
      <c r="F412" s="52">
        <v>760</v>
      </c>
      <c r="G412" s="52">
        <v>760</v>
      </c>
      <c r="H412" s="299">
        <f t="shared" ref="H412:H486" si="105">G412-F412</f>
        <v>0</v>
      </c>
      <c r="I412" s="52">
        <v>760</v>
      </c>
      <c r="J412" s="52">
        <f>760+200</f>
        <v>960</v>
      </c>
      <c r="K412" s="299">
        <f t="shared" si="102"/>
        <v>200</v>
      </c>
      <c r="L412" s="52">
        <v>760</v>
      </c>
      <c r="M412" s="299">
        <f t="shared" si="104"/>
        <v>0</v>
      </c>
      <c r="N412" s="52">
        <v>760</v>
      </c>
      <c r="O412" s="52">
        <v>760</v>
      </c>
      <c r="P412" s="299">
        <f t="shared" ref="P412:P486" si="106">O412-N412</f>
        <v>0</v>
      </c>
    </row>
    <row r="413" spans="1:16" s="51" customFormat="1" ht="40.5" customHeight="1" x14ac:dyDescent="0.2">
      <c r="A413" s="64" t="s">
        <v>309</v>
      </c>
      <c r="B413" s="53" t="s">
        <v>59</v>
      </c>
      <c r="C413" s="53" t="s">
        <v>111</v>
      </c>
      <c r="D413" s="54" t="s">
        <v>308</v>
      </c>
      <c r="E413" s="60"/>
      <c r="F413" s="52">
        <f>F414</f>
        <v>8927.1</v>
      </c>
      <c r="G413" s="52">
        <f>G414</f>
        <v>8927.1</v>
      </c>
      <c r="H413" s="299">
        <f t="shared" si="105"/>
        <v>0</v>
      </c>
      <c r="I413" s="52">
        <f>I414</f>
        <v>10927.1</v>
      </c>
      <c r="J413" s="52">
        <f>J414</f>
        <v>11024.6</v>
      </c>
      <c r="K413" s="299">
        <f t="shared" si="102"/>
        <v>2097.5</v>
      </c>
      <c r="L413" s="52">
        <f>L414</f>
        <v>10927.1</v>
      </c>
      <c r="M413" s="299">
        <f t="shared" si="104"/>
        <v>0</v>
      </c>
      <c r="N413" s="52">
        <f>N414</f>
        <v>11738</v>
      </c>
      <c r="O413" s="52">
        <f>O414</f>
        <v>11738</v>
      </c>
      <c r="P413" s="299">
        <f t="shared" si="106"/>
        <v>0</v>
      </c>
    </row>
    <row r="414" spans="1:16" s="51" customFormat="1" ht="16.5" customHeight="1" x14ac:dyDescent="0.2">
      <c r="A414" s="64" t="s">
        <v>52</v>
      </c>
      <c r="B414" s="53" t="s">
        <v>59</v>
      </c>
      <c r="C414" s="53" t="s">
        <v>111</v>
      </c>
      <c r="D414" s="54" t="s">
        <v>307</v>
      </c>
      <c r="E414" s="60"/>
      <c r="F414" s="52">
        <f>F415</f>
        <v>8927.1</v>
      </c>
      <c r="G414" s="52">
        <f>G415</f>
        <v>8927.1</v>
      </c>
      <c r="H414" s="299">
        <f t="shared" si="105"/>
        <v>0</v>
      </c>
      <c r="I414" s="52">
        <f>I415</f>
        <v>10927.1</v>
      </c>
      <c r="J414" s="52">
        <f>J415</f>
        <v>11024.6</v>
      </c>
      <c r="K414" s="299">
        <f t="shared" si="102"/>
        <v>2097.5</v>
      </c>
      <c r="L414" s="52">
        <f>L415</f>
        <v>10927.1</v>
      </c>
      <c r="M414" s="299">
        <f t="shared" si="104"/>
        <v>0</v>
      </c>
      <c r="N414" s="52">
        <f>N415</f>
        <v>11738</v>
      </c>
      <c r="O414" s="52">
        <f>O415</f>
        <v>11738</v>
      </c>
      <c r="P414" s="299">
        <f t="shared" si="106"/>
        <v>0</v>
      </c>
    </row>
    <row r="415" spans="1:16" s="51" customFormat="1" ht="27" customHeight="1" x14ac:dyDescent="0.2">
      <c r="A415" s="56" t="s">
        <v>306</v>
      </c>
      <c r="B415" s="53" t="s">
        <v>59</v>
      </c>
      <c r="C415" s="53" t="s">
        <v>111</v>
      </c>
      <c r="D415" s="54" t="s">
        <v>305</v>
      </c>
      <c r="E415" s="60"/>
      <c r="F415" s="52">
        <f>F416+F418</f>
        <v>8927.1</v>
      </c>
      <c r="G415" s="52">
        <f>G416+G418</f>
        <v>8927.1</v>
      </c>
      <c r="H415" s="299">
        <f t="shared" si="105"/>
        <v>0</v>
      </c>
      <c r="I415" s="52">
        <f>I416+I418</f>
        <v>10927.1</v>
      </c>
      <c r="J415" s="52">
        <f>J416+J418</f>
        <v>11024.6</v>
      </c>
      <c r="K415" s="299">
        <f t="shared" si="102"/>
        <v>2097.5</v>
      </c>
      <c r="L415" s="52">
        <f>L416+L418</f>
        <v>10927.1</v>
      </c>
      <c r="M415" s="299">
        <f t="shared" si="104"/>
        <v>0</v>
      </c>
      <c r="N415" s="52">
        <f>N416+N418</f>
        <v>11738</v>
      </c>
      <c r="O415" s="52">
        <f>O416+O418</f>
        <v>11738</v>
      </c>
      <c r="P415" s="299">
        <f t="shared" si="106"/>
        <v>0</v>
      </c>
    </row>
    <row r="416" spans="1:16" s="51" customFormat="1" ht="41.25" customHeight="1" x14ac:dyDescent="0.2">
      <c r="A416" s="75" t="s">
        <v>1096</v>
      </c>
      <c r="B416" s="53" t="s">
        <v>59</v>
      </c>
      <c r="C416" s="53" t="s">
        <v>111</v>
      </c>
      <c r="D416" s="54" t="s">
        <v>304</v>
      </c>
      <c r="E416" s="119"/>
      <c r="F416" s="52">
        <f>F417</f>
        <v>1000</v>
      </c>
      <c r="G416" s="52">
        <f>G417</f>
        <v>1000</v>
      </c>
      <c r="H416" s="299">
        <f t="shared" si="105"/>
        <v>0</v>
      </c>
      <c r="I416" s="52">
        <f>I417</f>
        <v>3000</v>
      </c>
      <c r="J416" s="52">
        <f>J417</f>
        <v>3097.5</v>
      </c>
      <c r="K416" s="299">
        <f t="shared" si="102"/>
        <v>2097.5</v>
      </c>
      <c r="L416" s="52">
        <f>L417</f>
        <v>3000</v>
      </c>
      <c r="M416" s="299">
        <f t="shared" si="104"/>
        <v>0</v>
      </c>
      <c r="N416" s="52">
        <f>N417</f>
        <v>3810.9</v>
      </c>
      <c r="O416" s="52">
        <f>O417</f>
        <v>3810.9</v>
      </c>
      <c r="P416" s="299">
        <f t="shared" si="106"/>
        <v>0</v>
      </c>
    </row>
    <row r="417" spans="1:17" s="51" customFormat="1" ht="15.75" customHeight="1" x14ac:dyDescent="0.2">
      <c r="A417" s="75" t="s">
        <v>82</v>
      </c>
      <c r="B417" s="53" t="s">
        <v>59</v>
      </c>
      <c r="C417" s="53" t="s">
        <v>111</v>
      </c>
      <c r="D417" s="54" t="s">
        <v>304</v>
      </c>
      <c r="E417" s="78" t="s">
        <v>81</v>
      </c>
      <c r="F417" s="52">
        <v>1000</v>
      </c>
      <c r="G417" s="52">
        <f>1000</f>
        <v>1000</v>
      </c>
      <c r="H417" s="299">
        <f t="shared" si="105"/>
        <v>0</v>
      </c>
      <c r="I417" s="52">
        <v>3000</v>
      </c>
      <c r="J417" s="52">
        <f>1000+1600+97.7+165.8+114.7+119.3</f>
        <v>3097.5</v>
      </c>
      <c r="K417" s="299">
        <f t="shared" si="102"/>
        <v>2097.5</v>
      </c>
      <c r="L417" s="52">
        <v>3000</v>
      </c>
      <c r="M417" s="299">
        <f t="shared" si="104"/>
        <v>0</v>
      </c>
      <c r="N417" s="52">
        <f>3000+810.9</f>
        <v>3810.9</v>
      </c>
      <c r="O417" s="52">
        <f>3000+810.9</f>
        <v>3810.9</v>
      </c>
      <c r="P417" s="299">
        <f t="shared" si="106"/>
        <v>0</v>
      </c>
      <c r="Q417" s="39"/>
    </row>
    <row r="418" spans="1:17" s="51" customFormat="1" ht="25.5" customHeight="1" x14ac:dyDescent="0.2">
      <c r="A418" s="64" t="s">
        <v>88</v>
      </c>
      <c r="B418" s="53" t="s">
        <v>59</v>
      </c>
      <c r="C418" s="53" t="s">
        <v>111</v>
      </c>
      <c r="D418" s="54" t="s">
        <v>303</v>
      </c>
      <c r="E418" s="53"/>
      <c r="F418" s="52">
        <f>F419</f>
        <v>7927.1</v>
      </c>
      <c r="G418" s="52">
        <f>G419</f>
        <v>7927.1</v>
      </c>
      <c r="H418" s="299">
        <f t="shared" si="105"/>
        <v>0</v>
      </c>
      <c r="I418" s="52">
        <f>I419</f>
        <v>7927.1</v>
      </c>
      <c r="J418" s="52">
        <f>J419</f>
        <v>7927.1</v>
      </c>
      <c r="K418" s="299">
        <f t="shared" si="102"/>
        <v>0</v>
      </c>
      <c r="L418" s="52">
        <f>L419</f>
        <v>7927.1</v>
      </c>
      <c r="M418" s="299">
        <f t="shared" si="104"/>
        <v>0</v>
      </c>
      <c r="N418" s="52">
        <f>N419</f>
        <v>7927.1</v>
      </c>
      <c r="O418" s="52">
        <f>O419</f>
        <v>7927.1</v>
      </c>
      <c r="P418" s="299">
        <f t="shared" si="106"/>
        <v>0</v>
      </c>
    </row>
    <row r="419" spans="1:17" s="51" customFormat="1" ht="18" customHeight="1" x14ac:dyDescent="0.2">
      <c r="A419" s="64" t="s">
        <v>82</v>
      </c>
      <c r="B419" s="53" t="s">
        <v>59</v>
      </c>
      <c r="C419" s="53" t="s">
        <v>111</v>
      </c>
      <c r="D419" s="54" t="s">
        <v>303</v>
      </c>
      <c r="E419" s="53" t="s">
        <v>81</v>
      </c>
      <c r="F419" s="52">
        <v>7927.1</v>
      </c>
      <c r="G419" s="52">
        <v>7927.1</v>
      </c>
      <c r="H419" s="299">
        <f t="shared" si="105"/>
        <v>0</v>
      </c>
      <c r="I419" s="52">
        <v>7927.1</v>
      </c>
      <c r="J419" s="52">
        <v>7927.1</v>
      </c>
      <c r="K419" s="299">
        <f t="shared" si="102"/>
        <v>0</v>
      </c>
      <c r="L419" s="52">
        <v>7927.1</v>
      </c>
      <c r="M419" s="299">
        <f t="shared" si="104"/>
        <v>0</v>
      </c>
      <c r="N419" s="52">
        <v>7927.1</v>
      </c>
      <c r="O419" s="52">
        <v>7927.1</v>
      </c>
      <c r="P419" s="299">
        <f t="shared" si="106"/>
        <v>0</v>
      </c>
    </row>
    <row r="420" spans="1:17" s="51" customFormat="1" ht="27" customHeight="1" x14ac:dyDescent="0.2">
      <c r="A420" s="56" t="s">
        <v>1087</v>
      </c>
      <c r="B420" s="53" t="s">
        <v>59</v>
      </c>
      <c r="C420" s="53" t="s">
        <v>111</v>
      </c>
      <c r="D420" s="54" t="s">
        <v>53</v>
      </c>
      <c r="E420" s="94"/>
      <c r="F420" s="52">
        <f>F421</f>
        <v>0</v>
      </c>
      <c r="G420" s="52">
        <f t="shared" ref="G420:O420" si="107">G421</f>
        <v>200</v>
      </c>
      <c r="H420" s="300">
        <f t="shared" si="105"/>
        <v>200</v>
      </c>
      <c r="I420" s="52">
        <f t="shared" si="107"/>
        <v>0</v>
      </c>
      <c r="J420" s="52">
        <f t="shared" si="107"/>
        <v>200</v>
      </c>
      <c r="K420" s="299">
        <f t="shared" si="102"/>
        <v>0</v>
      </c>
      <c r="L420" s="52">
        <f t="shared" si="107"/>
        <v>0</v>
      </c>
      <c r="M420" s="334">
        <f t="shared" si="104"/>
        <v>0</v>
      </c>
      <c r="N420" s="52">
        <f t="shared" si="107"/>
        <v>0</v>
      </c>
      <c r="O420" s="52">
        <f t="shared" si="107"/>
        <v>0</v>
      </c>
      <c r="P420" s="333">
        <f t="shared" si="106"/>
        <v>0</v>
      </c>
    </row>
    <row r="421" spans="1:17" s="51" customFormat="1" ht="18" customHeight="1" x14ac:dyDescent="0.2">
      <c r="A421" s="126" t="s">
        <v>66</v>
      </c>
      <c r="B421" s="53" t="s">
        <v>59</v>
      </c>
      <c r="C421" s="53" t="s">
        <v>111</v>
      </c>
      <c r="D421" s="54" t="s">
        <v>724</v>
      </c>
      <c r="E421" s="60"/>
      <c r="F421" s="52">
        <f t="shared" ref="F421:O423" si="108">F422</f>
        <v>0</v>
      </c>
      <c r="G421" s="52">
        <f t="shared" si="108"/>
        <v>200</v>
      </c>
      <c r="H421" s="300">
        <f t="shared" si="105"/>
        <v>200</v>
      </c>
      <c r="I421" s="52">
        <f t="shared" si="108"/>
        <v>0</v>
      </c>
      <c r="J421" s="52">
        <f t="shared" si="108"/>
        <v>200</v>
      </c>
      <c r="K421" s="299">
        <f t="shared" si="102"/>
        <v>0</v>
      </c>
      <c r="L421" s="52">
        <f t="shared" si="108"/>
        <v>0</v>
      </c>
      <c r="M421" s="300">
        <f t="shared" si="104"/>
        <v>0</v>
      </c>
      <c r="N421" s="65">
        <f t="shared" si="108"/>
        <v>0</v>
      </c>
      <c r="O421" s="52">
        <f t="shared" si="108"/>
        <v>0</v>
      </c>
      <c r="P421" s="333">
        <f t="shared" si="106"/>
        <v>0</v>
      </c>
    </row>
    <row r="422" spans="1:17" s="51" customFormat="1" ht="29.25" customHeight="1" x14ac:dyDescent="0.2">
      <c r="A422" s="56" t="s">
        <v>725</v>
      </c>
      <c r="B422" s="53" t="s">
        <v>59</v>
      </c>
      <c r="C422" s="53" t="s">
        <v>111</v>
      </c>
      <c r="D422" s="54" t="s">
        <v>726</v>
      </c>
      <c r="E422" s="60"/>
      <c r="F422" s="52">
        <f t="shared" si="108"/>
        <v>0</v>
      </c>
      <c r="G422" s="52">
        <f t="shared" si="108"/>
        <v>200</v>
      </c>
      <c r="H422" s="300">
        <f t="shared" si="105"/>
        <v>200</v>
      </c>
      <c r="I422" s="52">
        <f t="shared" si="108"/>
        <v>0</v>
      </c>
      <c r="J422" s="52">
        <f t="shared" si="108"/>
        <v>200</v>
      </c>
      <c r="K422" s="299">
        <f t="shared" si="102"/>
        <v>0</v>
      </c>
      <c r="L422" s="52">
        <f t="shared" si="108"/>
        <v>0</v>
      </c>
      <c r="M422" s="300">
        <f t="shared" si="104"/>
        <v>0</v>
      </c>
      <c r="N422" s="65">
        <f t="shared" si="108"/>
        <v>0</v>
      </c>
      <c r="O422" s="52">
        <f t="shared" si="108"/>
        <v>0</v>
      </c>
      <c r="P422" s="333">
        <f t="shared" si="106"/>
        <v>0</v>
      </c>
    </row>
    <row r="423" spans="1:17" s="51" customFormat="1" ht="25.5" customHeight="1" x14ac:dyDescent="0.2">
      <c r="A423" s="56" t="s">
        <v>727</v>
      </c>
      <c r="B423" s="53" t="s">
        <v>59</v>
      </c>
      <c r="C423" s="53" t="s">
        <v>111</v>
      </c>
      <c r="D423" s="54" t="s">
        <v>728</v>
      </c>
      <c r="E423" s="60"/>
      <c r="F423" s="52">
        <f>F424</f>
        <v>0</v>
      </c>
      <c r="G423" s="52">
        <f t="shared" si="108"/>
        <v>200</v>
      </c>
      <c r="H423" s="300">
        <f t="shared" si="105"/>
        <v>200</v>
      </c>
      <c r="I423" s="52">
        <f t="shared" si="108"/>
        <v>0</v>
      </c>
      <c r="J423" s="52">
        <f t="shared" si="108"/>
        <v>200</v>
      </c>
      <c r="K423" s="299">
        <f t="shared" si="102"/>
        <v>0</v>
      </c>
      <c r="L423" s="52">
        <f t="shared" si="108"/>
        <v>0</v>
      </c>
      <c r="M423" s="300">
        <f t="shared" si="104"/>
        <v>0</v>
      </c>
      <c r="N423" s="52">
        <f t="shared" si="108"/>
        <v>0</v>
      </c>
      <c r="O423" s="52">
        <f t="shared" si="108"/>
        <v>0</v>
      </c>
      <c r="P423" s="333">
        <f t="shared" si="106"/>
        <v>0</v>
      </c>
    </row>
    <row r="424" spans="1:17" s="51" customFormat="1" ht="30" customHeight="1" x14ac:dyDescent="0.2">
      <c r="A424" s="56" t="s">
        <v>73</v>
      </c>
      <c r="B424" s="53" t="s">
        <v>59</v>
      </c>
      <c r="C424" s="53" t="s">
        <v>111</v>
      </c>
      <c r="D424" s="54" t="s">
        <v>728</v>
      </c>
      <c r="E424" s="60" t="s">
        <v>70</v>
      </c>
      <c r="F424" s="52">
        <v>0</v>
      </c>
      <c r="G424" s="52">
        <f>50+10+140</f>
        <v>200</v>
      </c>
      <c r="H424" s="300">
        <f t="shared" si="105"/>
        <v>200</v>
      </c>
      <c r="I424" s="52">
        <v>0</v>
      </c>
      <c r="J424" s="52">
        <f>50+10+140</f>
        <v>200</v>
      </c>
      <c r="K424" s="299">
        <f t="shared" si="102"/>
        <v>0</v>
      </c>
      <c r="L424" s="52">
        <v>0</v>
      </c>
      <c r="M424" s="300">
        <f t="shared" si="104"/>
        <v>0</v>
      </c>
      <c r="N424" s="65">
        <v>0</v>
      </c>
      <c r="O424" s="52">
        <v>0</v>
      </c>
      <c r="P424" s="333">
        <f t="shared" si="106"/>
        <v>0</v>
      </c>
    </row>
    <row r="425" spans="1:17" s="43" customFormat="1" ht="12.75" customHeight="1" x14ac:dyDescent="0.2">
      <c r="A425" s="90" t="s">
        <v>302</v>
      </c>
      <c r="B425" s="98" t="s">
        <v>96</v>
      </c>
      <c r="C425" s="98"/>
      <c r="D425" s="45"/>
      <c r="E425" s="45"/>
      <c r="F425" s="44">
        <f>F426</f>
        <v>7044.9</v>
      </c>
      <c r="G425" s="44">
        <f>G426</f>
        <v>6546.5999999999995</v>
      </c>
      <c r="H425" s="299">
        <f t="shared" si="105"/>
        <v>-498.30000000000018</v>
      </c>
      <c r="I425" s="44">
        <f>I426</f>
        <v>4732.8999999999996</v>
      </c>
      <c r="J425" s="44">
        <f>J426</f>
        <v>6546.5999999999995</v>
      </c>
      <c r="K425" s="299">
        <f t="shared" si="102"/>
        <v>0</v>
      </c>
      <c r="L425" s="44">
        <f>L426</f>
        <v>3831.9</v>
      </c>
      <c r="M425" s="299">
        <f t="shared" si="104"/>
        <v>-900.99999999999955</v>
      </c>
      <c r="N425" s="44">
        <f>N426</f>
        <v>4366</v>
      </c>
      <c r="O425" s="44">
        <f>O426</f>
        <v>3423</v>
      </c>
      <c r="P425" s="299">
        <f t="shared" si="106"/>
        <v>-943</v>
      </c>
    </row>
    <row r="426" spans="1:17" s="43" customFormat="1" ht="17.25" customHeight="1" x14ac:dyDescent="0.2">
      <c r="A426" s="105" t="s">
        <v>301</v>
      </c>
      <c r="B426" s="98" t="s">
        <v>96</v>
      </c>
      <c r="C426" s="98" t="s">
        <v>59</v>
      </c>
      <c r="D426" s="45"/>
      <c r="E426" s="45"/>
      <c r="F426" s="44">
        <f>F427</f>
        <v>7044.9</v>
      </c>
      <c r="G426" s="44">
        <f>G427</f>
        <v>6546.5999999999995</v>
      </c>
      <c r="H426" s="299">
        <f t="shared" si="105"/>
        <v>-498.30000000000018</v>
      </c>
      <c r="I426" s="44">
        <f>I427</f>
        <v>4732.8999999999996</v>
      </c>
      <c r="J426" s="44">
        <f>J427</f>
        <v>6546.5999999999995</v>
      </c>
      <c r="K426" s="299">
        <f t="shared" si="102"/>
        <v>0</v>
      </c>
      <c r="L426" s="44">
        <f>L427</f>
        <v>3831.9</v>
      </c>
      <c r="M426" s="299">
        <f t="shared" si="104"/>
        <v>-900.99999999999955</v>
      </c>
      <c r="N426" s="44">
        <f>N427</f>
        <v>4366</v>
      </c>
      <c r="O426" s="44">
        <f>O427</f>
        <v>3423</v>
      </c>
      <c r="P426" s="299">
        <f t="shared" si="106"/>
        <v>-943</v>
      </c>
    </row>
    <row r="427" spans="1:17" s="51" customFormat="1" ht="42" customHeight="1" x14ac:dyDescent="0.2">
      <c r="A427" s="69" t="s">
        <v>300</v>
      </c>
      <c r="B427" s="118" t="s">
        <v>96</v>
      </c>
      <c r="C427" s="118" t="s">
        <v>59</v>
      </c>
      <c r="D427" s="54" t="s">
        <v>109</v>
      </c>
      <c r="E427" s="53"/>
      <c r="F427" s="52">
        <f>F428+F440</f>
        <v>7044.9</v>
      </c>
      <c r="G427" s="52">
        <f>G428+G440</f>
        <v>6546.5999999999995</v>
      </c>
      <c r="H427" s="299">
        <f t="shared" si="105"/>
        <v>-498.30000000000018</v>
      </c>
      <c r="I427" s="52">
        <f>I428+I440</f>
        <v>4732.8999999999996</v>
      </c>
      <c r="J427" s="52">
        <f>J428+J440</f>
        <v>6546.5999999999995</v>
      </c>
      <c r="K427" s="299">
        <f t="shared" si="102"/>
        <v>0</v>
      </c>
      <c r="L427" s="52">
        <f>L428+L440</f>
        <v>3831.9</v>
      </c>
      <c r="M427" s="299">
        <f t="shared" si="104"/>
        <v>-900.99999999999955</v>
      </c>
      <c r="N427" s="52">
        <f>N428+N440</f>
        <v>4366</v>
      </c>
      <c r="O427" s="52">
        <f>O428+O440</f>
        <v>3423</v>
      </c>
      <c r="P427" s="299">
        <f t="shared" si="106"/>
        <v>-943</v>
      </c>
    </row>
    <row r="428" spans="1:17" s="51" customFormat="1" ht="18" customHeight="1" x14ac:dyDescent="0.2">
      <c r="A428" s="57" t="s">
        <v>66</v>
      </c>
      <c r="B428" s="118" t="s">
        <v>96</v>
      </c>
      <c r="C428" s="118" t="s">
        <v>59</v>
      </c>
      <c r="D428" s="54" t="s">
        <v>299</v>
      </c>
      <c r="E428" s="60"/>
      <c r="F428" s="52">
        <f>F429+F432</f>
        <v>4828.8999999999996</v>
      </c>
      <c r="G428" s="52">
        <f>G429+G432</f>
        <v>4329.8999999999996</v>
      </c>
      <c r="H428" s="299">
        <f t="shared" si="105"/>
        <v>-499</v>
      </c>
      <c r="I428" s="52">
        <f>I429+I432</f>
        <v>2516.9</v>
      </c>
      <c r="J428" s="52">
        <f>J429+J432</f>
        <v>4329.8999999999996</v>
      </c>
      <c r="K428" s="299">
        <f t="shared" si="102"/>
        <v>0</v>
      </c>
      <c r="L428" s="52">
        <f>L429+L432</f>
        <v>1615.9</v>
      </c>
      <c r="M428" s="299">
        <f t="shared" si="104"/>
        <v>-901</v>
      </c>
      <c r="N428" s="52">
        <f>N429+N432</f>
        <v>2150</v>
      </c>
      <c r="O428" s="52">
        <f>O429+O432</f>
        <v>1207</v>
      </c>
      <c r="P428" s="299">
        <f t="shared" si="106"/>
        <v>-943</v>
      </c>
    </row>
    <row r="429" spans="1:17" s="51" customFormat="1" ht="24.75" customHeight="1" x14ac:dyDescent="0.2">
      <c r="A429" s="56" t="s">
        <v>298</v>
      </c>
      <c r="B429" s="118" t="s">
        <v>96</v>
      </c>
      <c r="C429" s="118" t="s">
        <v>59</v>
      </c>
      <c r="D429" s="54" t="s">
        <v>297</v>
      </c>
      <c r="E429" s="60"/>
      <c r="F429" s="52">
        <f>F430</f>
        <v>549</v>
      </c>
      <c r="G429" s="52">
        <f>G430</f>
        <v>0</v>
      </c>
      <c r="H429" s="299">
        <f t="shared" si="105"/>
        <v>-549</v>
      </c>
      <c r="I429" s="52">
        <f>I430</f>
        <v>150</v>
      </c>
      <c r="J429" s="52">
        <f>J430</f>
        <v>0</v>
      </c>
      <c r="K429" s="299">
        <f t="shared" si="102"/>
        <v>0</v>
      </c>
      <c r="L429" s="52">
        <f>L430</f>
        <v>150</v>
      </c>
      <c r="M429" s="299">
        <f t="shared" si="104"/>
        <v>0</v>
      </c>
      <c r="N429" s="52">
        <f>N430</f>
        <v>150</v>
      </c>
      <c r="O429" s="52">
        <f>O430</f>
        <v>150</v>
      </c>
      <c r="P429" s="299">
        <f t="shared" si="106"/>
        <v>0</v>
      </c>
    </row>
    <row r="430" spans="1:17" s="51" customFormat="1" ht="18.75" customHeight="1" x14ac:dyDescent="0.2">
      <c r="A430" s="56" t="s">
        <v>296</v>
      </c>
      <c r="B430" s="118" t="s">
        <v>96</v>
      </c>
      <c r="C430" s="118" t="s">
        <v>59</v>
      </c>
      <c r="D430" s="54" t="s">
        <v>295</v>
      </c>
      <c r="E430" s="60"/>
      <c r="F430" s="52">
        <f>F431</f>
        <v>549</v>
      </c>
      <c r="G430" s="52">
        <f>G431</f>
        <v>0</v>
      </c>
      <c r="H430" s="299">
        <f t="shared" si="105"/>
        <v>-549</v>
      </c>
      <c r="I430" s="52">
        <f>I431</f>
        <v>150</v>
      </c>
      <c r="J430" s="52">
        <f>J431</f>
        <v>0</v>
      </c>
      <c r="K430" s="299">
        <f t="shared" si="102"/>
        <v>0</v>
      </c>
      <c r="L430" s="52">
        <f>L431</f>
        <v>150</v>
      </c>
      <c r="M430" s="299">
        <f t="shared" si="104"/>
        <v>0</v>
      </c>
      <c r="N430" s="52">
        <f>N431</f>
        <v>150</v>
      </c>
      <c r="O430" s="52">
        <f>O431</f>
        <v>150</v>
      </c>
      <c r="P430" s="299">
        <f t="shared" si="106"/>
        <v>0</v>
      </c>
    </row>
    <row r="431" spans="1:17" s="51" customFormat="1" ht="25.5" customHeight="1" x14ac:dyDescent="0.2">
      <c r="A431" s="56" t="s">
        <v>73</v>
      </c>
      <c r="B431" s="118" t="s">
        <v>96</v>
      </c>
      <c r="C431" s="118" t="s">
        <v>59</v>
      </c>
      <c r="D431" s="54" t="s">
        <v>295</v>
      </c>
      <c r="E431" s="60" t="s">
        <v>70</v>
      </c>
      <c r="F431" s="52">
        <f>249+300</f>
        <v>549</v>
      </c>
      <c r="G431" s="52">
        <f>549-549</f>
        <v>0</v>
      </c>
      <c r="H431" s="299">
        <f t="shared" si="105"/>
        <v>-549</v>
      </c>
      <c r="I431" s="52">
        <v>150</v>
      </c>
      <c r="J431" s="52">
        <f>549-549</f>
        <v>0</v>
      </c>
      <c r="K431" s="299">
        <f t="shared" si="102"/>
        <v>0</v>
      </c>
      <c r="L431" s="52">
        <v>150</v>
      </c>
      <c r="M431" s="299">
        <f t="shared" si="104"/>
        <v>0</v>
      </c>
      <c r="N431" s="52">
        <v>150</v>
      </c>
      <c r="O431" s="52">
        <v>150</v>
      </c>
      <c r="P431" s="299">
        <f t="shared" si="106"/>
        <v>0</v>
      </c>
    </row>
    <row r="432" spans="1:17" s="51" customFormat="1" ht="25.5" customHeight="1" x14ac:dyDescent="0.2">
      <c r="A432" s="56" t="s">
        <v>294</v>
      </c>
      <c r="B432" s="118" t="s">
        <v>96</v>
      </c>
      <c r="C432" s="118" t="s">
        <v>59</v>
      </c>
      <c r="D432" s="54" t="s">
        <v>293</v>
      </c>
      <c r="E432" s="60"/>
      <c r="F432" s="52">
        <f>F435+F433+F438</f>
        <v>4279.8999999999996</v>
      </c>
      <c r="G432" s="52">
        <f>G435+G433+G438</f>
        <v>4329.8999999999996</v>
      </c>
      <c r="H432" s="299">
        <f t="shared" si="105"/>
        <v>50</v>
      </c>
      <c r="I432" s="52">
        <f>I435+I433+I438</f>
        <v>2366.9</v>
      </c>
      <c r="J432" s="52">
        <f>J435+J433+J438</f>
        <v>4329.8999999999996</v>
      </c>
      <c r="K432" s="299">
        <f t="shared" si="102"/>
        <v>0</v>
      </c>
      <c r="L432" s="52">
        <f>L435+L433+L438</f>
        <v>1465.9</v>
      </c>
      <c r="M432" s="299">
        <f t="shared" si="104"/>
        <v>-901</v>
      </c>
      <c r="N432" s="52">
        <f>N435+N433+N438</f>
        <v>2000</v>
      </c>
      <c r="O432" s="52">
        <f>O435+O433+O438</f>
        <v>1057</v>
      </c>
      <c r="P432" s="299">
        <f t="shared" si="106"/>
        <v>-943</v>
      </c>
    </row>
    <row r="433" spans="1:16" s="51" customFormat="1" ht="17.25" customHeight="1" x14ac:dyDescent="0.2">
      <c r="A433" s="56" t="s">
        <v>292</v>
      </c>
      <c r="B433" s="118" t="s">
        <v>96</v>
      </c>
      <c r="C433" s="118" t="s">
        <v>59</v>
      </c>
      <c r="D433" s="54" t="s">
        <v>291</v>
      </c>
      <c r="E433" s="60"/>
      <c r="F433" s="52">
        <f>F434</f>
        <v>2164.9</v>
      </c>
      <c r="G433" s="52">
        <f>G434</f>
        <v>2164.9</v>
      </c>
      <c r="H433" s="299">
        <f t="shared" si="105"/>
        <v>0</v>
      </c>
      <c r="I433" s="52">
        <f>I434</f>
        <v>1030.9000000000001</v>
      </c>
      <c r="J433" s="52">
        <f>J434</f>
        <v>2164.9</v>
      </c>
      <c r="K433" s="299">
        <f t="shared" si="102"/>
        <v>0</v>
      </c>
      <c r="L433" s="52">
        <f>L434</f>
        <v>1030.9000000000001</v>
      </c>
      <c r="M433" s="299">
        <f t="shared" si="104"/>
        <v>0</v>
      </c>
      <c r="N433" s="52">
        <f>N434</f>
        <v>0</v>
      </c>
      <c r="O433" s="52">
        <f>O434</f>
        <v>0</v>
      </c>
      <c r="P433" s="299">
        <f t="shared" si="106"/>
        <v>0</v>
      </c>
    </row>
    <row r="434" spans="1:16" s="51" customFormat="1" ht="27.75" customHeight="1" x14ac:dyDescent="0.2">
      <c r="A434" s="56" t="s">
        <v>73</v>
      </c>
      <c r="B434" s="118" t="s">
        <v>96</v>
      </c>
      <c r="C434" s="118" t="s">
        <v>59</v>
      </c>
      <c r="D434" s="54" t="s">
        <v>291</v>
      </c>
      <c r="E434" s="60" t="s">
        <v>70</v>
      </c>
      <c r="F434" s="52">
        <f>2100+64.9</f>
        <v>2164.9</v>
      </c>
      <c r="G434" s="52">
        <f>2100+64.9</f>
        <v>2164.9</v>
      </c>
      <c r="H434" s="299">
        <f t="shared" si="105"/>
        <v>0</v>
      </c>
      <c r="I434" s="52">
        <f>1000+30.9</f>
        <v>1030.9000000000001</v>
      </c>
      <c r="J434" s="52">
        <f>2100+64.9</f>
        <v>2164.9</v>
      </c>
      <c r="K434" s="299">
        <f t="shared" si="102"/>
        <v>0</v>
      </c>
      <c r="L434" s="52">
        <f>1000+30.9</f>
        <v>1030.9000000000001</v>
      </c>
      <c r="M434" s="299">
        <f t="shared" si="104"/>
        <v>0</v>
      </c>
      <c r="N434" s="52">
        <v>0</v>
      </c>
      <c r="O434" s="52">
        <v>0</v>
      </c>
      <c r="P434" s="299">
        <f t="shared" si="106"/>
        <v>0</v>
      </c>
    </row>
    <row r="435" spans="1:16" s="51" customFormat="1" ht="26.25" customHeight="1" x14ac:dyDescent="0.2">
      <c r="A435" s="56" t="s">
        <v>290</v>
      </c>
      <c r="B435" s="118" t="s">
        <v>96</v>
      </c>
      <c r="C435" s="118" t="s">
        <v>59</v>
      </c>
      <c r="D435" s="54" t="s">
        <v>289</v>
      </c>
      <c r="E435" s="60"/>
      <c r="F435" s="52">
        <f>F436+F437</f>
        <v>1632</v>
      </c>
      <c r="G435" s="52">
        <f t="shared" ref="G435:O435" si="109">G436+G437</f>
        <v>1682</v>
      </c>
      <c r="H435" s="299">
        <f t="shared" si="105"/>
        <v>50</v>
      </c>
      <c r="I435" s="52">
        <f t="shared" si="109"/>
        <v>336</v>
      </c>
      <c r="J435" s="52">
        <f t="shared" si="109"/>
        <v>1682</v>
      </c>
      <c r="K435" s="299">
        <f t="shared" si="102"/>
        <v>0</v>
      </c>
      <c r="L435" s="52">
        <f t="shared" si="109"/>
        <v>336</v>
      </c>
      <c r="M435" s="299">
        <f t="shared" si="104"/>
        <v>0</v>
      </c>
      <c r="N435" s="52">
        <f t="shared" si="109"/>
        <v>1000</v>
      </c>
      <c r="O435" s="52">
        <f t="shared" si="109"/>
        <v>1000</v>
      </c>
      <c r="P435" s="299">
        <f t="shared" si="106"/>
        <v>0</v>
      </c>
    </row>
    <row r="436" spans="1:16" s="51" customFormat="1" ht="28.5" customHeight="1" x14ac:dyDescent="0.2">
      <c r="A436" s="56" t="s">
        <v>73</v>
      </c>
      <c r="B436" s="118" t="s">
        <v>96</v>
      </c>
      <c r="C436" s="118" t="s">
        <v>59</v>
      </c>
      <c r="D436" s="54" t="s">
        <v>289</v>
      </c>
      <c r="E436" s="60" t="s">
        <v>70</v>
      </c>
      <c r="F436" s="52">
        <f>2300+100+4082+800+650-2300-4000</f>
        <v>1632</v>
      </c>
      <c r="G436" s="52">
        <f>2300+100+4082+800+650-2300-4000</f>
        <v>1632</v>
      </c>
      <c r="H436" s="299">
        <f t="shared" si="105"/>
        <v>0</v>
      </c>
      <c r="I436" s="52">
        <f>1000-664</f>
        <v>336</v>
      </c>
      <c r="J436" s="52">
        <f>2300+100+4082+800+650-2300-4000</f>
        <v>1632</v>
      </c>
      <c r="K436" s="299">
        <f t="shared" si="102"/>
        <v>0</v>
      </c>
      <c r="L436" s="52">
        <f>1000-664</f>
        <v>336</v>
      </c>
      <c r="M436" s="299">
        <f t="shared" si="104"/>
        <v>0</v>
      </c>
      <c r="N436" s="52">
        <v>1000</v>
      </c>
      <c r="O436" s="52">
        <v>1000</v>
      </c>
      <c r="P436" s="299">
        <f t="shared" si="106"/>
        <v>0</v>
      </c>
    </row>
    <row r="437" spans="1:16" s="51" customFormat="1" ht="16.5" customHeight="1" x14ac:dyDescent="0.2">
      <c r="A437" s="62" t="s">
        <v>413</v>
      </c>
      <c r="B437" s="118" t="s">
        <v>96</v>
      </c>
      <c r="C437" s="118" t="s">
        <v>59</v>
      </c>
      <c r="D437" s="54" t="s">
        <v>289</v>
      </c>
      <c r="E437" s="60" t="s">
        <v>320</v>
      </c>
      <c r="F437" s="52">
        <v>0</v>
      </c>
      <c r="G437" s="52">
        <v>50</v>
      </c>
      <c r="H437" s="299">
        <f t="shared" si="105"/>
        <v>50</v>
      </c>
      <c r="I437" s="52">
        <v>0</v>
      </c>
      <c r="J437" s="52">
        <v>50</v>
      </c>
      <c r="K437" s="299">
        <f t="shared" si="102"/>
        <v>0</v>
      </c>
      <c r="L437" s="52">
        <v>0</v>
      </c>
      <c r="M437" s="299">
        <f t="shared" si="104"/>
        <v>0</v>
      </c>
      <c r="N437" s="65">
        <v>0</v>
      </c>
      <c r="O437" s="52">
        <v>0</v>
      </c>
      <c r="P437" s="299">
        <f t="shared" si="106"/>
        <v>0</v>
      </c>
    </row>
    <row r="438" spans="1:16" s="51" customFormat="1" ht="28.5" customHeight="1" x14ac:dyDescent="0.2">
      <c r="A438" s="56" t="s">
        <v>288</v>
      </c>
      <c r="B438" s="118" t="s">
        <v>96</v>
      </c>
      <c r="C438" s="118" t="s">
        <v>59</v>
      </c>
      <c r="D438" s="54" t="s">
        <v>287</v>
      </c>
      <c r="E438" s="53"/>
      <c r="F438" s="52">
        <f>F439</f>
        <v>483</v>
      </c>
      <c r="G438" s="52">
        <f>G439</f>
        <v>483</v>
      </c>
      <c r="H438" s="299">
        <f t="shared" si="105"/>
        <v>0</v>
      </c>
      <c r="I438" s="52">
        <f>I439</f>
        <v>1000</v>
      </c>
      <c r="J438" s="52">
        <f>J439</f>
        <v>483</v>
      </c>
      <c r="K438" s="299">
        <f t="shared" si="102"/>
        <v>0</v>
      </c>
      <c r="L438" s="52">
        <f>L439</f>
        <v>99</v>
      </c>
      <c r="M438" s="299">
        <f t="shared" si="104"/>
        <v>-901</v>
      </c>
      <c r="N438" s="52">
        <f>N439</f>
        <v>1000</v>
      </c>
      <c r="O438" s="52">
        <f>O439</f>
        <v>57</v>
      </c>
      <c r="P438" s="299">
        <f t="shared" si="106"/>
        <v>-943</v>
      </c>
    </row>
    <row r="439" spans="1:16" s="51" customFormat="1" ht="28.5" customHeight="1" x14ac:dyDescent="0.2">
      <c r="A439" s="56" t="s">
        <v>73</v>
      </c>
      <c r="B439" s="118" t="s">
        <v>96</v>
      </c>
      <c r="C439" s="118" t="s">
        <v>59</v>
      </c>
      <c r="D439" s="54" t="s">
        <v>287</v>
      </c>
      <c r="E439" s="53" t="s">
        <v>70</v>
      </c>
      <c r="F439" s="52">
        <f>3483-3000</f>
        <v>483</v>
      </c>
      <c r="G439" s="52">
        <f>3483-3000</f>
        <v>483</v>
      </c>
      <c r="H439" s="299">
        <f t="shared" si="105"/>
        <v>0</v>
      </c>
      <c r="I439" s="52">
        <v>1000</v>
      </c>
      <c r="J439" s="52">
        <f>3483-3000</f>
        <v>483</v>
      </c>
      <c r="K439" s="299">
        <f t="shared" si="102"/>
        <v>0</v>
      </c>
      <c r="L439" s="52">
        <f>1000-901</f>
        <v>99</v>
      </c>
      <c r="M439" s="299">
        <f t="shared" si="104"/>
        <v>-901</v>
      </c>
      <c r="N439" s="52">
        <v>1000</v>
      </c>
      <c r="O439" s="52">
        <f>1000-943</f>
        <v>57</v>
      </c>
      <c r="P439" s="299">
        <f t="shared" si="106"/>
        <v>-943</v>
      </c>
    </row>
    <row r="440" spans="1:16" s="51" customFormat="1" ht="19.5" customHeight="1" x14ac:dyDescent="0.2">
      <c r="A440" s="62" t="s">
        <v>52</v>
      </c>
      <c r="B440" s="118" t="s">
        <v>96</v>
      </c>
      <c r="C440" s="118" t="s">
        <v>59</v>
      </c>
      <c r="D440" s="54" t="s">
        <v>286</v>
      </c>
      <c r="E440" s="53"/>
      <c r="F440" s="52">
        <f>F441+F444+F449</f>
        <v>2216</v>
      </c>
      <c r="G440" s="52">
        <f t="shared" ref="G440:O440" si="110">G441+G444+G449</f>
        <v>2216.6999999999998</v>
      </c>
      <c r="H440" s="299">
        <f t="shared" si="105"/>
        <v>0.6999999999998181</v>
      </c>
      <c r="I440" s="52">
        <f t="shared" si="110"/>
        <v>2216</v>
      </c>
      <c r="J440" s="52">
        <f t="shared" si="110"/>
        <v>2216.6999999999998</v>
      </c>
      <c r="K440" s="299">
        <f t="shared" si="102"/>
        <v>0</v>
      </c>
      <c r="L440" s="52">
        <f t="shared" si="110"/>
        <v>2216</v>
      </c>
      <c r="M440" s="299">
        <f t="shared" si="104"/>
        <v>0</v>
      </c>
      <c r="N440" s="52">
        <f t="shared" si="110"/>
        <v>2216</v>
      </c>
      <c r="O440" s="52">
        <f t="shared" si="110"/>
        <v>2216</v>
      </c>
      <c r="P440" s="299">
        <f t="shared" si="106"/>
        <v>0</v>
      </c>
    </row>
    <row r="441" spans="1:16" s="51" customFormat="1" ht="40.5" customHeight="1" x14ac:dyDescent="0.2">
      <c r="A441" s="56" t="s">
        <v>285</v>
      </c>
      <c r="B441" s="118" t="s">
        <v>96</v>
      </c>
      <c r="C441" s="118" t="s">
        <v>59</v>
      </c>
      <c r="D441" s="54" t="s">
        <v>284</v>
      </c>
      <c r="E441" s="53"/>
      <c r="F441" s="52">
        <f>F442</f>
        <v>2160</v>
      </c>
      <c r="G441" s="52">
        <f>G442</f>
        <v>2160</v>
      </c>
      <c r="H441" s="299">
        <f t="shared" si="105"/>
        <v>0</v>
      </c>
      <c r="I441" s="52">
        <f>I442</f>
        <v>2160</v>
      </c>
      <c r="J441" s="52">
        <f>J442</f>
        <v>2160</v>
      </c>
      <c r="K441" s="299">
        <f t="shared" si="102"/>
        <v>0</v>
      </c>
      <c r="L441" s="52">
        <f>L442</f>
        <v>2160</v>
      </c>
      <c r="M441" s="299">
        <f t="shared" si="104"/>
        <v>0</v>
      </c>
      <c r="N441" s="52">
        <f>N442</f>
        <v>2160</v>
      </c>
      <c r="O441" s="52">
        <f>O442</f>
        <v>2160</v>
      </c>
      <c r="P441" s="299">
        <f t="shared" si="106"/>
        <v>0</v>
      </c>
    </row>
    <row r="442" spans="1:16" s="51" customFormat="1" ht="25.5" customHeight="1" x14ac:dyDescent="0.2">
      <c r="A442" s="56" t="s">
        <v>283</v>
      </c>
      <c r="B442" s="118" t="s">
        <v>96</v>
      </c>
      <c r="C442" s="118" t="s">
        <v>59</v>
      </c>
      <c r="D442" s="54" t="s">
        <v>282</v>
      </c>
      <c r="E442" s="53"/>
      <c r="F442" s="52">
        <f>F443</f>
        <v>2160</v>
      </c>
      <c r="G442" s="52">
        <f>G443</f>
        <v>2160</v>
      </c>
      <c r="H442" s="299">
        <f t="shared" si="105"/>
        <v>0</v>
      </c>
      <c r="I442" s="52">
        <f>I443</f>
        <v>2160</v>
      </c>
      <c r="J442" s="52">
        <f>J443</f>
        <v>2160</v>
      </c>
      <c r="K442" s="299">
        <f t="shared" si="102"/>
        <v>0</v>
      </c>
      <c r="L442" s="52">
        <f>L443</f>
        <v>2160</v>
      </c>
      <c r="M442" s="299">
        <f t="shared" si="104"/>
        <v>0</v>
      </c>
      <c r="N442" s="52">
        <f>N443</f>
        <v>2160</v>
      </c>
      <c r="O442" s="52">
        <f>O443</f>
        <v>2160</v>
      </c>
      <c r="P442" s="299">
        <f t="shared" si="106"/>
        <v>0</v>
      </c>
    </row>
    <row r="443" spans="1:16" s="51" customFormat="1" ht="27.75" customHeight="1" x14ac:dyDescent="0.2">
      <c r="A443" s="56" t="s">
        <v>73</v>
      </c>
      <c r="B443" s="118" t="s">
        <v>96</v>
      </c>
      <c r="C443" s="118" t="s">
        <v>59</v>
      </c>
      <c r="D443" s="54" t="s">
        <v>282</v>
      </c>
      <c r="E443" s="53" t="s">
        <v>70</v>
      </c>
      <c r="F443" s="52">
        <v>2160</v>
      </c>
      <c r="G443" s="52">
        <v>2160</v>
      </c>
      <c r="H443" s="299">
        <f t="shared" si="105"/>
        <v>0</v>
      </c>
      <c r="I443" s="52">
        <v>2160</v>
      </c>
      <c r="J443" s="52">
        <v>2160</v>
      </c>
      <c r="K443" s="299">
        <f t="shared" si="102"/>
        <v>0</v>
      </c>
      <c r="L443" s="52">
        <v>2160</v>
      </c>
      <c r="M443" s="299">
        <f t="shared" si="104"/>
        <v>0</v>
      </c>
      <c r="N443" s="52">
        <v>2160</v>
      </c>
      <c r="O443" s="52">
        <v>2160</v>
      </c>
      <c r="P443" s="299">
        <f t="shared" si="106"/>
        <v>0</v>
      </c>
    </row>
    <row r="444" spans="1:16" s="51" customFormat="1" ht="25.5" customHeight="1" x14ac:dyDescent="0.2">
      <c r="A444" s="56" t="s">
        <v>281</v>
      </c>
      <c r="B444" s="118" t="s">
        <v>96</v>
      </c>
      <c r="C444" s="118" t="s">
        <v>59</v>
      </c>
      <c r="D444" s="54" t="s">
        <v>280</v>
      </c>
      <c r="E444" s="53"/>
      <c r="F444" s="52">
        <f>F445</f>
        <v>56</v>
      </c>
      <c r="G444" s="52">
        <f>G445</f>
        <v>56</v>
      </c>
      <c r="H444" s="299">
        <f t="shared" si="105"/>
        <v>0</v>
      </c>
      <c r="I444" s="52">
        <f>I445</f>
        <v>56</v>
      </c>
      <c r="J444" s="52">
        <f>J445</f>
        <v>56</v>
      </c>
      <c r="K444" s="299">
        <f t="shared" si="102"/>
        <v>0</v>
      </c>
      <c r="L444" s="52">
        <f>L445</f>
        <v>56</v>
      </c>
      <c r="M444" s="299">
        <f t="shared" si="104"/>
        <v>0</v>
      </c>
      <c r="N444" s="52">
        <f>N445</f>
        <v>56</v>
      </c>
      <c r="O444" s="52">
        <f>O445</f>
        <v>56</v>
      </c>
      <c r="P444" s="299">
        <f t="shared" si="106"/>
        <v>0</v>
      </c>
    </row>
    <row r="445" spans="1:16" s="51" customFormat="1" ht="12.75" customHeight="1" x14ac:dyDescent="0.2">
      <c r="A445" s="57" t="s">
        <v>279</v>
      </c>
      <c r="B445" s="118" t="s">
        <v>96</v>
      </c>
      <c r="C445" s="118" t="s">
        <v>59</v>
      </c>
      <c r="D445" s="54" t="s">
        <v>278</v>
      </c>
      <c r="E445" s="53"/>
      <c r="F445" s="52">
        <f>F446+F447+F448</f>
        <v>56</v>
      </c>
      <c r="G445" s="52">
        <f>G446+G447+G448</f>
        <v>56</v>
      </c>
      <c r="H445" s="299">
        <f t="shared" si="105"/>
        <v>0</v>
      </c>
      <c r="I445" s="52">
        <f>I446+I447+I448</f>
        <v>56</v>
      </c>
      <c r="J445" s="52">
        <f>J446+J447+J448</f>
        <v>56</v>
      </c>
      <c r="K445" s="299">
        <f t="shared" si="102"/>
        <v>0</v>
      </c>
      <c r="L445" s="52">
        <f>L446+L447+L448</f>
        <v>56</v>
      </c>
      <c r="M445" s="299">
        <f t="shared" si="104"/>
        <v>0</v>
      </c>
      <c r="N445" s="52">
        <f>N446+N447+N448</f>
        <v>56</v>
      </c>
      <c r="O445" s="52">
        <f>O446+O447+O448</f>
        <v>56</v>
      </c>
      <c r="P445" s="299">
        <f t="shared" si="106"/>
        <v>0</v>
      </c>
    </row>
    <row r="446" spans="1:16" s="51" customFormat="1" ht="25.5" customHeight="1" x14ac:dyDescent="0.2">
      <c r="A446" s="56" t="s">
        <v>73</v>
      </c>
      <c r="B446" s="118" t="s">
        <v>96</v>
      </c>
      <c r="C446" s="118" t="s">
        <v>59</v>
      </c>
      <c r="D446" s="54" t="s">
        <v>278</v>
      </c>
      <c r="E446" s="53" t="s">
        <v>70</v>
      </c>
      <c r="F446" s="52">
        <v>6</v>
      </c>
      <c r="G446" s="52">
        <v>6</v>
      </c>
      <c r="H446" s="299">
        <f t="shared" si="105"/>
        <v>0</v>
      </c>
      <c r="I446" s="52">
        <v>6</v>
      </c>
      <c r="J446" s="52">
        <v>6</v>
      </c>
      <c r="K446" s="299">
        <f t="shared" si="102"/>
        <v>0</v>
      </c>
      <c r="L446" s="52">
        <v>6</v>
      </c>
      <c r="M446" s="299">
        <f t="shared" si="104"/>
        <v>0</v>
      </c>
      <c r="N446" s="52">
        <v>6</v>
      </c>
      <c r="O446" s="52">
        <v>6</v>
      </c>
      <c r="P446" s="299">
        <f t="shared" si="106"/>
        <v>0</v>
      </c>
    </row>
    <row r="447" spans="1:16" s="51" customFormat="1" ht="15.75" customHeight="1" x14ac:dyDescent="0.2">
      <c r="A447" s="64" t="s">
        <v>98</v>
      </c>
      <c r="B447" s="118" t="s">
        <v>96</v>
      </c>
      <c r="C447" s="118" t="s">
        <v>59</v>
      </c>
      <c r="D447" s="54" t="s">
        <v>278</v>
      </c>
      <c r="E447" s="53" t="s">
        <v>81</v>
      </c>
      <c r="F447" s="52">
        <f>10+30</f>
        <v>40</v>
      </c>
      <c r="G447" s="52">
        <f>10+30</f>
        <v>40</v>
      </c>
      <c r="H447" s="299">
        <f t="shared" si="105"/>
        <v>0</v>
      </c>
      <c r="I447" s="52">
        <f>10+30</f>
        <v>40</v>
      </c>
      <c r="J447" s="52">
        <f>10+30</f>
        <v>40</v>
      </c>
      <c r="K447" s="299">
        <f t="shared" si="102"/>
        <v>0</v>
      </c>
      <c r="L447" s="52">
        <f>10+30</f>
        <v>40</v>
      </c>
      <c r="M447" s="299">
        <f t="shared" si="104"/>
        <v>0</v>
      </c>
      <c r="N447" s="52">
        <f>10+30</f>
        <v>40</v>
      </c>
      <c r="O447" s="52">
        <f>10+30</f>
        <v>40</v>
      </c>
      <c r="P447" s="299">
        <f t="shared" si="106"/>
        <v>0</v>
      </c>
    </row>
    <row r="448" spans="1:16" s="51" customFormat="1" ht="15" customHeight="1" x14ac:dyDescent="0.2">
      <c r="A448" s="64" t="s">
        <v>87</v>
      </c>
      <c r="B448" s="118" t="s">
        <v>96</v>
      </c>
      <c r="C448" s="118" t="s">
        <v>59</v>
      </c>
      <c r="D448" s="54" t="s">
        <v>278</v>
      </c>
      <c r="E448" s="53" t="s">
        <v>57</v>
      </c>
      <c r="F448" s="52">
        <v>10</v>
      </c>
      <c r="G448" s="52">
        <v>10</v>
      </c>
      <c r="H448" s="299">
        <f t="shared" si="105"/>
        <v>0</v>
      </c>
      <c r="I448" s="52">
        <v>10</v>
      </c>
      <c r="J448" s="52">
        <v>10</v>
      </c>
      <c r="K448" s="299">
        <f t="shared" si="102"/>
        <v>0</v>
      </c>
      <c r="L448" s="52">
        <v>10</v>
      </c>
      <c r="M448" s="299">
        <f t="shared" si="104"/>
        <v>0</v>
      </c>
      <c r="N448" s="52">
        <v>10</v>
      </c>
      <c r="O448" s="52">
        <v>10</v>
      </c>
      <c r="P448" s="299">
        <f t="shared" si="106"/>
        <v>0</v>
      </c>
    </row>
    <row r="449" spans="1:16" s="51" customFormat="1" ht="28.5" customHeight="1" x14ac:dyDescent="0.2">
      <c r="A449" s="56" t="s">
        <v>1076</v>
      </c>
      <c r="B449" s="53" t="s">
        <v>96</v>
      </c>
      <c r="C449" s="53" t="s">
        <v>59</v>
      </c>
      <c r="D449" s="54" t="s">
        <v>1077</v>
      </c>
      <c r="E449" s="60"/>
      <c r="F449" s="52">
        <f>F450</f>
        <v>0</v>
      </c>
      <c r="G449" s="52">
        <f>G450</f>
        <v>0.7</v>
      </c>
      <c r="H449" s="300">
        <f t="shared" si="105"/>
        <v>0.7</v>
      </c>
      <c r="I449" s="52">
        <f>I450</f>
        <v>0</v>
      </c>
      <c r="J449" s="52">
        <f>J450</f>
        <v>0.7</v>
      </c>
      <c r="K449" s="299">
        <f t="shared" si="102"/>
        <v>0</v>
      </c>
      <c r="L449" s="52">
        <f>L450</f>
        <v>0</v>
      </c>
      <c r="M449" s="320">
        <f t="shared" si="104"/>
        <v>0</v>
      </c>
      <c r="N449" s="65">
        <f>N450</f>
        <v>0</v>
      </c>
      <c r="O449" s="52">
        <f>O450</f>
        <v>0</v>
      </c>
      <c r="P449" s="315">
        <f>O449-N449</f>
        <v>0</v>
      </c>
    </row>
    <row r="450" spans="1:16" s="51" customFormat="1" ht="17.25" customHeight="1" x14ac:dyDescent="0.2">
      <c r="A450" s="56" t="s">
        <v>296</v>
      </c>
      <c r="B450" s="53" t="s">
        <v>96</v>
      </c>
      <c r="C450" s="53" t="s">
        <v>59</v>
      </c>
      <c r="D450" s="54" t="s">
        <v>1078</v>
      </c>
      <c r="E450" s="60"/>
      <c r="F450" s="52">
        <f>F451</f>
        <v>0</v>
      </c>
      <c r="G450" s="52">
        <f>G451</f>
        <v>0.7</v>
      </c>
      <c r="H450" s="315">
        <f>G450-F450</f>
        <v>0.7</v>
      </c>
      <c r="I450" s="52">
        <f>I451</f>
        <v>0</v>
      </c>
      <c r="J450" s="52">
        <f>J451</f>
        <v>0.7</v>
      </c>
      <c r="K450" s="299">
        <f t="shared" si="102"/>
        <v>0</v>
      </c>
      <c r="L450" s="52">
        <f>L451</f>
        <v>0</v>
      </c>
      <c r="M450" s="320">
        <f t="shared" si="104"/>
        <v>0</v>
      </c>
      <c r="N450" s="65">
        <f>N451</f>
        <v>0</v>
      </c>
      <c r="O450" s="52">
        <f>O451</f>
        <v>0</v>
      </c>
      <c r="P450" s="315">
        <f>O450-N450</f>
        <v>0</v>
      </c>
    </row>
    <row r="451" spans="1:16" s="51" customFormat="1" ht="26.25" customHeight="1" x14ac:dyDescent="0.2">
      <c r="A451" s="56" t="s">
        <v>73</v>
      </c>
      <c r="B451" s="53" t="s">
        <v>96</v>
      </c>
      <c r="C451" s="53" t="s">
        <v>59</v>
      </c>
      <c r="D451" s="54" t="s">
        <v>1078</v>
      </c>
      <c r="E451" s="60" t="s">
        <v>320</v>
      </c>
      <c r="F451" s="52">
        <v>0</v>
      </c>
      <c r="G451" s="52">
        <v>0.7</v>
      </c>
      <c r="H451" s="315">
        <f>G451-F451</f>
        <v>0.7</v>
      </c>
      <c r="I451" s="52">
        <v>0</v>
      </c>
      <c r="J451" s="52">
        <v>0.7</v>
      </c>
      <c r="K451" s="299">
        <f t="shared" si="102"/>
        <v>0</v>
      </c>
      <c r="L451" s="52">
        <v>0</v>
      </c>
      <c r="M451" s="320">
        <f t="shared" si="104"/>
        <v>0</v>
      </c>
      <c r="N451" s="65">
        <v>0</v>
      </c>
      <c r="O451" s="52">
        <v>0</v>
      </c>
      <c r="P451" s="315">
        <f>O451-N451</f>
        <v>0</v>
      </c>
    </row>
    <row r="452" spans="1:16" s="43" customFormat="1" ht="13.5" customHeight="1" x14ac:dyDescent="0.2">
      <c r="A452" s="90" t="s">
        <v>277</v>
      </c>
      <c r="B452" s="98" t="s">
        <v>159</v>
      </c>
      <c r="C452" s="98"/>
      <c r="D452" s="45"/>
      <c r="E452" s="45"/>
      <c r="F452" s="44">
        <f>F453+F472+F557+F568+F532</f>
        <v>443539.50000000006</v>
      </c>
      <c r="G452" s="44">
        <f>G453+G472+G557+G568+G532</f>
        <v>440414.5</v>
      </c>
      <c r="H452" s="299">
        <f t="shared" si="105"/>
        <v>-3125.0000000000582</v>
      </c>
      <c r="I452" s="44">
        <f>I453+I472+I557+I568+I532</f>
        <v>368444.4</v>
      </c>
      <c r="J452" s="44">
        <f>J453+J472+J557+J568+J532</f>
        <v>438972</v>
      </c>
      <c r="K452" s="299">
        <f t="shared" si="102"/>
        <v>-1442.5</v>
      </c>
      <c r="L452" s="44">
        <f>L453+L472+L557+L568+L532</f>
        <v>368444.4</v>
      </c>
      <c r="M452" s="299">
        <f t="shared" si="104"/>
        <v>0</v>
      </c>
      <c r="N452" s="44">
        <f>N453+N472+N557+N568+N532</f>
        <v>439982.2</v>
      </c>
      <c r="O452" s="44">
        <f>O453+O472+O557+O568+O532</f>
        <v>439982.2</v>
      </c>
      <c r="P452" s="299">
        <f t="shared" si="106"/>
        <v>0</v>
      </c>
    </row>
    <row r="453" spans="1:16" s="43" customFormat="1" ht="13.5" customHeight="1" x14ac:dyDescent="0.2">
      <c r="A453" s="90" t="s">
        <v>276</v>
      </c>
      <c r="B453" s="98" t="s">
        <v>159</v>
      </c>
      <c r="C453" s="98" t="s">
        <v>45</v>
      </c>
      <c r="D453" s="45"/>
      <c r="E453" s="45"/>
      <c r="F453" s="44">
        <f>F454</f>
        <v>92664.4</v>
      </c>
      <c r="G453" s="44">
        <f>G454</f>
        <v>93045.5</v>
      </c>
      <c r="H453" s="299">
        <f t="shared" si="105"/>
        <v>381.10000000000582</v>
      </c>
      <c r="I453" s="44">
        <f>I454</f>
        <v>93179.199999999997</v>
      </c>
      <c r="J453" s="44">
        <f>J454</f>
        <v>93045.5</v>
      </c>
      <c r="K453" s="299">
        <f t="shared" si="102"/>
        <v>0</v>
      </c>
      <c r="L453" s="44">
        <f>L454</f>
        <v>93179.199999999997</v>
      </c>
      <c r="M453" s="299">
        <f t="shared" si="104"/>
        <v>0</v>
      </c>
      <c r="N453" s="44">
        <f>N454</f>
        <v>93179.199999999997</v>
      </c>
      <c r="O453" s="44">
        <f>O454</f>
        <v>93179.199999999997</v>
      </c>
      <c r="P453" s="299">
        <f t="shared" si="106"/>
        <v>0</v>
      </c>
    </row>
    <row r="454" spans="1:16" s="51" customFormat="1" ht="27.75" customHeight="1" x14ac:dyDescent="0.2">
      <c r="A454" s="64" t="s">
        <v>142</v>
      </c>
      <c r="B454" s="53" t="s">
        <v>159</v>
      </c>
      <c r="C454" s="53" t="s">
        <v>45</v>
      </c>
      <c r="D454" s="54" t="s">
        <v>141</v>
      </c>
      <c r="E454" s="53"/>
      <c r="F454" s="52">
        <f>F455+F463</f>
        <v>92664.4</v>
      </c>
      <c r="G454" s="52">
        <f>G455+G463</f>
        <v>93045.5</v>
      </c>
      <c r="H454" s="299">
        <f t="shared" si="105"/>
        <v>381.10000000000582</v>
      </c>
      <c r="I454" s="52">
        <f>I455+I463</f>
        <v>93179.199999999997</v>
      </c>
      <c r="J454" s="52">
        <f>J455+J463</f>
        <v>93045.5</v>
      </c>
      <c r="K454" s="299">
        <f t="shared" si="102"/>
        <v>0</v>
      </c>
      <c r="L454" s="52">
        <f>L455+L463</f>
        <v>93179.199999999997</v>
      </c>
      <c r="M454" s="299">
        <f t="shared" si="104"/>
        <v>0</v>
      </c>
      <c r="N454" s="52">
        <f>N455+N463</f>
        <v>93179.199999999997</v>
      </c>
      <c r="O454" s="52">
        <f>O455+O463</f>
        <v>93179.199999999997</v>
      </c>
      <c r="P454" s="299">
        <f t="shared" si="106"/>
        <v>0</v>
      </c>
    </row>
    <row r="455" spans="1:16" s="51" customFormat="1" ht="16.5" customHeight="1" x14ac:dyDescent="0.2">
      <c r="A455" s="106" t="s">
        <v>66</v>
      </c>
      <c r="B455" s="53" t="s">
        <v>159</v>
      </c>
      <c r="C455" s="53" t="s">
        <v>45</v>
      </c>
      <c r="D455" s="74" t="s">
        <v>224</v>
      </c>
      <c r="E455" s="53"/>
      <c r="F455" s="52">
        <f>F456</f>
        <v>348.9</v>
      </c>
      <c r="G455" s="52">
        <f>G456</f>
        <v>820</v>
      </c>
      <c r="H455" s="299">
        <f t="shared" si="105"/>
        <v>471.1</v>
      </c>
      <c r="I455" s="52">
        <f>I456</f>
        <v>96.3</v>
      </c>
      <c r="J455" s="52">
        <f>J456</f>
        <v>820</v>
      </c>
      <c r="K455" s="299">
        <f t="shared" si="102"/>
        <v>0</v>
      </c>
      <c r="L455" s="52">
        <f>L456</f>
        <v>96.3</v>
      </c>
      <c r="M455" s="299">
        <f t="shared" si="104"/>
        <v>0</v>
      </c>
      <c r="N455" s="52">
        <f>N456</f>
        <v>96.3</v>
      </c>
      <c r="O455" s="52">
        <f>O456</f>
        <v>96.3</v>
      </c>
      <c r="P455" s="299">
        <f t="shared" si="106"/>
        <v>0</v>
      </c>
    </row>
    <row r="456" spans="1:16" s="51" customFormat="1" ht="27.75" customHeight="1" x14ac:dyDescent="0.2">
      <c r="A456" s="76" t="s">
        <v>249</v>
      </c>
      <c r="B456" s="53" t="s">
        <v>159</v>
      </c>
      <c r="C456" s="53" t="s">
        <v>45</v>
      </c>
      <c r="D456" s="74" t="s">
        <v>248</v>
      </c>
      <c r="E456" s="53"/>
      <c r="F456" s="52">
        <f>F457+F459+F461</f>
        <v>348.9</v>
      </c>
      <c r="G456" s="52">
        <f t="shared" ref="G456:O456" si="111">G457+G459+G461</f>
        <v>820</v>
      </c>
      <c r="H456" s="299">
        <f t="shared" si="105"/>
        <v>471.1</v>
      </c>
      <c r="I456" s="52">
        <f t="shared" si="111"/>
        <v>96.3</v>
      </c>
      <c r="J456" s="52">
        <f t="shared" si="111"/>
        <v>820</v>
      </c>
      <c r="K456" s="299">
        <f t="shared" si="102"/>
        <v>0</v>
      </c>
      <c r="L456" s="52">
        <f t="shared" si="111"/>
        <v>96.3</v>
      </c>
      <c r="M456" s="299">
        <f t="shared" si="104"/>
        <v>0</v>
      </c>
      <c r="N456" s="52">
        <f t="shared" si="111"/>
        <v>96.3</v>
      </c>
      <c r="O456" s="52">
        <f t="shared" si="111"/>
        <v>96.3</v>
      </c>
      <c r="P456" s="299">
        <f t="shared" si="106"/>
        <v>0</v>
      </c>
    </row>
    <row r="457" spans="1:16" s="51" customFormat="1" ht="54" customHeight="1" x14ac:dyDescent="0.2">
      <c r="A457" s="75" t="s">
        <v>275</v>
      </c>
      <c r="B457" s="53" t="s">
        <v>159</v>
      </c>
      <c r="C457" s="53" t="s">
        <v>45</v>
      </c>
      <c r="D457" s="103" t="s">
        <v>274</v>
      </c>
      <c r="E457" s="53"/>
      <c r="F457" s="104">
        <f>F458</f>
        <v>252.6</v>
      </c>
      <c r="G457" s="104">
        <f>G458</f>
        <v>123.7</v>
      </c>
      <c r="H457" s="299">
        <f t="shared" si="105"/>
        <v>-128.89999999999998</v>
      </c>
      <c r="I457" s="104">
        <f>I458</f>
        <v>0</v>
      </c>
      <c r="J457" s="104">
        <f>J458</f>
        <v>123.7</v>
      </c>
      <c r="K457" s="299">
        <f t="shared" si="102"/>
        <v>0</v>
      </c>
      <c r="L457" s="104">
        <f>L458</f>
        <v>0</v>
      </c>
      <c r="M457" s="299">
        <f t="shared" si="104"/>
        <v>0</v>
      </c>
      <c r="N457" s="104">
        <f>N458</f>
        <v>0</v>
      </c>
      <c r="O457" s="104">
        <f>O458</f>
        <v>0</v>
      </c>
      <c r="P457" s="299">
        <f t="shared" si="106"/>
        <v>0</v>
      </c>
    </row>
    <row r="458" spans="1:16" s="51" customFormat="1" ht="18" customHeight="1" x14ac:dyDescent="0.2">
      <c r="A458" s="97" t="s">
        <v>98</v>
      </c>
      <c r="B458" s="53" t="s">
        <v>159</v>
      </c>
      <c r="C458" s="53" t="s">
        <v>45</v>
      </c>
      <c r="D458" s="103" t="s">
        <v>274</v>
      </c>
      <c r="E458" s="53" t="s">
        <v>81</v>
      </c>
      <c r="F458" s="104">
        <f>245+7.6</f>
        <v>252.6</v>
      </c>
      <c r="G458" s="104">
        <f>252.6-252.6+120+3.7</f>
        <v>123.7</v>
      </c>
      <c r="H458" s="299">
        <f t="shared" si="105"/>
        <v>-128.89999999999998</v>
      </c>
      <c r="I458" s="104">
        <v>0</v>
      </c>
      <c r="J458" s="104">
        <f>252.6-252.6+120+3.7</f>
        <v>123.7</v>
      </c>
      <c r="K458" s="299">
        <f t="shared" si="102"/>
        <v>0</v>
      </c>
      <c r="L458" s="104">
        <v>0</v>
      </c>
      <c r="M458" s="299">
        <f t="shared" si="104"/>
        <v>0</v>
      </c>
      <c r="N458" s="104">
        <v>0</v>
      </c>
      <c r="O458" s="104">
        <v>0</v>
      </c>
      <c r="P458" s="299">
        <f t="shared" si="106"/>
        <v>0</v>
      </c>
    </row>
    <row r="459" spans="1:16" s="51" customFormat="1" ht="57.75" customHeight="1" x14ac:dyDescent="0.2">
      <c r="A459" s="75" t="s">
        <v>239</v>
      </c>
      <c r="B459" s="53" t="s">
        <v>159</v>
      </c>
      <c r="C459" s="53" t="s">
        <v>45</v>
      </c>
      <c r="D459" s="103" t="s">
        <v>238</v>
      </c>
      <c r="E459" s="53"/>
      <c r="F459" s="104">
        <f>F460</f>
        <v>96.3</v>
      </c>
      <c r="G459" s="104">
        <f>G460</f>
        <v>96.3</v>
      </c>
      <c r="H459" s="299">
        <f t="shared" si="105"/>
        <v>0</v>
      </c>
      <c r="I459" s="104">
        <f>I460</f>
        <v>96.3</v>
      </c>
      <c r="J459" s="104">
        <f>J460</f>
        <v>96.3</v>
      </c>
      <c r="K459" s="299">
        <f t="shared" si="102"/>
        <v>0</v>
      </c>
      <c r="L459" s="104">
        <f>L460</f>
        <v>96.3</v>
      </c>
      <c r="M459" s="299">
        <f t="shared" si="104"/>
        <v>0</v>
      </c>
      <c r="N459" s="104">
        <f>N460</f>
        <v>96.3</v>
      </c>
      <c r="O459" s="104">
        <f>O460</f>
        <v>96.3</v>
      </c>
      <c r="P459" s="299">
        <f t="shared" si="106"/>
        <v>0</v>
      </c>
    </row>
    <row r="460" spans="1:16" s="51" customFormat="1" ht="14.25" customHeight="1" x14ac:dyDescent="0.2">
      <c r="A460" s="97" t="s">
        <v>98</v>
      </c>
      <c r="B460" s="53" t="s">
        <v>159</v>
      </c>
      <c r="C460" s="53" t="s">
        <v>45</v>
      </c>
      <c r="D460" s="103" t="s">
        <v>238</v>
      </c>
      <c r="E460" s="53" t="s">
        <v>81</v>
      </c>
      <c r="F460" s="104">
        <f>77+19.3</f>
        <v>96.3</v>
      </c>
      <c r="G460" s="104">
        <f>77+19.3</f>
        <v>96.3</v>
      </c>
      <c r="H460" s="299">
        <f t="shared" si="105"/>
        <v>0</v>
      </c>
      <c r="I460" s="104">
        <f>77+19.3</f>
        <v>96.3</v>
      </c>
      <c r="J460" s="104">
        <f>77+19.3</f>
        <v>96.3</v>
      </c>
      <c r="K460" s="299">
        <f t="shared" ref="K460:K523" si="112">J460-G460</f>
        <v>0</v>
      </c>
      <c r="L460" s="104">
        <f>77+19.3</f>
        <v>96.3</v>
      </c>
      <c r="M460" s="299">
        <f t="shared" si="104"/>
        <v>0</v>
      </c>
      <c r="N460" s="104">
        <f>77+19.3</f>
        <v>96.3</v>
      </c>
      <c r="O460" s="104">
        <f>77+19.3</f>
        <v>96.3</v>
      </c>
      <c r="P460" s="299">
        <f t="shared" si="106"/>
        <v>0</v>
      </c>
    </row>
    <row r="461" spans="1:16" s="51" customFormat="1" ht="42" customHeight="1" x14ac:dyDescent="0.2">
      <c r="A461" s="56" t="s">
        <v>1083</v>
      </c>
      <c r="B461" s="53" t="s">
        <v>159</v>
      </c>
      <c r="C461" s="53" t="s">
        <v>45</v>
      </c>
      <c r="D461" s="54" t="s">
        <v>1084</v>
      </c>
      <c r="E461" s="53"/>
      <c r="F461" s="52">
        <f>F462</f>
        <v>0</v>
      </c>
      <c r="G461" s="52">
        <f t="shared" ref="G461:O461" si="113">G462</f>
        <v>600</v>
      </c>
      <c r="H461" s="299">
        <f t="shared" si="105"/>
        <v>600</v>
      </c>
      <c r="I461" s="52">
        <f t="shared" si="113"/>
        <v>0</v>
      </c>
      <c r="J461" s="52">
        <f t="shared" si="113"/>
        <v>600</v>
      </c>
      <c r="K461" s="299">
        <f t="shared" si="112"/>
        <v>0</v>
      </c>
      <c r="L461" s="52">
        <f t="shared" si="113"/>
        <v>0</v>
      </c>
      <c r="M461" s="299">
        <f t="shared" si="104"/>
        <v>0</v>
      </c>
      <c r="N461" s="52">
        <f t="shared" si="113"/>
        <v>0</v>
      </c>
      <c r="O461" s="52">
        <f t="shared" si="113"/>
        <v>0</v>
      </c>
      <c r="P461" s="299">
        <f t="shared" si="106"/>
        <v>0</v>
      </c>
    </row>
    <row r="462" spans="1:16" s="51" customFormat="1" ht="15.75" customHeight="1" x14ac:dyDescent="0.2">
      <c r="A462" s="113" t="s">
        <v>98</v>
      </c>
      <c r="B462" s="53" t="s">
        <v>159</v>
      </c>
      <c r="C462" s="53" t="s">
        <v>45</v>
      </c>
      <c r="D462" s="54" t="s">
        <v>1084</v>
      </c>
      <c r="E462" s="53" t="s">
        <v>81</v>
      </c>
      <c r="F462" s="52">
        <v>0</v>
      </c>
      <c r="G462" s="52">
        <f>500+100</f>
        <v>600</v>
      </c>
      <c r="H462" s="299">
        <f t="shared" si="105"/>
        <v>600</v>
      </c>
      <c r="I462" s="52">
        <v>0</v>
      </c>
      <c r="J462" s="52">
        <f>500+100</f>
        <v>600</v>
      </c>
      <c r="K462" s="299">
        <f t="shared" si="112"/>
        <v>0</v>
      </c>
      <c r="L462" s="52">
        <v>0</v>
      </c>
      <c r="M462" s="299">
        <f t="shared" si="104"/>
        <v>0</v>
      </c>
      <c r="N462" s="52">
        <v>0</v>
      </c>
      <c r="O462" s="52">
        <v>0</v>
      </c>
      <c r="P462" s="299">
        <f t="shared" si="106"/>
        <v>0</v>
      </c>
    </row>
    <row r="463" spans="1:16" s="51" customFormat="1" ht="18" customHeight="1" x14ac:dyDescent="0.2">
      <c r="A463" s="56" t="s">
        <v>52</v>
      </c>
      <c r="B463" s="53" t="s">
        <v>159</v>
      </c>
      <c r="C463" s="53" t="s">
        <v>45</v>
      </c>
      <c r="D463" s="54" t="s">
        <v>140</v>
      </c>
      <c r="E463" s="53"/>
      <c r="F463" s="52">
        <f>F464+F469</f>
        <v>92315.5</v>
      </c>
      <c r="G463" s="52">
        <f>G464+G469</f>
        <v>92225.5</v>
      </c>
      <c r="H463" s="299">
        <f t="shared" si="105"/>
        <v>-90</v>
      </c>
      <c r="I463" s="52">
        <f>I464+I469</f>
        <v>93082.9</v>
      </c>
      <c r="J463" s="52">
        <f>J464+J469</f>
        <v>92225.5</v>
      </c>
      <c r="K463" s="299">
        <f t="shared" si="112"/>
        <v>0</v>
      </c>
      <c r="L463" s="52">
        <f>L464+L469</f>
        <v>93082.9</v>
      </c>
      <c r="M463" s="299">
        <f t="shared" si="104"/>
        <v>0</v>
      </c>
      <c r="N463" s="52">
        <f>N464+N469</f>
        <v>93082.9</v>
      </c>
      <c r="O463" s="52">
        <f>O464+O469</f>
        <v>93082.9</v>
      </c>
      <c r="P463" s="299">
        <f t="shared" si="106"/>
        <v>0</v>
      </c>
    </row>
    <row r="464" spans="1:16" s="51" customFormat="1" ht="26.25" customHeight="1" x14ac:dyDescent="0.2">
      <c r="A464" s="56" t="s">
        <v>219</v>
      </c>
      <c r="B464" s="53" t="s">
        <v>159</v>
      </c>
      <c r="C464" s="53" t="s">
        <v>45</v>
      </c>
      <c r="D464" s="54" t="s">
        <v>218</v>
      </c>
      <c r="E464" s="53"/>
      <c r="F464" s="52">
        <f>F465+F467</f>
        <v>92315.5</v>
      </c>
      <c r="G464" s="52">
        <f>G465+G467</f>
        <v>92215.5</v>
      </c>
      <c r="H464" s="299">
        <f t="shared" si="105"/>
        <v>-100</v>
      </c>
      <c r="I464" s="52">
        <f>I465+I467</f>
        <v>93082.9</v>
      </c>
      <c r="J464" s="52">
        <f>J465+J467</f>
        <v>92215.5</v>
      </c>
      <c r="K464" s="299">
        <f t="shared" si="112"/>
        <v>0</v>
      </c>
      <c r="L464" s="52">
        <f>L465+L467</f>
        <v>93082.9</v>
      </c>
      <c r="M464" s="299">
        <f t="shared" ref="M464:M527" si="114">L464-I464</f>
        <v>0</v>
      </c>
      <c r="N464" s="52">
        <f>N465+N467</f>
        <v>93082.9</v>
      </c>
      <c r="O464" s="52">
        <f>O465+O467</f>
        <v>93082.9</v>
      </c>
      <c r="P464" s="299">
        <f t="shared" si="106"/>
        <v>0</v>
      </c>
    </row>
    <row r="465" spans="1:16" s="51" customFormat="1" ht="25.5" customHeight="1" x14ac:dyDescent="0.2">
      <c r="A465" s="106" t="s">
        <v>231</v>
      </c>
      <c r="B465" s="53" t="s">
        <v>159</v>
      </c>
      <c r="C465" s="53" t="s">
        <v>45</v>
      </c>
      <c r="D465" s="54" t="s">
        <v>230</v>
      </c>
      <c r="E465" s="53"/>
      <c r="F465" s="52">
        <f>F466</f>
        <v>67305.2</v>
      </c>
      <c r="G465" s="52">
        <f>G466</f>
        <v>67305.2</v>
      </c>
      <c r="H465" s="299">
        <f t="shared" si="105"/>
        <v>0</v>
      </c>
      <c r="I465" s="52">
        <f>I466</f>
        <v>67305.2</v>
      </c>
      <c r="J465" s="52">
        <f>J466</f>
        <v>67305.2</v>
      </c>
      <c r="K465" s="299">
        <f t="shared" si="112"/>
        <v>0</v>
      </c>
      <c r="L465" s="52">
        <f>L466</f>
        <v>67305.2</v>
      </c>
      <c r="M465" s="299">
        <f t="shared" si="114"/>
        <v>0</v>
      </c>
      <c r="N465" s="52">
        <f>N466</f>
        <v>67305.2</v>
      </c>
      <c r="O465" s="52">
        <f>O466</f>
        <v>67305.2</v>
      </c>
      <c r="P465" s="299">
        <f t="shared" si="106"/>
        <v>0</v>
      </c>
    </row>
    <row r="466" spans="1:16" s="51" customFormat="1" ht="12.75" customHeight="1" x14ac:dyDescent="0.2">
      <c r="A466" s="102" t="s">
        <v>98</v>
      </c>
      <c r="B466" s="53" t="s">
        <v>159</v>
      </c>
      <c r="C466" s="53" t="s">
        <v>45</v>
      </c>
      <c r="D466" s="54" t="s">
        <v>230</v>
      </c>
      <c r="E466" s="53" t="s">
        <v>81</v>
      </c>
      <c r="F466" s="52">
        <f>66981.8+323.4</f>
        <v>67305.2</v>
      </c>
      <c r="G466" s="52">
        <f>66981.8+323.4</f>
        <v>67305.2</v>
      </c>
      <c r="H466" s="299">
        <f t="shared" si="105"/>
        <v>0</v>
      </c>
      <c r="I466" s="52">
        <f>66981.8+323.4</f>
        <v>67305.2</v>
      </c>
      <c r="J466" s="52">
        <f>66981.8+323.4</f>
        <v>67305.2</v>
      </c>
      <c r="K466" s="299">
        <f t="shared" si="112"/>
        <v>0</v>
      </c>
      <c r="L466" s="52">
        <f>66981.8+323.4</f>
        <v>67305.2</v>
      </c>
      <c r="M466" s="299">
        <f t="shared" si="114"/>
        <v>0</v>
      </c>
      <c r="N466" s="65">
        <f>66981.8+323.4</f>
        <v>67305.2</v>
      </c>
      <c r="O466" s="65">
        <f>66981.8+323.4</f>
        <v>67305.2</v>
      </c>
      <c r="P466" s="299">
        <f t="shared" si="106"/>
        <v>0</v>
      </c>
    </row>
    <row r="467" spans="1:16" s="51" customFormat="1" ht="12.75" customHeight="1" x14ac:dyDescent="0.2">
      <c r="A467" s="106" t="s">
        <v>272</v>
      </c>
      <c r="B467" s="53" t="s">
        <v>159</v>
      </c>
      <c r="C467" s="53" t="s">
        <v>45</v>
      </c>
      <c r="D467" s="54" t="s">
        <v>273</v>
      </c>
      <c r="E467" s="53"/>
      <c r="F467" s="52">
        <f>F468</f>
        <v>25010.300000000003</v>
      </c>
      <c r="G467" s="52">
        <f>G468</f>
        <v>24910.300000000003</v>
      </c>
      <c r="H467" s="299">
        <f t="shared" si="105"/>
        <v>-100</v>
      </c>
      <c r="I467" s="52">
        <f>I468</f>
        <v>25777.7</v>
      </c>
      <c r="J467" s="52">
        <f>J468</f>
        <v>24910.300000000003</v>
      </c>
      <c r="K467" s="299">
        <f t="shared" si="112"/>
        <v>0</v>
      </c>
      <c r="L467" s="52">
        <f>L468</f>
        <v>25777.7</v>
      </c>
      <c r="M467" s="299">
        <f t="shared" si="114"/>
        <v>0</v>
      </c>
      <c r="N467" s="52">
        <f>N468</f>
        <v>25777.7</v>
      </c>
      <c r="O467" s="52">
        <f>O468</f>
        <v>25777.7</v>
      </c>
      <c r="P467" s="299">
        <f t="shared" si="106"/>
        <v>0</v>
      </c>
    </row>
    <row r="468" spans="1:16" s="51" customFormat="1" ht="12.75" customHeight="1" x14ac:dyDescent="0.2">
      <c r="A468" s="102" t="s">
        <v>98</v>
      </c>
      <c r="B468" s="53" t="s">
        <v>159</v>
      </c>
      <c r="C468" s="53" t="s">
        <v>45</v>
      </c>
      <c r="D468" s="54" t="s">
        <v>273</v>
      </c>
      <c r="E468" s="53" t="s">
        <v>81</v>
      </c>
      <c r="F468" s="52">
        <f>27912.4-243-2659.1</f>
        <v>25010.300000000003</v>
      </c>
      <c r="G468" s="52">
        <f>27912.4-243-2659.1-100</f>
        <v>24910.300000000003</v>
      </c>
      <c r="H468" s="299">
        <f t="shared" si="105"/>
        <v>-100</v>
      </c>
      <c r="I468" s="52">
        <f>27912.4-2134.7</f>
        <v>25777.7</v>
      </c>
      <c r="J468" s="52">
        <f>27912.4-243-2659.1-100</f>
        <v>24910.300000000003</v>
      </c>
      <c r="K468" s="299">
        <f t="shared" si="112"/>
        <v>0</v>
      </c>
      <c r="L468" s="52">
        <f>27912.4-2134.7</f>
        <v>25777.7</v>
      </c>
      <c r="M468" s="299">
        <f t="shared" si="114"/>
        <v>0</v>
      </c>
      <c r="N468" s="52">
        <f>27912.4-2134.7</f>
        <v>25777.7</v>
      </c>
      <c r="O468" s="52">
        <f>27912.4-2134.7</f>
        <v>25777.7</v>
      </c>
      <c r="P468" s="299">
        <f t="shared" si="106"/>
        <v>0</v>
      </c>
    </row>
    <row r="469" spans="1:16" s="51" customFormat="1" ht="26.25" customHeight="1" x14ac:dyDescent="0.2">
      <c r="A469" s="56" t="s">
        <v>198</v>
      </c>
      <c r="B469" s="53" t="s">
        <v>159</v>
      </c>
      <c r="C469" s="53" t="s">
        <v>45</v>
      </c>
      <c r="D469" s="103" t="s">
        <v>197</v>
      </c>
      <c r="E469" s="53"/>
      <c r="F469" s="52">
        <f>F470</f>
        <v>0</v>
      </c>
      <c r="G469" s="52">
        <f t="shared" ref="G469:G470" si="115">G470</f>
        <v>10</v>
      </c>
      <c r="H469" s="300">
        <f t="shared" si="105"/>
        <v>10</v>
      </c>
      <c r="I469" s="52">
        <f t="shared" ref="I469:J470" si="116">I470</f>
        <v>0</v>
      </c>
      <c r="J469" s="52">
        <f t="shared" si="116"/>
        <v>10</v>
      </c>
      <c r="K469" s="299">
        <f t="shared" si="112"/>
        <v>0</v>
      </c>
      <c r="L469" s="52">
        <f t="shared" ref="L469:L470" si="117">L470</f>
        <v>0</v>
      </c>
      <c r="M469" s="300">
        <f t="shared" si="114"/>
        <v>0</v>
      </c>
      <c r="N469" s="52">
        <f t="shared" ref="N469:O470" si="118">N470</f>
        <v>0</v>
      </c>
      <c r="O469" s="52">
        <f t="shared" si="118"/>
        <v>0</v>
      </c>
      <c r="P469" s="333">
        <f t="shared" si="106"/>
        <v>0</v>
      </c>
    </row>
    <row r="470" spans="1:16" s="51" customFormat="1" ht="12.75" customHeight="1" x14ac:dyDescent="0.2">
      <c r="A470" s="56" t="s">
        <v>194</v>
      </c>
      <c r="B470" s="53" t="s">
        <v>159</v>
      </c>
      <c r="C470" s="53" t="s">
        <v>45</v>
      </c>
      <c r="D470" s="74" t="s">
        <v>193</v>
      </c>
      <c r="E470" s="73"/>
      <c r="F470" s="52">
        <f>F471</f>
        <v>0</v>
      </c>
      <c r="G470" s="52">
        <f t="shared" si="115"/>
        <v>10</v>
      </c>
      <c r="H470" s="300">
        <f t="shared" si="105"/>
        <v>10</v>
      </c>
      <c r="I470" s="52">
        <f t="shared" si="116"/>
        <v>0</v>
      </c>
      <c r="J470" s="52">
        <f t="shared" si="116"/>
        <v>10</v>
      </c>
      <c r="K470" s="299">
        <f t="shared" si="112"/>
        <v>0</v>
      </c>
      <c r="L470" s="52">
        <f t="shared" si="117"/>
        <v>0</v>
      </c>
      <c r="M470" s="300">
        <f t="shared" si="114"/>
        <v>0</v>
      </c>
      <c r="N470" s="52">
        <f t="shared" si="118"/>
        <v>0</v>
      </c>
      <c r="O470" s="52">
        <f t="shared" si="118"/>
        <v>0</v>
      </c>
      <c r="P470" s="333">
        <f t="shared" si="106"/>
        <v>0</v>
      </c>
    </row>
    <row r="471" spans="1:16" s="51" customFormat="1" ht="12.75" customHeight="1" x14ac:dyDescent="0.2">
      <c r="A471" s="97" t="s">
        <v>98</v>
      </c>
      <c r="B471" s="53" t="s">
        <v>159</v>
      </c>
      <c r="C471" s="53" t="s">
        <v>45</v>
      </c>
      <c r="D471" s="74" t="s">
        <v>193</v>
      </c>
      <c r="E471" s="73" t="s">
        <v>81</v>
      </c>
      <c r="F471" s="52">
        <v>0</v>
      </c>
      <c r="G471" s="52">
        <v>10</v>
      </c>
      <c r="H471" s="300">
        <f t="shared" si="105"/>
        <v>10</v>
      </c>
      <c r="I471" s="52">
        <v>0</v>
      </c>
      <c r="J471" s="52">
        <v>10</v>
      </c>
      <c r="K471" s="299">
        <f t="shared" si="112"/>
        <v>0</v>
      </c>
      <c r="L471" s="52">
        <v>0</v>
      </c>
      <c r="M471" s="300">
        <f t="shared" si="114"/>
        <v>0</v>
      </c>
      <c r="N471" s="52">
        <v>0</v>
      </c>
      <c r="O471" s="52">
        <v>0</v>
      </c>
      <c r="P471" s="333">
        <f t="shared" si="106"/>
        <v>0</v>
      </c>
    </row>
    <row r="472" spans="1:16" s="43" customFormat="1" ht="13.5" customHeight="1" x14ac:dyDescent="0.2">
      <c r="A472" s="46" t="s">
        <v>271</v>
      </c>
      <c r="B472" s="98" t="s">
        <v>159</v>
      </c>
      <c r="C472" s="98" t="s">
        <v>72</v>
      </c>
      <c r="D472" s="45"/>
      <c r="E472" s="45"/>
      <c r="F472" s="44">
        <f>F473</f>
        <v>315827.30000000005</v>
      </c>
      <c r="G472" s="44">
        <f>G473</f>
        <v>317323.8</v>
      </c>
      <c r="H472" s="299">
        <f t="shared" si="105"/>
        <v>1496.4999999999418</v>
      </c>
      <c r="I472" s="44">
        <f>I473</f>
        <v>242793.40000000002</v>
      </c>
      <c r="J472" s="44">
        <f>J473</f>
        <v>315424.90000000002</v>
      </c>
      <c r="K472" s="299">
        <f t="shared" si="112"/>
        <v>-1898.8999999999651</v>
      </c>
      <c r="L472" s="44">
        <f>L473</f>
        <v>242793.40000000002</v>
      </c>
      <c r="M472" s="299">
        <f t="shared" si="114"/>
        <v>0</v>
      </c>
      <c r="N472" s="44">
        <f>N473</f>
        <v>314331.2</v>
      </c>
      <c r="O472" s="44">
        <f>O473</f>
        <v>314331.2</v>
      </c>
      <c r="P472" s="299">
        <f t="shared" si="106"/>
        <v>0</v>
      </c>
    </row>
    <row r="473" spans="1:16" s="51" customFormat="1" ht="25.5" customHeight="1" x14ac:dyDescent="0.2">
      <c r="A473" s="64" t="s">
        <v>142</v>
      </c>
      <c r="B473" s="53" t="s">
        <v>159</v>
      </c>
      <c r="C473" s="53" t="s">
        <v>72</v>
      </c>
      <c r="D473" s="54" t="s">
        <v>141</v>
      </c>
      <c r="E473" s="53"/>
      <c r="F473" s="52">
        <f>F474+F493+F518</f>
        <v>315827.30000000005</v>
      </c>
      <c r="G473" s="52">
        <f>G474+G493+G518</f>
        <v>317323.8</v>
      </c>
      <c r="H473" s="299">
        <f t="shared" si="105"/>
        <v>1496.4999999999418</v>
      </c>
      <c r="I473" s="52">
        <f>I474+I493+I518</f>
        <v>242793.40000000002</v>
      </c>
      <c r="J473" s="52">
        <f>J474+J493+J518</f>
        <v>315424.90000000002</v>
      </c>
      <c r="K473" s="299">
        <f t="shared" si="112"/>
        <v>-1898.8999999999651</v>
      </c>
      <c r="L473" s="52">
        <f>L474+L493+L518</f>
        <v>242793.40000000002</v>
      </c>
      <c r="M473" s="299">
        <f t="shared" si="114"/>
        <v>0</v>
      </c>
      <c r="N473" s="52">
        <f>N474+N493+N518</f>
        <v>314331.2</v>
      </c>
      <c r="O473" s="52">
        <f>O474+O493+O518</f>
        <v>314331.2</v>
      </c>
      <c r="P473" s="299">
        <f t="shared" si="106"/>
        <v>0</v>
      </c>
    </row>
    <row r="474" spans="1:16" s="51" customFormat="1" ht="12.75" customHeight="1" x14ac:dyDescent="0.2">
      <c r="A474" s="106" t="s">
        <v>270</v>
      </c>
      <c r="B474" s="53" t="s">
        <v>159</v>
      </c>
      <c r="C474" s="53" t="s">
        <v>72</v>
      </c>
      <c r="D474" s="54" t="s">
        <v>269</v>
      </c>
      <c r="E474" s="53"/>
      <c r="F474" s="52">
        <f>F475+F486</f>
        <v>77104.600000000006</v>
      </c>
      <c r="G474" s="52">
        <f>G475+G486</f>
        <v>77104.600000000006</v>
      </c>
      <c r="H474" s="299">
        <f t="shared" si="105"/>
        <v>0</v>
      </c>
      <c r="I474" s="52">
        <f>I475+I486</f>
        <v>41772.300000000003</v>
      </c>
      <c r="J474" s="52">
        <f>J475+J486</f>
        <v>77104.600000000006</v>
      </c>
      <c r="K474" s="299">
        <f t="shared" si="112"/>
        <v>0</v>
      </c>
      <c r="L474" s="52">
        <f>L475+L486</f>
        <v>41772.300000000003</v>
      </c>
      <c r="M474" s="299">
        <f t="shared" si="114"/>
        <v>0</v>
      </c>
      <c r="N474" s="52">
        <f>N475+N486</f>
        <v>115598.70000000001</v>
      </c>
      <c r="O474" s="52">
        <f>O475+O486</f>
        <v>115598.70000000001</v>
      </c>
      <c r="P474" s="299">
        <f t="shared" si="106"/>
        <v>0</v>
      </c>
    </row>
    <row r="475" spans="1:16" s="51" customFormat="1" ht="40.5" customHeight="1" x14ac:dyDescent="0.2">
      <c r="A475" s="106" t="s">
        <v>268</v>
      </c>
      <c r="B475" s="53" t="s">
        <v>159</v>
      </c>
      <c r="C475" s="53" t="s">
        <v>72</v>
      </c>
      <c r="D475" s="74" t="s">
        <v>267</v>
      </c>
      <c r="E475" s="53"/>
      <c r="F475" s="52">
        <f>F478+F480+F484+F476+F482</f>
        <v>60720.1</v>
      </c>
      <c r="G475" s="52">
        <f>G478+G480+G484+G476+G482</f>
        <v>60720.1</v>
      </c>
      <c r="H475" s="299">
        <f t="shared" si="105"/>
        <v>0</v>
      </c>
      <c r="I475" s="52">
        <f>I478+I480+I484+I476+I482</f>
        <v>25376.3</v>
      </c>
      <c r="J475" s="52">
        <f>J478+J480+J484+J476+J482</f>
        <v>60720.1</v>
      </c>
      <c r="K475" s="299">
        <f t="shared" si="112"/>
        <v>0</v>
      </c>
      <c r="L475" s="52">
        <f>L478+L480+L484+L476+L482</f>
        <v>25376.3</v>
      </c>
      <c r="M475" s="299">
        <f t="shared" si="114"/>
        <v>0</v>
      </c>
      <c r="N475" s="52">
        <f>N478+N480+N484+N476+N482</f>
        <v>98711.3</v>
      </c>
      <c r="O475" s="52">
        <f>O478+O480+O484+O476+O482</f>
        <v>98711.3</v>
      </c>
      <c r="P475" s="299">
        <f t="shared" si="106"/>
        <v>0</v>
      </c>
    </row>
    <row r="476" spans="1:16" s="51" customFormat="1" ht="43.5" customHeight="1" x14ac:dyDescent="0.2">
      <c r="A476" s="106" t="s">
        <v>266</v>
      </c>
      <c r="B476" s="53" t="s">
        <v>159</v>
      </c>
      <c r="C476" s="53" t="s">
        <v>72</v>
      </c>
      <c r="D476" s="74" t="s">
        <v>265</v>
      </c>
      <c r="E476" s="53"/>
      <c r="F476" s="52">
        <f>F477</f>
        <v>196.60000000000002</v>
      </c>
      <c r="G476" s="52">
        <f>G477</f>
        <v>196.60000000000002</v>
      </c>
      <c r="H476" s="299">
        <f t="shared" si="105"/>
        <v>0</v>
      </c>
      <c r="I476" s="52">
        <f>I477</f>
        <v>0</v>
      </c>
      <c r="J476" s="52">
        <f>J477</f>
        <v>196.60000000000002</v>
      </c>
      <c r="K476" s="299">
        <f t="shared" si="112"/>
        <v>0</v>
      </c>
      <c r="L476" s="52">
        <f>L477</f>
        <v>0</v>
      </c>
      <c r="M476" s="299">
        <f t="shared" si="114"/>
        <v>0</v>
      </c>
      <c r="N476" s="52">
        <f>N477</f>
        <v>0</v>
      </c>
      <c r="O476" s="52">
        <f>O477</f>
        <v>0</v>
      </c>
      <c r="P476" s="299">
        <f t="shared" si="106"/>
        <v>0</v>
      </c>
    </row>
    <row r="477" spans="1:16" s="51" customFormat="1" ht="17.25" customHeight="1" x14ac:dyDescent="0.2">
      <c r="A477" s="102" t="s">
        <v>98</v>
      </c>
      <c r="B477" s="53" t="s">
        <v>159</v>
      </c>
      <c r="C477" s="53" t="s">
        <v>72</v>
      </c>
      <c r="D477" s="74" t="s">
        <v>265</v>
      </c>
      <c r="E477" s="53" t="s">
        <v>81</v>
      </c>
      <c r="F477" s="52">
        <f>184.8+11.8</f>
        <v>196.60000000000002</v>
      </c>
      <c r="G477" s="52">
        <f>184.8+11.8</f>
        <v>196.60000000000002</v>
      </c>
      <c r="H477" s="299">
        <f t="shared" si="105"/>
        <v>0</v>
      </c>
      <c r="I477" s="52">
        <v>0</v>
      </c>
      <c r="J477" s="52">
        <f>184.8+11.8</f>
        <v>196.60000000000002</v>
      </c>
      <c r="K477" s="299">
        <f t="shared" si="112"/>
        <v>0</v>
      </c>
      <c r="L477" s="52">
        <v>0</v>
      </c>
      <c r="M477" s="299">
        <f t="shared" si="114"/>
        <v>0</v>
      </c>
      <c r="N477" s="65">
        <v>0</v>
      </c>
      <c r="O477" s="65">
        <v>0</v>
      </c>
      <c r="P477" s="299">
        <f t="shared" si="106"/>
        <v>0</v>
      </c>
    </row>
    <row r="478" spans="1:16" s="51" customFormat="1" ht="16.5" customHeight="1" x14ac:dyDescent="0.2">
      <c r="A478" s="106" t="s">
        <v>264</v>
      </c>
      <c r="B478" s="53" t="s">
        <v>159</v>
      </c>
      <c r="C478" s="53" t="s">
        <v>72</v>
      </c>
      <c r="D478" s="74" t="s">
        <v>263</v>
      </c>
      <c r="E478" s="53"/>
      <c r="F478" s="52">
        <f>F479</f>
        <v>49187.8</v>
      </c>
      <c r="G478" s="52">
        <f>G479</f>
        <v>49187.8</v>
      </c>
      <c r="H478" s="299">
        <f t="shared" si="105"/>
        <v>0</v>
      </c>
      <c r="I478" s="52">
        <f>I479</f>
        <v>-3.638200851696638E-13</v>
      </c>
      <c r="J478" s="52">
        <f>J479</f>
        <v>49187.8</v>
      </c>
      <c r="K478" s="299">
        <f t="shared" si="112"/>
        <v>0</v>
      </c>
      <c r="L478" s="52">
        <f>L479</f>
        <v>-3.638200851696638E-13</v>
      </c>
      <c r="M478" s="299">
        <f t="shared" si="114"/>
        <v>0</v>
      </c>
      <c r="N478" s="52">
        <f>N479</f>
        <v>0</v>
      </c>
      <c r="O478" s="52">
        <f>O479</f>
        <v>0</v>
      </c>
      <c r="P478" s="299">
        <f t="shared" si="106"/>
        <v>0</v>
      </c>
    </row>
    <row r="479" spans="1:16" s="51" customFormat="1" ht="16.5" customHeight="1" x14ac:dyDescent="0.2">
      <c r="A479" s="102" t="s">
        <v>98</v>
      </c>
      <c r="B479" s="53" t="s">
        <v>159</v>
      </c>
      <c r="C479" s="53" t="s">
        <v>72</v>
      </c>
      <c r="D479" s="74" t="s">
        <v>263</v>
      </c>
      <c r="E479" s="53" t="s">
        <v>81</v>
      </c>
      <c r="F479" s="52">
        <f>12294.5+2.5+36883.4+7.4</f>
        <v>49187.8</v>
      </c>
      <c r="G479" s="52">
        <f>12294.5+2.5+36883.4+7.4</f>
        <v>49187.8</v>
      </c>
      <c r="H479" s="299">
        <f t="shared" si="105"/>
        <v>0</v>
      </c>
      <c r="I479" s="52">
        <f>4303+0.9-4303-0.9</f>
        <v>-3.638200851696638E-13</v>
      </c>
      <c r="J479" s="52">
        <f>12294.5+2.5+36883.4+7.4</f>
        <v>49187.8</v>
      </c>
      <c r="K479" s="299">
        <f t="shared" si="112"/>
        <v>0</v>
      </c>
      <c r="L479" s="52">
        <f>4303+0.9-4303-0.9</f>
        <v>-3.638200851696638E-13</v>
      </c>
      <c r="M479" s="299">
        <f t="shared" si="114"/>
        <v>0</v>
      </c>
      <c r="N479" s="52">
        <v>0</v>
      </c>
      <c r="O479" s="52">
        <v>0</v>
      </c>
      <c r="P479" s="299">
        <f t="shared" si="106"/>
        <v>0</v>
      </c>
    </row>
    <row r="480" spans="1:16" s="51" customFormat="1" ht="58.5" customHeight="1" x14ac:dyDescent="0.2">
      <c r="A480" s="106" t="s">
        <v>262</v>
      </c>
      <c r="B480" s="53" t="s">
        <v>159</v>
      </c>
      <c r="C480" s="53" t="s">
        <v>72</v>
      </c>
      <c r="D480" s="74" t="s">
        <v>261</v>
      </c>
      <c r="E480" s="53"/>
      <c r="F480" s="52">
        <f>F481</f>
        <v>11335.7</v>
      </c>
      <c r="G480" s="52">
        <f>G481</f>
        <v>11335.7</v>
      </c>
      <c r="H480" s="299">
        <f t="shared" si="105"/>
        <v>0</v>
      </c>
      <c r="I480" s="52">
        <f>I481</f>
        <v>13079.5</v>
      </c>
      <c r="J480" s="52">
        <f>J481</f>
        <v>11335.7</v>
      </c>
      <c r="K480" s="299">
        <f t="shared" si="112"/>
        <v>0</v>
      </c>
      <c r="L480" s="52">
        <f>L481</f>
        <v>13079.5</v>
      </c>
      <c r="M480" s="299">
        <f t="shared" si="114"/>
        <v>0</v>
      </c>
      <c r="N480" s="52">
        <f>N481</f>
        <v>13284</v>
      </c>
      <c r="O480" s="52">
        <f>O481</f>
        <v>13284</v>
      </c>
      <c r="P480" s="299">
        <f t="shared" si="106"/>
        <v>0</v>
      </c>
    </row>
    <row r="481" spans="1:16" s="51" customFormat="1" ht="15.75" customHeight="1" x14ac:dyDescent="0.2">
      <c r="A481" s="102" t="s">
        <v>98</v>
      </c>
      <c r="B481" s="53" t="s">
        <v>159</v>
      </c>
      <c r="C481" s="53" t="s">
        <v>72</v>
      </c>
      <c r="D481" s="74" t="s">
        <v>261</v>
      </c>
      <c r="E481" s="53" t="s">
        <v>81</v>
      </c>
      <c r="F481" s="52">
        <f>2833.3+0.6+8500.1+1.7</f>
        <v>11335.7</v>
      </c>
      <c r="G481" s="52">
        <f>2833.3+0.6+8500.1+1.7</f>
        <v>11335.7</v>
      </c>
      <c r="H481" s="299">
        <f t="shared" si="105"/>
        <v>0</v>
      </c>
      <c r="I481" s="52">
        <f>4576.9+0.9+8500+1.7</f>
        <v>13079.5</v>
      </c>
      <c r="J481" s="52">
        <f>2833.3+0.6+8500.1+1.7</f>
        <v>11335.7</v>
      </c>
      <c r="K481" s="299">
        <f t="shared" si="112"/>
        <v>0</v>
      </c>
      <c r="L481" s="52">
        <f>4576.9+0.9+8500+1.7</f>
        <v>13079.5</v>
      </c>
      <c r="M481" s="299">
        <f t="shared" si="114"/>
        <v>0</v>
      </c>
      <c r="N481" s="65">
        <f>13281.3+2.7</f>
        <v>13284</v>
      </c>
      <c r="O481" s="65">
        <f>13281.3+2.7</f>
        <v>13284</v>
      </c>
      <c r="P481" s="299">
        <f t="shared" si="106"/>
        <v>0</v>
      </c>
    </row>
    <row r="482" spans="1:16" s="51" customFormat="1" ht="27" customHeight="1" x14ac:dyDescent="0.2">
      <c r="A482" s="75" t="s">
        <v>260</v>
      </c>
      <c r="B482" s="53" t="s">
        <v>159</v>
      </c>
      <c r="C482" s="53" t="s">
        <v>72</v>
      </c>
      <c r="D482" s="74" t="s">
        <v>259</v>
      </c>
      <c r="E482" s="53"/>
      <c r="F482" s="52">
        <f>F483</f>
        <v>0</v>
      </c>
      <c r="G482" s="52">
        <f>G483</f>
        <v>0</v>
      </c>
      <c r="H482" s="299">
        <f t="shared" si="105"/>
        <v>0</v>
      </c>
      <c r="I482" s="52">
        <f>I483</f>
        <v>12296.8</v>
      </c>
      <c r="J482" s="52">
        <f>J483</f>
        <v>0</v>
      </c>
      <c r="K482" s="299">
        <f t="shared" si="112"/>
        <v>0</v>
      </c>
      <c r="L482" s="52">
        <f>L483</f>
        <v>12296.8</v>
      </c>
      <c r="M482" s="299">
        <f t="shared" si="114"/>
        <v>0</v>
      </c>
      <c r="N482" s="52">
        <f>N483</f>
        <v>85427.3</v>
      </c>
      <c r="O482" s="52">
        <f>O483</f>
        <v>85427.3</v>
      </c>
      <c r="P482" s="299">
        <f t="shared" si="106"/>
        <v>0</v>
      </c>
    </row>
    <row r="483" spans="1:16" s="51" customFormat="1" ht="15.75" customHeight="1" x14ac:dyDescent="0.2">
      <c r="A483" s="82" t="s">
        <v>98</v>
      </c>
      <c r="B483" s="53" t="s">
        <v>159</v>
      </c>
      <c r="C483" s="53" t="s">
        <v>72</v>
      </c>
      <c r="D483" s="74" t="s">
        <v>259</v>
      </c>
      <c r="E483" s="53" t="s">
        <v>81</v>
      </c>
      <c r="F483" s="52">
        <v>0</v>
      </c>
      <c r="G483" s="52">
        <v>0</v>
      </c>
      <c r="H483" s="299">
        <f t="shared" si="105"/>
        <v>0</v>
      </c>
      <c r="I483" s="52">
        <f>12294.3+2.5</f>
        <v>12296.8</v>
      </c>
      <c r="J483" s="52">
        <v>0</v>
      </c>
      <c r="K483" s="299">
        <f t="shared" si="112"/>
        <v>0</v>
      </c>
      <c r="L483" s="52">
        <f>12294.3+2.5</f>
        <v>12296.8</v>
      </c>
      <c r="M483" s="299">
        <f t="shared" si="114"/>
        <v>0</v>
      </c>
      <c r="N483" s="65">
        <f>85410.2+17.1</f>
        <v>85427.3</v>
      </c>
      <c r="O483" s="65">
        <f>85410.2+17.1</f>
        <v>85427.3</v>
      </c>
      <c r="P483" s="299">
        <f t="shared" si="106"/>
        <v>0</v>
      </c>
    </row>
    <row r="484" spans="1:16" s="51" customFormat="1" ht="78" hidden="1" customHeight="1" x14ac:dyDescent="0.2">
      <c r="A484" s="112" t="s">
        <v>258</v>
      </c>
      <c r="B484" s="53" t="s">
        <v>159</v>
      </c>
      <c r="C484" s="53" t="s">
        <v>72</v>
      </c>
      <c r="D484" s="74" t="s">
        <v>257</v>
      </c>
      <c r="E484" s="53"/>
      <c r="F484" s="52">
        <f>F485</f>
        <v>9.0927265716800321E-14</v>
      </c>
      <c r="G484" s="52">
        <f>G485</f>
        <v>9.0927265716800321E-14</v>
      </c>
      <c r="H484" s="299">
        <f t="shared" si="105"/>
        <v>0</v>
      </c>
      <c r="I484" s="52">
        <f>I485</f>
        <v>0</v>
      </c>
      <c r="J484" s="52">
        <f>J485</f>
        <v>9.0927265716800321E-14</v>
      </c>
      <c r="K484" s="299">
        <f t="shared" si="112"/>
        <v>0</v>
      </c>
      <c r="L484" s="52">
        <f>L485</f>
        <v>0</v>
      </c>
      <c r="M484" s="299">
        <f t="shared" si="114"/>
        <v>0</v>
      </c>
      <c r="N484" s="52">
        <f>N485</f>
        <v>0</v>
      </c>
      <c r="O484" s="52">
        <f>O485</f>
        <v>0</v>
      </c>
      <c r="P484" s="299">
        <f t="shared" si="106"/>
        <v>0</v>
      </c>
    </row>
    <row r="485" spans="1:16" s="51" customFormat="1" ht="15.75" hidden="1" customHeight="1" x14ac:dyDescent="0.2">
      <c r="A485" s="97" t="s">
        <v>98</v>
      </c>
      <c r="B485" s="53" t="s">
        <v>159</v>
      </c>
      <c r="C485" s="53" t="s">
        <v>72</v>
      </c>
      <c r="D485" s="74" t="s">
        <v>257</v>
      </c>
      <c r="E485" s="53" t="s">
        <v>81</v>
      </c>
      <c r="F485" s="52">
        <f>2000+0.4-2000-0.4</f>
        <v>9.0927265716800321E-14</v>
      </c>
      <c r="G485" s="52">
        <f>2000+0.4-2000-0.4</f>
        <v>9.0927265716800321E-14</v>
      </c>
      <c r="H485" s="299">
        <f t="shared" si="105"/>
        <v>0</v>
      </c>
      <c r="I485" s="52">
        <v>0</v>
      </c>
      <c r="J485" s="52">
        <f>2000+0.4-2000-0.4</f>
        <v>9.0927265716800321E-14</v>
      </c>
      <c r="K485" s="299">
        <f t="shared" si="112"/>
        <v>0</v>
      </c>
      <c r="L485" s="52">
        <v>0</v>
      </c>
      <c r="M485" s="299">
        <f t="shared" si="114"/>
        <v>0</v>
      </c>
      <c r="N485" s="52">
        <v>0</v>
      </c>
      <c r="O485" s="52">
        <v>0</v>
      </c>
      <c r="P485" s="299">
        <f t="shared" si="106"/>
        <v>0</v>
      </c>
    </row>
    <row r="486" spans="1:16" s="51" customFormat="1" ht="30" customHeight="1" x14ac:dyDescent="0.2">
      <c r="A486" s="75" t="s">
        <v>1100</v>
      </c>
      <c r="B486" s="53" t="s">
        <v>159</v>
      </c>
      <c r="C486" s="53" t="s">
        <v>72</v>
      </c>
      <c r="D486" s="74" t="s">
        <v>256</v>
      </c>
      <c r="E486" s="53"/>
      <c r="F486" s="52">
        <f>F489+F491+F487</f>
        <v>16384.5</v>
      </c>
      <c r="G486" s="52">
        <f>G489+G491+G487</f>
        <v>16384.5</v>
      </c>
      <c r="H486" s="299">
        <f t="shared" si="105"/>
        <v>0</v>
      </c>
      <c r="I486" s="52">
        <f>I489+I491+I487</f>
        <v>16396</v>
      </c>
      <c r="J486" s="52">
        <f>J489+J491+J487</f>
        <v>16384.5</v>
      </c>
      <c r="K486" s="299">
        <f t="shared" si="112"/>
        <v>0</v>
      </c>
      <c r="L486" s="52">
        <f>L489+L491+L487</f>
        <v>16396</v>
      </c>
      <c r="M486" s="299">
        <f t="shared" si="114"/>
        <v>0</v>
      </c>
      <c r="N486" s="52">
        <f>N489+N491+N487</f>
        <v>16887.400000000001</v>
      </c>
      <c r="O486" s="52">
        <f>O489+O491+O487</f>
        <v>16887.400000000001</v>
      </c>
      <c r="P486" s="299">
        <f t="shared" si="106"/>
        <v>0</v>
      </c>
    </row>
    <row r="487" spans="1:16" s="51" customFormat="1" ht="81.75" customHeight="1" x14ac:dyDescent="0.2">
      <c r="A487" s="116" t="s">
        <v>255</v>
      </c>
      <c r="B487" s="53" t="s">
        <v>159</v>
      </c>
      <c r="C487" s="53" t="s">
        <v>72</v>
      </c>
      <c r="D487" s="74" t="s">
        <v>254</v>
      </c>
      <c r="E487" s="53"/>
      <c r="F487" s="52">
        <f>F488</f>
        <v>547.4</v>
      </c>
      <c r="G487" s="52">
        <f>G488</f>
        <v>547.4</v>
      </c>
      <c r="H487" s="299">
        <f t="shared" ref="H487:H559" si="119">G487-F487</f>
        <v>0</v>
      </c>
      <c r="I487" s="52">
        <f>I488</f>
        <v>547.4</v>
      </c>
      <c r="J487" s="52">
        <f>J488</f>
        <v>547.4</v>
      </c>
      <c r="K487" s="299">
        <f t="shared" si="112"/>
        <v>0</v>
      </c>
      <c r="L487" s="52">
        <f>L488</f>
        <v>547.4</v>
      </c>
      <c r="M487" s="299">
        <f t="shared" si="114"/>
        <v>0</v>
      </c>
      <c r="N487" s="52">
        <f>N488</f>
        <v>547.4</v>
      </c>
      <c r="O487" s="52">
        <f>O488</f>
        <v>547.4</v>
      </c>
      <c r="P487" s="299">
        <f t="shared" ref="P487:P559" si="120">O487-N487</f>
        <v>0</v>
      </c>
    </row>
    <row r="488" spans="1:16" s="51" customFormat="1" ht="15.75" customHeight="1" x14ac:dyDescent="0.2">
      <c r="A488" s="97" t="s">
        <v>98</v>
      </c>
      <c r="B488" s="53" t="s">
        <v>159</v>
      </c>
      <c r="C488" s="53" t="s">
        <v>72</v>
      </c>
      <c r="D488" s="74" t="s">
        <v>254</v>
      </c>
      <c r="E488" s="53" t="s">
        <v>81</v>
      </c>
      <c r="F488" s="52">
        <v>547.4</v>
      </c>
      <c r="G488" s="52">
        <v>547.4</v>
      </c>
      <c r="H488" s="299">
        <f t="shared" si="119"/>
        <v>0</v>
      </c>
      <c r="I488" s="52">
        <v>547.4</v>
      </c>
      <c r="J488" s="52">
        <v>547.4</v>
      </c>
      <c r="K488" s="299">
        <f t="shared" si="112"/>
        <v>0</v>
      </c>
      <c r="L488" s="52">
        <v>547.4</v>
      </c>
      <c r="M488" s="299">
        <f t="shared" si="114"/>
        <v>0</v>
      </c>
      <c r="N488" s="52">
        <v>547.4</v>
      </c>
      <c r="O488" s="52">
        <v>547.4</v>
      </c>
      <c r="P488" s="299">
        <f t="shared" si="120"/>
        <v>0</v>
      </c>
    </row>
    <row r="489" spans="1:16" s="51" customFormat="1" ht="40.5" customHeight="1" x14ac:dyDescent="0.2">
      <c r="A489" s="75" t="s">
        <v>253</v>
      </c>
      <c r="B489" s="53" t="s">
        <v>159</v>
      </c>
      <c r="C489" s="53" t="s">
        <v>72</v>
      </c>
      <c r="D489" s="74" t="s">
        <v>252</v>
      </c>
      <c r="E489" s="53"/>
      <c r="F489" s="52">
        <f>F490</f>
        <v>785</v>
      </c>
      <c r="G489" s="52">
        <f>G490</f>
        <v>785</v>
      </c>
      <c r="H489" s="299">
        <f t="shared" si="119"/>
        <v>0</v>
      </c>
      <c r="I489" s="52">
        <f>I490</f>
        <v>796.9</v>
      </c>
      <c r="J489" s="52">
        <f>J490</f>
        <v>785</v>
      </c>
      <c r="K489" s="299">
        <f t="shared" si="112"/>
        <v>0</v>
      </c>
      <c r="L489" s="52">
        <f>L490</f>
        <v>796.9</v>
      </c>
      <c r="M489" s="299">
        <f t="shared" si="114"/>
        <v>0</v>
      </c>
      <c r="N489" s="52">
        <f>N490</f>
        <v>811.3</v>
      </c>
      <c r="O489" s="52">
        <f>O490</f>
        <v>811.3</v>
      </c>
      <c r="P489" s="299">
        <f t="shared" si="120"/>
        <v>0</v>
      </c>
    </row>
    <row r="490" spans="1:16" s="51" customFormat="1" ht="15.75" customHeight="1" x14ac:dyDescent="0.2">
      <c r="A490" s="97" t="s">
        <v>98</v>
      </c>
      <c r="B490" s="53" t="s">
        <v>159</v>
      </c>
      <c r="C490" s="53" t="s">
        <v>72</v>
      </c>
      <c r="D490" s="74" t="s">
        <v>252</v>
      </c>
      <c r="E490" s="53" t="s">
        <v>81</v>
      </c>
      <c r="F490" s="52">
        <f>31.3+753.7</f>
        <v>785</v>
      </c>
      <c r="G490" s="52">
        <f>31.3+753.7</f>
        <v>785</v>
      </c>
      <c r="H490" s="299">
        <f t="shared" si="119"/>
        <v>0</v>
      </c>
      <c r="I490" s="52">
        <f>330.5+466.4</f>
        <v>796.9</v>
      </c>
      <c r="J490" s="52">
        <f>31.3+753.7</f>
        <v>785</v>
      </c>
      <c r="K490" s="299">
        <f t="shared" si="112"/>
        <v>0</v>
      </c>
      <c r="L490" s="52">
        <f>330.5+466.4</f>
        <v>796.9</v>
      </c>
      <c r="M490" s="299">
        <f t="shared" si="114"/>
        <v>0</v>
      </c>
      <c r="N490" s="65">
        <f>330.5+480.8</f>
        <v>811.3</v>
      </c>
      <c r="O490" s="65">
        <f>330.5+480.8</f>
        <v>811.3</v>
      </c>
      <c r="P490" s="299">
        <f t="shared" si="120"/>
        <v>0</v>
      </c>
    </row>
    <row r="491" spans="1:16" s="51" customFormat="1" ht="81.75" customHeight="1" x14ac:dyDescent="0.2">
      <c r="A491" s="75" t="s">
        <v>251</v>
      </c>
      <c r="B491" s="53" t="s">
        <v>159</v>
      </c>
      <c r="C491" s="53" t="s">
        <v>72</v>
      </c>
      <c r="D491" s="74" t="s">
        <v>250</v>
      </c>
      <c r="E491" s="53"/>
      <c r="F491" s="52">
        <f>F492</f>
        <v>15052.1</v>
      </c>
      <c r="G491" s="52">
        <f>G492</f>
        <v>15052.1</v>
      </c>
      <c r="H491" s="299">
        <f t="shared" si="119"/>
        <v>0</v>
      </c>
      <c r="I491" s="52">
        <f>I492</f>
        <v>15051.7</v>
      </c>
      <c r="J491" s="52">
        <f>J492</f>
        <v>15052.1</v>
      </c>
      <c r="K491" s="299">
        <f t="shared" si="112"/>
        <v>0</v>
      </c>
      <c r="L491" s="52">
        <f>L492</f>
        <v>15051.7</v>
      </c>
      <c r="M491" s="299">
        <f t="shared" si="114"/>
        <v>0</v>
      </c>
      <c r="N491" s="52">
        <f>N492</f>
        <v>15528.7</v>
      </c>
      <c r="O491" s="52">
        <f>O492</f>
        <v>15528.7</v>
      </c>
      <c r="P491" s="299">
        <f t="shared" si="120"/>
        <v>0</v>
      </c>
    </row>
    <row r="492" spans="1:16" s="51" customFormat="1" ht="15.75" customHeight="1" x14ac:dyDescent="0.2">
      <c r="A492" s="97" t="s">
        <v>98</v>
      </c>
      <c r="B492" s="53" t="s">
        <v>159</v>
      </c>
      <c r="C492" s="53" t="s">
        <v>72</v>
      </c>
      <c r="D492" s="74" t="s">
        <v>250</v>
      </c>
      <c r="E492" s="53" t="s">
        <v>81</v>
      </c>
      <c r="F492" s="52">
        <f>15052.1</f>
        <v>15052.1</v>
      </c>
      <c r="G492" s="52">
        <f>15052.1</f>
        <v>15052.1</v>
      </c>
      <c r="H492" s="299">
        <f t="shared" si="119"/>
        <v>0</v>
      </c>
      <c r="I492" s="52">
        <v>15051.7</v>
      </c>
      <c r="J492" s="52">
        <f>15052.1</f>
        <v>15052.1</v>
      </c>
      <c r="K492" s="299">
        <f t="shared" si="112"/>
        <v>0</v>
      </c>
      <c r="L492" s="52">
        <v>15051.7</v>
      </c>
      <c r="M492" s="299">
        <f t="shared" si="114"/>
        <v>0</v>
      </c>
      <c r="N492" s="65">
        <v>15528.7</v>
      </c>
      <c r="O492" s="65">
        <v>15528.7</v>
      </c>
      <c r="P492" s="299">
        <f t="shared" si="120"/>
        <v>0</v>
      </c>
    </row>
    <row r="493" spans="1:16" s="51" customFormat="1" ht="15.75" customHeight="1" x14ac:dyDescent="0.2">
      <c r="A493" s="106" t="s">
        <v>66</v>
      </c>
      <c r="B493" s="53" t="s">
        <v>159</v>
      </c>
      <c r="C493" s="53" t="s">
        <v>72</v>
      </c>
      <c r="D493" s="74" t="s">
        <v>224</v>
      </c>
      <c r="E493" s="53"/>
      <c r="F493" s="52">
        <f>F494</f>
        <v>50067.199999999997</v>
      </c>
      <c r="G493" s="52">
        <f>G494</f>
        <v>51563.7</v>
      </c>
      <c r="H493" s="299">
        <f t="shared" si="119"/>
        <v>1496.5</v>
      </c>
      <c r="I493" s="52">
        <f>I494</f>
        <v>12090.900000000001</v>
      </c>
      <c r="J493" s="52">
        <f>J494</f>
        <v>50987.1</v>
      </c>
      <c r="K493" s="299">
        <f t="shared" si="112"/>
        <v>-576.59999999999854</v>
      </c>
      <c r="L493" s="52">
        <f>L494</f>
        <v>12090.900000000001</v>
      </c>
      <c r="M493" s="299">
        <f t="shared" si="114"/>
        <v>0</v>
      </c>
      <c r="N493" s="52">
        <f>N494</f>
        <v>9844.4</v>
      </c>
      <c r="O493" s="52">
        <f>O494</f>
        <v>9844.4</v>
      </c>
      <c r="P493" s="299">
        <f t="shared" si="120"/>
        <v>0</v>
      </c>
    </row>
    <row r="494" spans="1:16" s="51" customFormat="1" ht="30" customHeight="1" x14ac:dyDescent="0.2">
      <c r="A494" s="76" t="s">
        <v>249</v>
      </c>
      <c r="B494" s="53" t="s">
        <v>159</v>
      </c>
      <c r="C494" s="53" t="s">
        <v>72</v>
      </c>
      <c r="D494" s="74" t="s">
        <v>248</v>
      </c>
      <c r="E494" s="53"/>
      <c r="F494" s="52">
        <f>F501+F511+F499+F516+F509+F507+F513+F503+F495+F497+F505</f>
        <v>50067.199999999997</v>
      </c>
      <c r="G494" s="52">
        <f t="shared" ref="G494:O494" si="121">G501+G511+G499+G516+G509+G507+G513+G503+G495+G497+G505</f>
        <v>51563.7</v>
      </c>
      <c r="H494" s="299">
        <f t="shared" si="119"/>
        <v>1496.5</v>
      </c>
      <c r="I494" s="52">
        <f t="shared" si="121"/>
        <v>12090.900000000001</v>
      </c>
      <c r="J494" s="52">
        <f t="shared" si="121"/>
        <v>50987.1</v>
      </c>
      <c r="K494" s="299">
        <f t="shared" si="112"/>
        <v>-576.59999999999854</v>
      </c>
      <c r="L494" s="52">
        <f t="shared" si="121"/>
        <v>12090.900000000001</v>
      </c>
      <c r="M494" s="299">
        <f t="shared" si="114"/>
        <v>0</v>
      </c>
      <c r="N494" s="52">
        <f t="shared" si="121"/>
        <v>9844.4</v>
      </c>
      <c r="O494" s="52">
        <f t="shared" si="121"/>
        <v>9844.4</v>
      </c>
      <c r="P494" s="299">
        <f t="shared" si="120"/>
        <v>0</v>
      </c>
    </row>
    <row r="495" spans="1:16" s="51" customFormat="1" ht="42" customHeight="1" x14ac:dyDescent="0.2">
      <c r="A495" s="56" t="s">
        <v>1083</v>
      </c>
      <c r="B495" s="53" t="s">
        <v>159</v>
      </c>
      <c r="C495" s="53" t="s">
        <v>72</v>
      </c>
      <c r="D495" s="54" t="s">
        <v>1084</v>
      </c>
      <c r="E495" s="53"/>
      <c r="F495" s="52">
        <f>F496</f>
        <v>0</v>
      </c>
      <c r="G495" s="52">
        <f t="shared" ref="G495:O495" si="122">G496</f>
        <v>40</v>
      </c>
      <c r="H495" s="299">
        <f t="shared" si="119"/>
        <v>40</v>
      </c>
      <c r="I495" s="52">
        <f t="shared" si="122"/>
        <v>0</v>
      </c>
      <c r="J495" s="52">
        <f t="shared" si="122"/>
        <v>40</v>
      </c>
      <c r="K495" s="299">
        <f t="shared" si="112"/>
        <v>0</v>
      </c>
      <c r="L495" s="52">
        <f t="shared" si="122"/>
        <v>0</v>
      </c>
      <c r="M495" s="299">
        <f t="shared" si="114"/>
        <v>0</v>
      </c>
      <c r="N495" s="52">
        <f t="shared" si="122"/>
        <v>0</v>
      </c>
      <c r="O495" s="52">
        <f t="shared" si="122"/>
        <v>0</v>
      </c>
      <c r="P495" s="299">
        <f t="shared" si="120"/>
        <v>0</v>
      </c>
    </row>
    <row r="496" spans="1:16" s="51" customFormat="1" ht="15.75" customHeight="1" x14ac:dyDescent="0.2">
      <c r="A496" s="113" t="s">
        <v>98</v>
      </c>
      <c r="B496" s="53" t="s">
        <v>159</v>
      </c>
      <c r="C496" s="53" t="s">
        <v>72</v>
      </c>
      <c r="D496" s="54" t="s">
        <v>1084</v>
      </c>
      <c r="E496" s="53" t="s">
        <v>81</v>
      </c>
      <c r="F496" s="52">
        <v>0</v>
      </c>
      <c r="G496" s="52">
        <f>40</f>
        <v>40</v>
      </c>
      <c r="H496" s="299">
        <f t="shared" si="119"/>
        <v>40</v>
      </c>
      <c r="I496" s="52">
        <v>0</v>
      </c>
      <c r="J496" s="52">
        <f>40</f>
        <v>40</v>
      </c>
      <c r="K496" s="299">
        <f t="shared" si="112"/>
        <v>0</v>
      </c>
      <c r="L496" s="52">
        <v>0</v>
      </c>
      <c r="M496" s="299">
        <f t="shared" si="114"/>
        <v>0</v>
      </c>
      <c r="N496" s="52">
        <v>0</v>
      </c>
      <c r="O496" s="52">
        <v>0</v>
      </c>
      <c r="P496" s="299">
        <f t="shared" si="120"/>
        <v>0</v>
      </c>
    </row>
    <row r="497" spans="1:16" s="51" customFormat="1" ht="27.75" customHeight="1" x14ac:dyDescent="0.2">
      <c r="A497" s="114" t="s">
        <v>1085</v>
      </c>
      <c r="B497" s="53" t="s">
        <v>159</v>
      </c>
      <c r="C497" s="53" t="s">
        <v>72</v>
      </c>
      <c r="D497" s="54" t="s">
        <v>1086</v>
      </c>
      <c r="E497" s="53"/>
      <c r="F497" s="52">
        <f>F498</f>
        <v>0</v>
      </c>
      <c r="G497" s="52">
        <f t="shared" ref="G497:O497" si="123">G498</f>
        <v>583.70000000000005</v>
      </c>
      <c r="H497" s="299">
        <f t="shared" si="119"/>
        <v>583.70000000000005</v>
      </c>
      <c r="I497" s="52">
        <f t="shared" si="123"/>
        <v>0</v>
      </c>
      <c r="J497" s="52">
        <f t="shared" si="123"/>
        <v>583.70000000000005</v>
      </c>
      <c r="K497" s="299">
        <f t="shared" si="112"/>
        <v>0</v>
      </c>
      <c r="L497" s="52">
        <f t="shared" si="123"/>
        <v>0</v>
      </c>
      <c r="M497" s="299">
        <f t="shared" si="114"/>
        <v>0</v>
      </c>
      <c r="N497" s="52">
        <f t="shared" si="123"/>
        <v>0</v>
      </c>
      <c r="O497" s="52">
        <f t="shared" si="123"/>
        <v>0</v>
      </c>
      <c r="P497" s="299">
        <f t="shared" si="120"/>
        <v>0</v>
      </c>
    </row>
    <row r="498" spans="1:16" s="51" customFormat="1" ht="15.75" customHeight="1" x14ac:dyDescent="0.2">
      <c r="A498" s="113" t="s">
        <v>98</v>
      </c>
      <c r="B498" s="53" t="s">
        <v>159</v>
      </c>
      <c r="C498" s="53" t="s">
        <v>72</v>
      </c>
      <c r="D498" s="54" t="s">
        <v>1086</v>
      </c>
      <c r="E498" s="53" t="s">
        <v>81</v>
      </c>
      <c r="F498" s="52">
        <v>0</v>
      </c>
      <c r="G498" s="52">
        <f>146.6+210+227.1</f>
        <v>583.70000000000005</v>
      </c>
      <c r="H498" s="299">
        <f t="shared" si="119"/>
        <v>583.70000000000005</v>
      </c>
      <c r="I498" s="52">
        <v>0</v>
      </c>
      <c r="J498" s="52">
        <f>146.6+210+227.1</f>
        <v>583.70000000000005</v>
      </c>
      <c r="K498" s="299">
        <f t="shared" si="112"/>
        <v>0</v>
      </c>
      <c r="L498" s="52">
        <v>0</v>
      </c>
      <c r="M498" s="299">
        <f t="shared" si="114"/>
        <v>0</v>
      </c>
      <c r="N498" s="65">
        <v>0</v>
      </c>
      <c r="O498" s="52">
        <v>0</v>
      </c>
      <c r="P498" s="299">
        <f t="shared" si="120"/>
        <v>0</v>
      </c>
    </row>
    <row r="499" spans="1:16" s="51" customFormat="1" ht="15.75" customHeight="1" x14ac:dyDescent="0.2">
      <c r="A499" s="115" t="s">
        <v>247</v>
      </c>
      <c r="B499" s="53" t="s">
        <v>159</v>
      </c>
      <c r="C499" s="53" t="s">
        <v>72</v>
      </c>
      <c r="D499" s="74" t="s">
        <v>246</v>
      </c>
      <c r="E499" s="53"/>
      <c r="F499" s="52">
        <f>F500</f>
        <v>1000.2</v>
      </c>
      <c r="G499" s="52">
        <f>G500</f>
        <v>1000.2</v>
      </c>
      <c r="H499" s="299">
        <f t="shared" si="119"/>
        <v>0</v>
      </c>
      <c r="I499" s="52">
        <f>I500</f>
        <v>0</v>
      </c>
      <c r="J499" s="52">
        <f>J500</f>
        <v>1000.2</v>
      </c>
      <c r="K499" s="299">
        <f t="shared" si="112"/>
        <v>0</v>
      </c>
      <c r="L499" s="52">
        <f>L500</f>
        <v>0</v>
      </c>
      <c r="M499" s="299">
        <f t="shared" si="114"/>
        <v>0</v>
      </c>
      <c r="N499" s="52">
        <f>N500</f>
        <v>0</v>
      </c>
      <c r="O499" s="52">
        <f>O500</f>
        <v>0</v>
      </c>
      <c r="P499" s="299">
        <f t="shared" si="120"/>
        <v>0</v>
      </c>
    </row>
    <row r="500" spans="1:16" s="51" customFormat="1" ht="15.75" customHeight="1" x14ac:dyDescent="0.2">
      <c r="A500" s="97" t="s">
        <v>98</v>
      </c>
      <c r="B500" s="53" t="s">
        <v>159</v>
      </c>
      <c r="C500" s="53" t="s">
        <v>72</v>
      </c>
      <c r="D500" s="74" t="s">
        <v>246</v>
      </c>
      <c r="E500" s="53" t="s">
        <v>81</v>
      </c>
      <c r="F500" s="52">
        <f>1000+0.2</f>
        <v>1000.2</v>
      </c>
      <c r="G500" s="52">
        <f>1000+0.2</f>
        <v>1000.2</v>
      </c>
      <c r="H500" s="299">
        <f t="shared" si="119"/>
        <v>0</v>
      </c>
      <c r="I500" s="52">
        <v>0</v>
      </c>
      <c r="J500" s="52">
        <f>1000+0.2</f>
        <v>1000.2</v>
      </c>
      <c r="K500" s="299">
        <f t="shared" si="112"/>
        <v>0</v>
      </c>
      <c r="L500" s="52">
        <v>0</v>
      </c>
      <c r="M500" s="299">
        <f t="shared" si="114"/>
        <v>0</v>
      </c>
      <c r="N500" s="52">
        <v>0</v>
      </c>
      <c r="O500" s="52">
        <v>0</v>
      </c>
      <c r="P500" s="299">
        <f t="shared" si="120"/>
        <v>0</v>
      </c>
    </row>
    <row r="501" spans="1:16" s="51" customFormat="1" ht="28.5" customHeight="1" x14ac:dyDescent="0.2">
      <c r="A501" s="106" t="s">
        <v>245</v>
      </c>
      <c r="B501" s="53" t="s">
        <v>159</v>
      </c>
      <c r="C501" s="53" t="s">
        <v>72</v>
      </c>
      <c r="D501" s="74" t="s">
        <v>244</v>
      </c>
      <c r="E501" s="53"/>
      <c r="F501" s="52">
        <f>F502</f>
        <v>4592.7999999999993</v>
      </c>
      <c r="G501" s="52">
        <f>G502</f>
        <v>4592.7999999999993</v>
      </c>
      <c r="H501" s="299">
        <f t="shared" si="119"/>
        <v>0</v>
      </c>
      <c r="I501" s="52">
        <f>I502</f>
        <v>5561.3</v>
      </c>
      <c r="J501" s="52">
        <f>J502</f>
        <v>4592.7999999999993</v>
      </c>
      <c r="K501" s="299">
        <f t="shared" si="112"/>
        <v>0</v>
      </c>
      <c r="L501" s="52">
        <f>L502</f>
        <v>5561.3</v>
      </c>
      <c r="M501" s="299">
        <f t="shared" si="114"/>
        <v>0</v>
      </c>
      <c r="N501" s="52">
        <f>N502</f>
        <v>3616.2999999999997</v>
      </c>
      <c r="O501" s="52">
        <f>O502</f>
        <v>3616.2999999999997</v>
      </c>
      <c r="P501" s="299">
        <f t="shared" si="120"/>
        <v>0</v>
      </c>
    </row>
    <row r="502" spans="1:16" s="51" customFormat="1" ht="15.75" customHeight="1" x14ac:dyDescent="0.2">
      <c r="A502" s="97" t="s">
        <v>98</v>
      </c>
      <c r="B502" s="53" t="s">
        <v>159</v>
      </c>
      <c r="C502" s="53" t="s">
        <v>72</v>
      </c>
      <c r="D502" s="74" t="s">
        <v>244</v>
      </c>
      <c r="E502" s="53" t="s">
        <v>81</v>
      </c>
      <c r="F502" s="52">
        <f>4591.9+0.9</f>
        <v>4592.7999999999993</v>
      </c>
      <c r="G502" s="52">
        <f>4591.9+0.9</f>
        <v>4592.7999999999993</v>
      </c>
      <c r="H502" s="299">
        <f t="shared" si="119"/>
        <v>0</v>
      </c>
      <c r="I502" s="52">
        <f>5560.2+1.1</f>
        <v>5561.3</v>
      </c>
      <c r="J502" s="52">
        <f>4591.9+0.9</f>
        <v>4592.7999999999993</v>
      </c>
      <c r="K502" s="299">
        <f t="shared" si="112"/>
        <v>0</v>
      </c>
      <c r="L502" s="52">
        <f>5560.2+1.1</f>
        <v>5561.3</v>
      </c>
      <c r="M502" s="299">
        <f t="shared" si="114"/>
        <v>0</v>
      </c>
      <c r="N502" s="52">
        <f>3615.6+0.7</f>
        <v>3616.2999999999997</v>
      </c>
      <c r="O502" s="52">
        <f>3615.6+0.7</f>
        <v>3616.2999999999997</v>
      </c>
      <c r="P502" s="299">
        <f t="shared" si="120"/>
        <v>0</v>
      </c>
    </row>
    <row r="503" spans="1:16" s="51" customFormat="1" ht="26.25" customHeight="1" x14ac:dyDescent="0.2">
      <c r="A503" s="75" t="s">
        <v>243</v>
      </c>
      <c r="B503" s="53" t="s">
        <v>159</v>
      </c>
      <c r="C503" s="53" t="s">
        <v>72</v>
      </c>
      <c r="D503" s="103" t="s">
        <v>242</v>
      </c>
      <c r="E503" s="73"/>
      <c r="F503" s="104">
        <f>F504</f>
        <v>3650.2</v>
      </c>
      <c r="G503" s="104">
        <f>G504</f>
        <v>3650.2</v>
      </c>
      <c r="H503" s="299">
        <f t="shared" si="119"/>
        <v>0</v>
      </c>
      <c r="I503" s="104">
        <f>I504</f>
        <v>0</v>
      </c>
      <c r="J503" s="104">
        <f>J504</f>
        <v>3650.2</v>
      </c>
      <c r="K503" s="299">
        <f t="shared" si="112"/>
        <v>0</v>
      </c>
      <c r="L503" s="104">
        <f>L504</f>
        <v>0</v>
      </c>
      <c r="M503" s="299">
        <f t="shared" si="114"/>
        <v>0</v>
      </c>
      <c r="N503" s="104">
        <f>N504</f>
        <v>0</v>
      </c>
      <c r="O503" s="104">
        <f>O504</f>
        <v>0</v>
      </c>
      <c r="P503" s="299">
        <f t="shared" si="120"/>
        <v>0</v>
      </c>
    </row>
    <row r="504" spans="1:16" s="51" customFormat="1" ht="15.75" customHeight="1" x14ac:dyDescent="0.2">
      <c r="A504" s="97" t="s">
        <v>98</v>
      </c>
      <c r="B504" s="53" t="s">
        <v>159</v>
      </c>
      <c r="C504" s="53" t="s">
        <v>72</v>
      </c>
      <c r="D504" s="103" t="s">
        <v>242</v>
      </c>
      <c r="E504" s="73" t="s">
        <v>81</v>
      </c>
      <c r="F504" s="104">
        <f>2000+0.2+1650</f>
        <v>3650.2</v>
      </c>
      <c r="G504" s="104">
        <f>2000+0.2+1650</f>
        <v>3650.2</v>
      </c>
      <c r="H504" s="299">
        <f t="shared" si="119"/>
        <v>0</v>
      </c>
      <c r="I504" s="104">
        <v>0</v>
      </c>
      <c r="J504" s="104">
        <f>2000+0.2+1650</f>
        <v>3650.2</v>
      </c>
      <c r="K504" s="299">
        <f t="shared" si="112"/>
        <v>0</v>
      </c>
      <c r="L504" s="104">
        <v>0</v>
      </c>
      <c r="M504" s="299">
        <f t="shared" si="114"/>
        <v>0</v>
      </c>
      <c r="N504" s="111">
        <v>0</v>
      </c>
      <c r="O504" s="111">
        <v>0</v>
      </c>
      <c r="P504" s="299">
        <f t="shared" si="120"/>
        <v>0</v>
      </c>
    </row>
    <row r="505" spans="1:16" s="51" customFormat="1" ht="54" customHeight="1" x14ac:dyDescent="0.2">
      <c r="A505" s="75" t="s">
        <v>275</v>
      </c>
      <c r="B505" s="53" t="s">
        <v>159</v>
      </c>
      <c r="C505" s="53" t="s">
        <v>72</v>
      </c>
      <c r="D505" s="103" t="s">
        <v>274</v>
      </c>
      <c r="E505" s="53"/>
      <c r="F505" s="104">
        <f>F506</f>
        <v>0</v>
      </c>
      <c r="G505" s="104">
        <f>G506</f>
        <v>128.9</v>
      </c>
      <c r="H505" s="299">
        <f t="shared" si="119"/>
        <v>128.9</v>
      </c>
      <c r="I505" s="104">
        <f>I506</f>
        <v>0</v>
      </c>
      <c r="J505" s="104">
        <f>J506</f>
        <v>128.9</v>
      </c>
      <c r="K505" s="299">
        <f t="shared" si="112"/>
        <v>0</v>
      </c>
      <c r="L505" s="104">
        <f>L506</f>
        <v>0</v>
      </c>
      <c r="M505" s="299">
        <f t="shared" si="114"/>
        <v>0</v>
      </c>
      <c r="N505" s="104">
        <f>N506</f>
        <v>0</v>
      </c>
      <c r="O505" s="104">
        <f>O506</f>
        <v>0</v>
      </c>
      <c r="P505" s="299">
        <f t="shared" si="120"/>
        <v>0</v>
      </c>
    </row>
    <row r="506" spans="1:16" s="51" customFormat="1" ht="18" customHeight="1" x14ac:dyDescent="0.2">
      <c r="A506" s="97" t="s">
        <v>98</v>
      </c>
      <c r="B506" s="53" t="s">
        <v>159</v>
      </c>
      <c r="C506" s="53" t="s">
        <v>72</v>
      </c>
      <c r="D506" s="103" t="s">
        <v>274</v>
      </c>
      <c r="E506" s="53" t="s">
        <v>81</v>
      </c>
      <c r="F506" s="104">
        <v>0</v>
      </c>
      <c r="G506" s="104">
        <f>125+3.9</f>
        <v>128.9</v>
      </c>
      <c r="H506" s="299">
        <f t="shared" si="119"/>
        <v>128.9</v>
      </c>
      <c r="I506" s="104">
        <v>0</v>
      </c>
      <c r="J506" s="104">
        <f>125+3.9</f>
        <v>128.9</v>
      </c>
      <c r="K506" s="299">
        <f t="shared" si="112"/>
        <v>0</v>
      </c>
      <c r="L506" s="104">
        <v>0</v>
      </c>
      <c r="M506" s="299">
        <f t="shared" si="114"/>
        <v>0</v>
      </c>
      <c r="N506" s="104">
        <v>0</v>
      </c>
      <c r="O506" s="104">
        <v>0</v>
      </c>
      <c r="P506" s="299">
        <f t="shared" si="120"/>
        <v>0</v>
      </c>
    </row>
    <row r="507" spans="1:16" s="51" customFormat="1" ht="39" customHeight="1" x14ac:dyDescent="0.2">
      <c r="A507" s="75" t="s">
        <v>241</v>
      </c>
      <c r="B507" s="53" t="s">
        <v>159</v>
      </c>
      <c r="C507" s="53" t="s">
        <v>72</v>
      </c>
      <c r="D507" s="74" t="s">
        <v>240</v>
      </c>
      <c r="E507" s="53"/>
      <c r="F507" s="104">
        <f>F508</f>
        <v>612.20000000000005</v>
      </c>
      <c r="G507" s="104">
        <f>G508</f>
        <v>612.20000000000005</v>
      </c>
      <c r="H507" s="299">
        <f t="shared" si="119"/>
        <v>0</v>
      </c>
      <c r="I507" s="104">
        <f>I508</f>
        <v>0</v>
      </c>
      <c r="J507" s="104">
        <f>J508</f>
        <v>612.20000000000005</v>
      </c>
      <c r="K507" s="299">
        <f t="shared" si="112"/>
        <v>0</v>
      </c>
      <c r="L507" s="104">
        <f>L508</f>
        <v>0</v>
      </c>
      <c r="M507" s="299">
        <f t="shared" si="114"/>
        <v>0</v>
      </c>
      <c r="N507" s="104">
        <f>N508</f>
        <v>0</v>
      </c>
      <c r="O507" s="104">
        <f>O508</f>
        <v>0</v>
      </c>
      <c r="P507" s="299">
        <f t="shared" si="120"/>
        <v>0</v>
      </c>
    </row>
    <row r="508" spans="1:16" s="51" customFormat="1" ht="15.75" customHeight="1" x14ac:dyDescent="0.2">
      <c r="A508" s="97" t="s">
        <v>98</v>
      </c>
      <c r="B508" s="53" t="s">
        <v>159</v>
      </c>
      <c r="C508" s="53" t="s">
        <v>72</v>
      </c>
      <c r="D508" s="74" t="s">
        <v>240</v>
      </c>
      <c r="E508" s="53" t="s">
        <v>81</v>
      </c>
      <c r="F508" s="104">
        <f>600+12.2</f>
        <v>612.20000000000005</v>
      </c>
      <c r="G508" s="104">
        <f>600+12.2</f>
        <v>612.20000000000005</v>
      </c>
      <c r="H508" s="299">
        <f t="shared" si="119"/>
        <v>0</v>
      </c>
      <c r="I508" s="104">
        <v>0</v>
      </c>
      <c r="J508" s="104">
        <f>600+12.2</f>
        <v>612.20000000000005</v>
      </c>
      <c r="K508" s="299">
        <f t="shared" si="112"/>
        <v>0</v>
      </c>
      <c r="L508" s="104">
        <v>0</v>
      </c>
      <c r="M508" s="299">
        <f t="shared" si="114"/>
        <v>0</v>
      </c>
      <c r="N508" s="104">
        <v>0</v>
      </c>
      <c r="O508" s="104">
        <v>0</v>
      </c>
      <c r="P508" s="299">
        <f t="shared" si="120"/>
        <v>0</v>
      </c>
    </row>
    <row r="509" spans="1:16" s="51" customFormat="1" ht="55.5" customHeight="1" x14ac:dyDescent="0.2">
      <c r="A509" s="75" t="s">
        <v>239</v>
      </c>
      <c r="B509" s="53" t="s">
        <v>159</v>
      </c>
      <c r="C509" s="53" t="s">
        <v>72</v>
      </c>
      <c r="D509" s="103" t="s">
        <v>238</v>
      </c>
      <c r="E509" s="53"/>
      <c r="F509" s="104">
        <f>F510</f>
        <v>1385.6</v>
      </c>
      <c r="G509" s="104">
        <f>G510</f>
        <v>1385.6</v>
      </c>
      <c r="H509" s="299">
        <f t="shared" si="119"/>
        <v>0</v>
      </c>
      <c r="I509" s="104">
        <f>I510</f>
        <v>1385.6</v>
      </c>
      <c r="J509" s="104">
        <f>J510</f>
        <v>1385.6</v>
      </c>
      <c r="K509" s="299">
        <f t="shared" si="112"/>
        <v>0</v>
      </c>
      <c r="L509" s="104">
        <f>L510</f>
        <v>1385.6</v>
      </c>
      <c r="M509" s="299">
        <f t="shared" si="114"/>
        <v>0</v>
      </c>
      <c r="N509" s="104">
        <f>N510</f>
        <v>1385.6</v>
      </c>
      <c r="O509" s="104">
        <f>O510</f>
        <v>1385.6</v>
      </c>
      <c r="P509" s="299">
        <f t="shared" si="120"/>
        <v>0</v>
      </c>
    </row>
    <row r="510" spans="1:16" s="51" customFormat="1" ht="15.75" customHeight="1" x14ac:dyDescent="0.2">
      <c r="A510" s="113" t="s">
        <v>98</v>
      </c>
      <c r="B510" s="53" t="s">
        <v>159</v>
      </c>
      <c r="C510" s="53" t="s">
        <v>72</v>
      </c>
      <c r="D510" s="103" t="s">
        <v>238</v>
      </c>
      <c r="E510" s="53" t="s">
        <v>81</v>
      </c>
      <c r="F510" s="104">
        <f>1108.5+277.1</f>
        <v>1385.6</v>
      </c>
      <c r="G510" s="104">
        <f>1108.5+277.1</f>
        <v>1385.6</v>
      </c>
      <c r="H510" s="299">
        <f t="shared" si="119"/>
        <v>0</v>
      </c>
      <c r="I510" s="104">
        <f>1108.5+277.1</f>
        <v>1385.6</v>
      </c>
      <c r="J510" s="104">
        <f>1108.5+277.1</f>
        <v>1385.6</v>
      </c>
      <c r="K510" s="299">
        <f t="shared" si="112"/>
        <v>0</v>
      </c>
      <c r="L510" s="104">
        <f>1108.5+277.1</f>
        <v>1385.6</v>
      </c>
      <c r="M510" s="299">
        <f t="shared" si="114"/>
        <v>0</v>
      </c>
      <c r="N510" s="104">
        <f>1108.5+277.1</f>
        <v>1385.6</v>
      </c>
      <c r="O510" s="104">
        <f>1108.5+277.1</f>
        <v>1385.6</v>
      </c>
      <c r="P510" s="299">
        <f t="shared" si="120"/>
        <v>0</v>
      </c>
    </row>
    <row r="511" spans="1:16" s="51" customFormat="1" ht="43.5" customHeight="1" x14ac:dyDescent="0.2">
      <c r="A511" s="114" t="s">
        <v>237</v>
      </c>
      <c r="B511" s="53" t="s">
        <v>159</v>
      </c>
      <c r="C511" s="53" t="s">
        <v>72</v>
      </c>
      <c r="D511" s="74" t="s">
        <v>236</v>
      </c>
      <c r="E511" s="53"/>
      <c r="F511" s="52">
        <f>F512</f>
        <v>1142.3000000000002</v>
      </c>
      <c r="G511" s="52">
        <f>G512</f>
        <v>1142.3000000000002</v>
      </c>
      <c r="H511" s="299">
        <f t="shared" si="119"/>
        <v>0</v>
      </c>
      <c r="I511" s="52">
        <f>I512</f>
        <v>0</v>
      </c>
      <c r="J511" s="52">
        <f>J512</f>
        <v>1142.3000000000002</v>
      </c>
      <c r="K511" s="299">
        <f t="shared" si="112"/>
        <v>0</v>
      </c>
      <c r="L511" s="52">
        <f>L512</f>
        <v>0</v>
      </c>
      <c r="M511" s="299">
        <f t="shared" si="114"/>
        <v>0</v>
      </c>
      <c r="N511" s="52">
        <f>N512</f>
        <v>0</v>
      </c>
      <c r="O511" s="52">
        <f>O512</f>
        <v>0</v>
      </c>
      <c r="P511" s="299">
        <f t="shared" si="120"/>
        <v>0</v>
      </c>
    </row>
    <row r="512" spans="1:16" s="51" customFormat="1" ht="15.75" customHeight="1" x14ac:dyDescent="0.2">
      <c r="A512" s="113" t="s">
        <v>98</v>
      </c>
      <c r="B512" s="53" t="s">
        <v>159</v>
      </c>
      <c r="C512" s="53" t="s">
        <v>72</v>
      </c>
      <c r="D512" s="74" t="s">
        <v>236</v>
      </c>
      <c r="E512" s="53" t="s">
        <v>81</v>
      </c>
      <c r="F512" s="52">
        <f>2866.3+0.6-1724.3-0.3</f>
        <v>1142.3000000000002</v>
      </c>
      <c r="G512" s="52">
        <f>2866.3+0.6-1724.3-0.3</f>
        <v>1142.3000000000002</v>
      </c>
      <c r="H512" s="299">
        <f t="shared" si="119"/>
        <v>0</v>
      </c>
      <c r="I512" s="52">
        <v>0</v>
      </c>
      <c r="J512" s="52">
        <f>2866.3+0.6-1724.3-0.3</f>
        <v>1142.3000000000002</v>
      </c>
      <c r="K512" s="299">
        <f t="shared" si="112"/>
        <v>0</v>
      </c>
      <c r="L512" s="52">
        <v>0</v>
      </c>
      <c r="M512" s="299">
        <f t="shared" si="114"/>
        <v>0</v>
      </c>
      <c r="N512" s="52">
        <v>0</v>
      </c>
      <c r="O512" s="52">
        <v>0</v>
      </c>
      <c r="P512" s="299">
        <f t="shared" si="120"/>
        <v>0</v>
      </c>
    </row>
    <row r="513" spans="1:17" s="51" customFormat="1" ht="42.75" customHeight="1" x14ac:dyDescent="0.2">
      <c r="A513" s="75" t="s">
        <v>235</v>
      </c>
      <c r="B513" s="53" t="s">
        <v>159</v>
      </c>
      <c r="C513" s="53" t="s">
        <v>72</v>
      </c>
      <c r="D513" s="103" t="s">
        <v>234</v>
      </c>
      <c r="E513" s="53"/>
      <c r="F513" s="104">
        <f>F515+F514</f>
        <v>31855.7</v>
      </c>
      <c r="G513" s="104">
        <f t="shared" ref="G513:O513" si="124">G515+G514</f>
        <v>32599.600000000002</v>
      </c>
      <c r="H513" s="299">
        <f t="shared" si="119"/>
        <v>743.90000000000146</v>
      </c>
      <c r="I513" s="104">
        <f t="shared" si="124"/>
        <v>0</v>
      </c>
      <c r="J513" s="104">
        <f t="shared" si="124"/>
        <v>32023</v>
      </c>
      <c r="K513" s="299">
        <f t="shared" si="112"/>
        <v>-576.60000000000218</v>
      </c>
      <c r="L513" s="104">
        <f t="shared" si="124"/>
        <v>0</v>
      </c>
      <c r="M513" s="299">
        <f t="shared" si="114"/>
        <v>0</v>
      </c>
      <c r="N513" s="104">
        <f t="shared" si="124"/>
        <v>0</v>
      </c>
      <c r="O513" s="104">
        <f t="shared" si="124"/>
        <v>0</v>
      </c>
      <c r="P513" s="299">
        <f t="shared" si="120"/>
        <v>0</v>
      </c>
    </row>
    <row r="514" spans="1:17" s="51" customFormat="1" ht="28.5" customHeight="1" x14ac:dyDescent="0.2">
      <c r="A514" s="56" t="s">
        <v>73</v>
      </c>
      <c r="B514" s="53" t="s">
        <v>159</v>
      </c>
      <c r="C514" s="53" t="s">
        <v>72</v>
      </c>
      <c r="D514" s="103" t="s">
        <v>234</v>
      </c>
      <c r="E514" s="53" t="s">
        <v>70</v>
      </c>
      <c r="F514" s="104">
        <v>0</v>
      </c>
      <c r="G514" s="104">
        <v>23</v>
      </c>
      <c r="H514" s="299">
        <f t="shared" si="119"/>
        <v>23</v>
      </c>
      <c r="I514" s="104">
        <v>0</v>
      </c>
      <c r="J514" s="104">
        <v>23</v>
      </c>
      <c r="K514" s="299">
        <f t="shared" si="112"/>
        <v>0</v>
      </c>
      <c r="L514" s="104">
        <v>0</v>
      </c>
      <c r="M514" s="299">
        <f t="shared" si="114"/>
        <v>0</v>
      </c>
      <c r="N514" s="111">
        <v>0</v>
      </c>
      <c r="O514" s="111">
        <v>0</v>
      </c>
      <c r="P514" s="299">
        <f t="shared" si="120"/>
        <v>0</v>
      </c>
    </row>
    <row r="515" spans="1:17" s="51" customFormat="1" ht="15.75" customHeight="1" x14ac:dyDescent="0.2">
      <c r="A515" s="112" t="s">
        <v>167</v>
      </c>
      <c r="B515" s="53" t="s">
        <v>159</v>
      </c>
      <c r="C515" s="53" t="s">
        <v>72</v>
      </c>
      <c r="D515" s="103" t="s">
        <v>234</v>
      </c>
      <c r="E515" s="53" t="s">
        <v>164</v>
      </c>
      <c r="F515" s="104">
        <f>30900+955.7</f>
        <v>31855.7</v>
      </c>
      <c r="G515" s="104">
        <f>31855.7+720.9</f>
        <v>32576.600000000002</v>
      </c>
      <c r="H515" s="299">
        <f t="shared" si="119"/>
        <v>720.90000000000146</v>
      </c>
      <c r="I515" s="104">
        <v>0</v>
      </c>
      <c r="J515" s="104">
        <f>32576.6-576.6</f>
        <v>32000</v>
      </c>
      <c r="K515" s="299">
        <f t="shared" si="112"/>
        <v>-576.60000000000218</v>
      </c>
      <c r="L515" s="104">
        <v>0</v>
      </c>
      <c r="M515" s="299">
        <f t="shared" si="114"/>
        <v>0</v>
      </c>
      <c r="N515" s="111">
        <v>0</v>
      </c>
      <c r="O515" s="111">
        <v>0</v>
      </c>
      <c r="P515" s="299">
        <f t="shared" si="120"/>
        <v>0</v>
      </c>
      <c r="Q515" s="39"/>
    </row>
    <row r="516" spans="1:17" s="51" customFormat="1" ht="39.75" customHeight="1" x14ac:dyDescent="0.2">
      <c r="A516" s="75" t="s">
        <v>233</v>
      </c>
      <c r="B516" s="53" t="s">
        <v>159</v>
      </c>
      <c r="C516" s="53" t="s">
        <v>72</v>
      </c>
      <c r="D516" s="103" t="s">
        <v>232</v>
      </c>
      <c r="E516" s="53"/>
      <c r="F516" s="104">
        <f>F517</f>
        <v>5828.2</v>
      </c>
      <c r="G516" s="104">
        <f>G517</f>
        <v>5828.2</v>
      </c>
      <c r="H516" s="299">
        <f t="shared" si="119"/>
        <v>0</v>
      </c>
      <c r="I516" s="104">
        <f>I517</f>
        <v>5144.0000000000009</v>
      </c>
      <c r="J516" s="104">
        <f>J517</f>
        <v>5828.2</v>
      </c>
      <c r="K516" s="299">
        <f t="shared" si="112"/>
        <v>0</v>
      </c>
      <c r="L516" s="104">
        <f>L517</f>
        <v>5144.0000000000009</v>
      </c>
      <c r="M516" s="299">
        <f t="shared" si="114"/>
        <v>0</v>
      </c>
      <c r="N516" s="104">
        <f>N517</f>
        <v>4842.5</v>
      </c>
      <c r="O516" s="104">
        <f>O517</f>
        <v>4842.5</v>
      </c>
      <c r="P516" s="299">
        <f t="shared" si="120"/>
        <v>0</v>
      </c>
    </row>
    <row r="517" spans="1:17" s="51" customFormat="1" ht="15.75" customHeight="1" x14ac:dyDescent="0.2">
      <c r="A517" s="97" t="s">
        <v>98</v>
      </c>
      <c r="B517" s="53" t="s">
        <v>159</v>
      </c>
      <c r="C517" s="53" t="s">
        <v>72</v>
      </c>
      <c r="D517" s="103" t="s">
        <v>232</v>
      </c>
      <c r="E517" s="53" t="s">
        <v>81</v>
      </c>
      <c r="F517" s="104">
        <f>1466.9+29.9+4244.7+86.7</f>
        <v>5828.2</v>
      </c>
      <c r="G517" s="104">
        <f>1466.9+29.9+4244.7+86.7</f>
        <v>5828.2</v>
      </c>
      <c r="H517" s="299">
        <f t="shared" si="119"/>
        <v>0</v>
      </c>
      <c r="I517" s="104">
        <f>1995.3+40.7+3045.8+62.6-0.4</f>
        <v>5144.0000000000009</v>
      </c>
      <c r="J517" s="104">
        <f>1466.9+29.9+4244.7+86.7</f>
        <v>5828.2</v>
      </c>
      <c r="K517" s="299">
        <f t="shared" si="112"/>
        <v>0</v>
      </c>
      <c r="L517" s="104">
        <f>1995.3+40.7+3045.8+62.6-0.4</f>
        <v>5144.0000000000009</v>
      </c>
      <c r="M517" s="299">
        <f t="shared" si="114"/>
        <v>0</v>
      </c>
      <c r="N517" s="104">
        <f>1995.3+40.7+2750.4+56.1</f>
        <v>4842.5</v>
      </c>
      <c r="O517" s="104">
        <f>1995.3+40.7+2750.4+56.1</f>
        <v>4842.5</v>
      </c>
      <c r="P517" s="299">
        <f t="shared" si="120"/>
        <v>0</v>
      </c>
    </row>
    <row r="518" spans="1:17" s="51" customFormat="1" ht="18" customHeight="1" x14ac:dyDescent="0.2">
      <c r="A518" s="56" t="s">
        <v>52</v>
      </c>
      <c r="B518" s="53" t="s">
        <v>159</v>
      </c>
      <c r="C518" s="53" t="s">
        <v>72</v>
      </c>
      <c r="D518" s="54" t="s">
        <v>140</v>
      </c>
      <c r="E518" s="53"/>
      <c r="F518" s="52">
        <f>F519+F526+F529</f>
        <v>188655.50000000003</v>
      </c>
      <c r="G518" s="52">
        <f>G519+G526+G529</f>
        <v>188655.5</v>
      </c>
      <c r="H518" s="299">
        <f t="shared" si="119"/>
        <v>0</v>
      </c>
      <c r="I518" s="52">
        <f>I519+I526+I529</f>
        <v>188930.2</v>
      </c>
      <c r="J518" s="52">
        <f>J519+J526+J529</f>
        <v>187333.2</v>
      </c>
      <c r="K518" s="299">
        <f t="shared" si="112"/>
        <v>-1322.2999999999884</v>
      </c>
      <c r="L518" s="52">
        <f>L519+L526+L529</f>
        <v>188930.2</v>
      </c>
      <c r="M518" s="299">
        <f t="shared" si="114"/>
        <v>0</v>
      </c>
      <c r="N518" s="52">
        <f>N519+N526+N529</f>
        <v>188888.1</v>
      </c>
      <c r="O518" s="52">
        <f>O519+O526+O529</f>
        <v>188888.1</v>
      </c>
      <c r="P518" s="299">
        <f t="shared" si="120"/>
        <v>0</v>
      </c>
    </row>
    <row r="519" spans="1:17" s="51" customFormat="1" ht="26.25" customHeight="1" x14ac:dyDescent="0.2">
      <c r="A519" s="56" t="s">
        <v>219</v>
      </c>
      <c r="B519" s="53" t="s">
        <v>159</v>
      </c>
      <c r="C519" s="53" t="s">
        <v>72</v>
      </c>
      <c r="D519" s="54" t="s">
        <v>218</v>
      </c>
      <c r="E519" s="53"/>
      <c r="F519" s="52">
        <f>F520+F522+F524</f>
        <v>185208.50000000003</v>
      </c>
      <c r="G519" s="52">
        <f>G520+G522+G524</f>
        <v>185208.5</v>
      </c>
      <c r="H519" s="299">
        <f t="shared" si="119"/>
        <v>0</v>
      </c>
      <c r="I519" s="52">
        <f>I520+I522+I524</f>
        <v>185483.2</v>
      </c>
      <c r="J519" s="52">
        <f>J520+J522+J524</f>
        <v>183952.1</v>
      </c>
      <c r="K519" s="299">
        <f t="shared" si="112"/>
        <v>-1256.3999999999942</v>
      </c>
      <c r="L519" s="52">
        <f>L520+L522+L524</f>
        <v>185483.2</v>
      </c>
      <c r="M519" s="299">
        <f t="shared" si="114"/>
        <v>0</v>
      </c>
      <c r="N519" s="52">
        <f>N520+N522+N524</f>
        <v>185441.1</v>
      </c>
      <c r="O519" s="52">
        <f>O520+O522+O524</f>
        <v>185441.1</v>
      </c>
      <c r="P519" s="299">
        <f t="shared" si="120"/>
        <v>0</v>
      </c>
    </row>
    <row r="520" spans="1:17" s="51" customFormat="1" ht="25.5" customHeight="1" x14ac:dyDescent="0.2">
      <c r="A520" s="106" t="s">
        <v>231</v>
      </c>
      <c r="B520" s="53" t="s">
        <v>159</v>
      </c>
      <c r="C520" s="53" t="s">
        <v>72</v>
      </c>
      <c r="D520" s="54" t="s">
        <v>230</v>
      </c>
      <c r="E520" s="53"/>
      <c r="F520" s="52">
        <f>F521</f>
        <v>129537.1</v>
      </c>
      <c r="G520" s="52">
        <f>G521</f>
        <v>129537.1</v>
      </c>
      <c r="H520" s="299">
        <f t="shared" si="119"/>
        <v>0</v>
      </c>
      <c r="I520" s="52">
        <f>I521</f>
        <v>126405.2</v>
      </c>
      <c r="J520" s="52">
        <f>J521</f>
        <v>128280.70000000001</v>
      </c>
      <c r="K520" s="299">
        <f t="shared" si="112"/>
        <v>-1256.3999999999942</v>
      </c>
      <c r="L520" s="52">
        <f>L521</f>
        <v>126405.2</v>
      </c>
      <c r="M520" s="299">
        <f t="shared" si="114"/>
        <v>0</v>
      </c>
      <c r="N520" s="52">
        <f>N521</f>
        <v>126405.2</v>
      </c>
      <c r="O520" s="52">
        <f>O521</f>
        <v>126405.2</v>
      </c>
      <c r="P520" s="299">
        <f t="shared" si="120"/>
        <v>0</v>
      </c>
    </row>
    <row r="521" spans="1:17" s="51" customFormat="1" ht="12.75" customHeight="1" x14ac:dyDescent="0.2">
      <c r="A521" s="102" t="s">
        <v>98</v>
      </c>
      <c r="B521" s="53" t="s">
        <v>159</v>
      </c>
      <c r="C521" s="53" t="s">
        <v>72</v>
      </c>
      <c r="D521" s="54" t="s">
        <v>230</v>
      </c>
      <c r="E521" s="53" t="s">
        <v>81</v>
      </c>
      <c r="F521" s="52">
        <f>129537.1</f>
        <v>129537.1</v>
      </c>
      <c r="G521" s="52">
        <f>129537.1</f>
        <v>129537.1</v>
      </c>
      <c r="H521" s="299">
        <f t="shared" si="119"/>
        <v>0</v>
      </c>
      <c r="I521" s="52">
        <f>126405.2</f>
        <v>126405.2</v>
      </c>
      <c r="J521" s="52">
        <f>129537.1-1256.4</f>
        <v>128280.70000000001</v>
      </c>
      <c r="K521" s="299">
        <f t="shared" si="112"/>
        <v>-1256.3999999999942</v>
      </c>
      <c r="L521" s="52">
        <f>126405.2</f>
        <v>126405.2</v>
      </c>
      <c r="M521" s="299">
        <f t="shared" si="114"/>
        <v>0</v>
      </c>
      <c r="N521" s="65">
        <f>126405.2</f>
        <v>126405.2</v>
      </c>
      <c r="O521" s="65">
        <f>126405.2</f>
        <v>126405.2</v>
      </c>
      <c r="P521" s="299">
        <f t="shared" si="120"/>
        <v>0</v>
      </c>
    </row>
    <row r="522" spans="1:17" s="51" customFormat="1" ht="28.5" customHeight="1" x14ac:dyDescent="0.2">
      <c r="A522" s="109" t="s">
        <v>229</v>
      </c>
      <c r="B522" s="53" t="s">
        <v>159</v>
      </c>
      <c r="C522" s="53" t="s">
        <v>72</v>
      </c>
      <c r="D522" s="54" t="s">
        <v>228</v>
      </c>
      <c r="E522" s="53"/>
      <c r="F522" s="52">
        <f>F523</f>
        <v>53841.30000000001</v>
      </c>
      <c r="G522" s="52">
        <f>G523</f>
        <v>53899</v>
      </c>
      <c r="H522" s="299">
        <f t="shared" si="119"/>
        <v>57.699999999989814</v>
      </c>
      <c r="I522" s="52">
        <f>I523</f>
        <v>57247.900000000009</v>
      </c>
      <c r="J522" s="52">
        <f>J523</f>
        <v>53899</v>
      </c>
      <c r="K522" s="299">
        <f t="shared" si="112"/>
        <v>0</v>
      </c>
      <c r="L522" s="52">
        <f>L523</f>
        <v>57247.900000000009</v>
      </c>
      <c r="M522" s="299">
        <f t="shared" si="114"/>
        <v>0</v>
      </c>
      <c r="N522" s="52">
        <f>N523</f>
        <v>57205.80000000001</v>
      </c>
      <c r="O522" s="52">
        <f>O523</f>
        <v>57205.80000000001</v>
      </c>
      <c r="P522" s="299">
        <f t="shared" si="120"/>
        <v>0</v>
      </c>
    </row>
    <row r="523" spans="1:17" s="51" customFormat="1" ht="12.75" customHeight="1" x14ac:dyDescent="0.2">
      <c r="A523" s="102" t="s">
        <v>98</v>
      </c>
      <c r="B523" s="53" t="s">
        <v>159</v>
      </c>
      <c r="C523" s="53" t="s">
        <v>72</v>
      </c>
      <c r="D523" s="54" t="s">
        <v>228</v>
      </c>
      <c r="E523" s="53" t="s">
        <v>81</v>
      </c>
      <c r="F523" s="52">
        <f>63111.8-1830.1-770-4064.7-955.7-1650</f>
        <v>53841.30000000001</v>
      </c>
      <c r="G523" s="52">
        <f>53841.3+57.7</f>
        <v>53899</v>
      </c>
      <c r="H523" s="299">
        <f t="shared" si="119"/>
        <v>57.699999999989814</v>
      </c>
      <c r="I523" s="52">
        <f>63111.8-1830.1-4000-62.6-2.5-1.7+32.6+0.4</f>
        <v>57247.900000000009</v>
      </c>
      <c r="J523" s="52">
        <f>53841.3+57.7</f>
        <v>53899</v>
      </c>
      <c r="K523" s="299">
        <f t="shared" si="112"/>
        <v>0</v>
      </c>
      <c r="L523" s="52">
        <f>63111.8-1830.1-4000-62.6-2.5-1.7+32.6+0.4</f>
        <v>57247.900000000009</v>
      </c>
      <c r="M523" s="299">
        <f t="shared" si="114"/>
        <v>0</v>
      </c>
      <c r="N523" s="52">
        <f>63111.8-1830.1-4000-56.1-2.7-17.1</f>
        <v>57205.80000000001</v>
      </c>
      <c r="O523" s="52">
        <f>63111.8-1830.1-4000-56.1-2.7-17.1</f>
        <v>57205.80000000001</v>
      </c>
      <c r="P523" s="299">
        <f t="shared" si="120"/>
        <v>0</v>
      </c>
    </row>
    <row r="524" spans="1:17" s="51" customFormat="1" ht="24.75" customHeight="1" x14ac:dyDescent="0.2">
      <c r="A524" s="75" t="s">
        <v>88</v>
      </c>
      <c r="B524" s="53" t="s">
        <v>159</v>
      </c>
      <c r="C524" s="53" t="s">
        <v>72</v>
      </c>
      <c r="D524" s="54" t="s">
        <v>227</v>
      </c>
      <c r="E524" s="53"/>
      <c r="F524" s="52">
        <f>F525</f>
        <v>1830.1</v>
      </c>
      <c r="G524" s="52">
        <f>G525</f>
        <v>1772.3999999999999</v>
      </c>
      <c r="H524" s="299">
        <f t="shared" si="119"/>
        <v>-57.700000000000045</v>
      </c>
      <c r="I524" s="52">
        <f>I525</f>
        <v>1830.1</v>
      </c>
      <c r="J524" s="52">
        <f>J525</f>
        <v>1772.3999999999999</v>
      </c>
      <c r="K524" s="299">
        <f t="shared" ref="K524:K587" si="125">J524-G524</f>
        <v>0</v>
      </c>
      <c r="L524" s="52">
        <f>L525</f>
        <v>1830.1</v>
      </c>
      <c r="M524" s="299">
        <f t="shared" si="114"/>
        <v>0</v>
      </c>
      <c r="N524" s="52">
        <f>N525</f>
        <v>1830.1</v>
      </c>
      <c r="O524" s="52">
        <f>O525</f>
        <v>1830.1</v>
      </c>
      <c r="P524" s="299">
        <f t="shared" si="120"/>
        <v>0</v>
      </c>
    </row>
    <row r="525" spans="1:17" s="51" customFormat="1" ht="15.75" customHeight="1" x14ac:dyDescent="0.2">
      <c r="A525" s="75" t="s">
        <v>82</v>
      </c>
      <c r="B525" s="53" t="s">
        <v>159</v>
      </c>
      <c r="C525" s="53" t="s">
        <v>72</v>
      </c>
      <c r="D525" s="54" t="s">
        <v>227</v>
      </c>
      <c r="E525" s="53" t="s">
        <v>81</v>
      </c>
      <c r="F525" s="52">
        <v>1830.1</v>
      </c>
      <c r="G525" s="52">
        <f>1830.1-57.7</f>
        <v>1772.3999999999999</v>
      </c>
      <c r="H525" s="299">
        <f t="shared" si="119"/>
        <v>-57.700000000000045</v>
      </c>
      <c r="I525" s="52">
        <v>1830.1</v>
      </c>
      <c r="J525" s="52">
        <f>1830.1-57.7</f>
        <v>1772.3999999999999</v>
      </c>
      <c r="K525" s="299">
        <f t="shared" si="125"/>
        <v>0</v>
      </c>
      <c r="L525" s="52">
        <v>1830.1</v>
      </c>
      <c r="M525" s="299">
        <f t="shared" si="114"/>
        <v>0</v>
      </c>
      <c r="N525" s="52">
        <v>1830.1</v>
      </c>
      <c r="O525" s="52">
        <v>1830.1</v>
      </c>
      <c r="P525" s="299">
        <f t="shared" si="120"/>
        <v>0</v>
      </c>
    </row>
    <row r="526" spans="1:17" s="51" customFormat="1" ht="29.25" customHeight="1" x14ac:dyDescent="0.2">
      <c r="A526" s="56" t="s">
        <v>139</v>
      </c>
      <c r="B526" s="53" t="s">
        <v>159</v>
      </c>
      <c r="C526" s="53" t="s">
        <v>72</v>
      </c>
      <c r="D526" s="83" t="s">
        <v>138</v>
      </c>
      <c r="E526" s="53"/>
      <c r="F526" s="52">
        <f>F527</f>
        <v>3397</v>
      </c>
      <c r="G526" s="52">
        <f>G527</f>
        <v>3397</v>
      </c>
      <c r="H526" s="299">
        <f t="shared" si="119"/>
        <v>0</v>
      </c>
      <c r="I526" s="52">
        <f>I527</f>
        <v>3397</v>
      </c>
      <c r="J526" s="52">
        <f>J527</f>
        <v>3325.6</v>
      </c>
      <c r="K526" s="299">
        <f t="shared" si="125"/>
        <v>-71.400000000000091</v>
      </c>
      <c r="L526" s="52">
        <f>L527</f>
        <v>3397</v>
      </c>
      <c r="M526" s="299">
        <f t="shared" si="114"/>
        <v>0</v>
      </c>
      <c r="N526" s="52">
        <f>N527</f>
        <v>3397</v>
      </c>
      <c r="O526" s="52">
        <f>O527</f>
        <v>3397</v>
      </c>
      <c r="P526" s="299">
        <f t="shared" si="120"/>
        <v>0</v>
      </c>
    </row>
    <row r="527" spans="1:17" s="51" customFormat="1" ht="39" customHeight="1" x14ac:dyDescent="0.2">
      <c r="A527" s="102" t="s">
        <v>137</v>
      </c>
      <c r="B527" s="53" t="s">
        <v>159</v>
      </c>
      <c r="C527" s="53" t="s">
        <v>72</v>
      </c>
      <c r="D527" s="54" t="s">
        <v>136</v>
      </c>
      <c r="E527" s="53"/>
      <c r="F527" s="52">
        <f>F528</f>
        <v>3397</v>
      </c>
      <c r="G527" s="52">
        <f>G528</f>
        <v>3397</v>
      </c>
      <c r="H527" s="299">
        <f t="shared" si="119"/>
        <v>0</v>
      </c>
      <c r="I527" s="52">
        <f>I528</f>
        <v>3397</v>
      </c>
      <c r="J527" s="52">
        <f>J528</f>
        <v>3325.6</v>
      </c>
      <c r="K527" s="299">
        <f t="shared" si="125"/>
        <v>-71.400000000000091</v>
      </c>
      <c r="L527" s="52">
        <f>L528</f>
        <v>3397</v>
      </c>
      <c r="M527" s="299">
        <f t="shared" si="114"/>
        <v>0</v>
      </c>
      <c r="N527" s="52">
        <f>N528</f>
        <v>3397</v>
      </c>
      <c r="O527" s="52">
        <f>O528</f>
        <v>3397</v>
      </c>
      <c r="P527" s="299">
        <f t="shared" si="120"/>
        <v>0</v>
      </c>
    </row>
    <row r="528" spans="1:17" s="51" customFormat="1" ht="12.75" customHeight="1" x14ac:dyDescent="0.2">
      <c r="A528" s="102" t="s">
        <v>98</v>
      </c>
      <c r="B528" s="53" t="s">
        <v>159</v>
      </c>
      <c r="C528" s="53" t="s">
        <v>72</v>
      </c>
      <c r="D528" s="54" t="s">
        <v>136</v>
      </c>
      <c r="E528" s="53" t="s">
        <v>81</v>
      </c>
      <c r="F528" s="52">
        <v>3397</v>
      </c>
      <c r="G528" s="52">
        <v>3397</v>
      </c>
      <c r="H528" s="299">
        <f t="shared" si="119"/>
        <v>0</v>
      </c>
      <c r="I528" s="52">
        <v>3397</v>
      </c>
      <c r="J528" s="52">
        <f>3397-71.4</f>
        <v>3325.6</v>
      </c>
      <c r="K528" s="299">
        <f t="shared" si="125"/>
        <v>-71.400000000000091</v>
      </c>
      <c r="L528" s="52">
        <v>3397</v>
      </c>
      <c r="M528" s="299">
        <f t="shared" ref="M528:M585" si="126">L528-I528</f>
        <v>0</v>
      </c>
      <c r="N528" s="52">
        <v>3397</v>
      </c>
      <c r="O528" s="52">
        <v>3397</v>
      </c>
      <c r="P528" s="299">
        <f t="shared" si="120"/>
        <v>0</v>
      </c>
    </row>
    <row r="529" spans="1:17" s="51" customFormat="1" ht="42.75" customHeight="1" x14ac:dyDescent="0.2">
      <c r="A529" s="56" t="s">
        <v>204</v>
      </c>
      <c r="B529" s="53" t="s">
        <v>159</v>
      </c>
      <c r="C529" s="53" t="s">
        <v>72</v>
      </c>
      <c r="D529" s="83" t="s">
        <v>203</v>
      </c>
      <c r="E529" s="53"/>
      <c r="F529" s="52">
        <f>F530</f>
        <v>50</v>
      </c>
      <c r="G529" s="52">
        <f>G530</f>
        <v>50</v>
      </c>
      <c r="H529" s="299">
        <f t="shared" si="119"/>
        <v>0</v>
      </c>
      <c r="I529" s="52">
        <f>I530</f>
        <v>50</v>
      </c>
      <c r="J529" s="52">
        <f>J530</f>
        <v>55.5</v>
      </c>
      <c r="K529" s="299">
        <f t="shared" si="125"/>
        <v>5.5</v>
      </c>
      <c r="L529" s="52">
        <f>L530</f>
        <v>50</v>
      </c>
      <c r="M529" s="299">
        <f t="shared" si="126"/>
        <v>0</v>
      </c>
      <c r="N529" s="52">
        <f>N530</f>
        <v>50</v>
      </c>
      <c r="O529" s="52">
        <f>O530</f>
        <v>50</v>
      </c>
      <c r="P529" s="299">
        <f t="shared" si="120"/>
        <v>0</v>
      </c>
    </row>
    <row r="530" spans="1:17" s="51" customFormat="1" ht="28.5" customHeight="1" x14ac:dyDescent="0.2">
      <c r="A530" s="56" t="s">
        <v>202</v>
      </c>
      <c r="B530" s="53" t="s">
        <v>159</v>
      </c>
      <c r="C530" s="53" t="s">
        <v>72</v>
      </c>
      <c r="D530" s="83" t="s">
        <v>201</v>
      </c>
      <c r="E530" s="53"/>
      <c r="F530" s="52">
        <f>F531</f>
        <v>50</v>
      </c>
      <c r="G530" s="52">
        <f>G531</f>
        <v>50</v>
      </c>
      <c r="H530" s="299">
        <f t="shared" si="119"/>
        <v>0</v>
      </c>
      <c r="I530" s="52">
        <f>I531</f>
        <v>50</v>
      </c>
      <c r="J530" s="52">
        <f>J531</f>
        <v>55.5</v>
      </c>
      <c r="K530" s="299">
        <f t="shared" si="125"/>
        <v>5.5</v>
      </c>
      <c r="L530" s="52">
        <f>L531</f>
        <v>50</v>
      </c>
      <c r="M530" s="299">
        <f t="shared" si="126"/>
        <v>0</v>
      </c>
      <c r="N530" s="52">
        <f>N531</f>
        <v>50</v>
      </c>
      <c r="O530" s="52">
        <f>O531</f>
        <v>50</v>
      </c>
      <c r="P530" s="299">
        <f t="shared" si="120"/>
        <v>0</v>
      </c>
    </row>
    <row r="531" spans="1:17" s="51" customFormat="1" ht="17.25" customHeight="1" x14ac:dyDescent="0.2">
      <c r="A531" s="102" t="s">
        <v>98</v>
      </c>
      <c r="B531" s="53" t="s">
        <v>159</v>
      </c>
      <c r="C531" s="53" t="s">
        <v>72</v>
      </c>
      <c r="D531" s="83" t="s">
        <v>201</v>
      </c>
      <c r="E531" s="53" t="s">
        <v>81</v>
      </c>
      <c r="F531" s="52">
        <v>50</v>
      </c>
      <c r="G531" s="52">
        <v>50</v>
      </c>
      <c r="H531" s="299">
        <f t="shared" si="119"/>
        <v>0</v>
      </c>
      <c r="I531" s="52">
        <v>50</v>
      </c>
      <c r="J531" s="52">
        <f>50+5.5</f>
        <v>55.5</v>
      </c>
      <c r="K531" s="299">
        <f t="shared" si="125"/>
        <v>5.5</v>
      </c>
      <c r="L531" s="52">
        <v>50</v>
      </c>
      <c r="M531" s="299">
        <f t="shared" si="126"/>
        <v>0</v>
      </c>
      <c r="N531" s="52">
        <v>50</v>
      </c>
      <c r="O531" s="52">
        <v>50</v>
      </c>
      <c r="P531" s="299">
        <f t="shared" si="120"/>
        <v>0</v>
      </c>
    </row>
    <row r="532" spans="1:17" s="47" customFormat="1" ht="13.5" customHeight="1" x14ac:dyDescent="0.2">
      <c r="A532" s="92" t="s">
        <v>226</v>
      </c>
      <c r="B532" s="48" t="s">
        <v>159</v>
      </c>
      <c r="C532" s="48" t="s">
        <v>111</v>
      </c>
      <c r="D532" s="49"/>
      <c r="E532" s="48"/>
      <c r="F532" s="44">
        <f>F533+F538</f>
        <v>29049.300000000003</v>
      </c>
      <c r="G532" s="44">
        <f>G533+G538</f>
        <v>24559.300000000003</v>
      </c>
      <c r="H532" s="299">
        <f t="shared" si="119"/>
        <v>-4490</v>
      </c>
      <c r="I532" s="44">
        <f>I533+I538</f>
        <v>26501.300000000003</v>
      </c>
      <c r="J532" s="44">
        <f>J533+J538</f>
        <v>24444.600000000002</v>
      </c>
      <c r="K532" s="299">
        <f t="shared" si="125"/>
        <v>-114.70000000000073</v>
      </c>
      <c r="L532" s="44">
        <f>L533+L538</f>
        <v>26501.300000000003</v>
      </c>
      <c r="M532" s="299">
        <f t="shared" si="126"/>
        <v>0</v>
      </c>
      <c r="N532" s="44">
        <f>N533+N538</f>
        <v>26501.300000000003</v>
      </c>
      <c r="O532" s="44">
        <f>O533+O538</f>
        <v>26501.300000000003</v>
      </c>
      <c r="P532" s="299">
        <f t="shared" si="120"/>
        <v>0</v>
      </c>
    </row>
    <row r="533" spans="1:17" s="51" customFormat="1" ht="43.5" customHeight="1" x14ac:dyDescent="0.2">
      <c r="A533" s="108" t="s">
        <v>68</v>
      </c>
      <c r="B533" s="53" t="s">
        <v>159</v>
      </c>
      <c r="C533" s="53" t="s">
        <v>111</v>
      </c>
      <c r="D533" s="54" t="s">
        <v>67</v>
      </c>
      <c r="E533" s="53"/>
      <c r="F533" s="52">
        <f t="shared" ref="F533:G536" si="127">F534</f>
        <v>6997.4</v>
      </c>
      <c r="G533" s="52">
        <f t="shared" si="127"/>
        <v>6997.4</v>
      </c>
      <c r="H533" s="299">
        <f t="shared" si="119"/>
        <v>0</v>
      </c>
      <c r="I533" s="52">
        <f t="shared" ref="I533:L536" si="128">I534</f>
        <v>6997.4</v>
      </c>
      <c r="J533" s="52">
        <f t="shared" si="128"/>
        <v>6882.7</v>
      </c>
      <c r="K533" s="299">
        <f t="shared" si="125"/>
        <v>-114.69999999999982</v>
      </c>
      <c r="L533" s="52">
        <f t="shared" si="128"/>
        <v>6997.4</v>
      </c>
      <c r="M533" s="299">
        <f t="shared" si="126"/>
        <v>0</v>
      </c>
      <c r="N533" s="52">
        <f t="shared" ref="N533:O536" si="129">N534</f>
        <v>6997.4</v>
      </c>
      <c r="O533" s="52">
        <f t="shared" si="129"/>
        <v>6997.4</v>
      </c>
      <c r="P533" s="299">
        <f t="shared" si="120"/>
        <v>0</v>
      </c>
    </row>
    <row r="534" spans="1:17" s="51" customFormat="1" ht="15.75" customHeight="1" x14ac:dyDescent="0.2">
      <c r="A534" s="107" t="s">
        <v>52</v>
      </c>
      <c r="B534" s="53" t="s">
        <v>159</v>
      </c>
      <c r="C534" s="53" t="s">
        <v>111</v>
      </c>
      <c r="D534" s="54" t="s">
        <v>92</v>
      </c>
      <c r="E534" s="53"/>
      <c r="F534" s="52">
        <f t="shared" si="127"/>
        <v>6997.4</v>
      </c>
      <c r="G534" s="52">
        <f t="shared" si="127"/>
        <v>6997.4</v>
      </c>
      <c r="H534" s="299">
        <f t="shared" si="119"/>
        <v>0</v>
      </c>
      <c r="I534" s="52">
        <f t="shared" si="128"/>
        <v>6997.4</v>
      </c>
      <c r="J534" s="52">
        <f t="shared" si="128"/>
        <v>6882.7</v>
      </c>
      <c r="K534" s="299">
        <f t="shared" si="125"/>
        <v>-114.69999999999982</v>
      </c>
      <c r="L534" s="52">
        <f t="shared" si="128"/>
        <v>6997.4</v>
      </c>
      <c r="M534" s="299">
        <f t="shared" si="126"/>
        <v>0</v>
      </c>
      <c r="N534" s="52">
        <f t="shared" si="129"/>
        <v>6997.4</v>
      </c>
      <c r="O534" s="52">
        <f t="shared" si="129"/>
        <v>6997.4</v>
      </c>
      <c r="P534" s="299">
        <f t="shared" si="120"/>
        <v>0</v>
      </c>
    </row>
    <row r="535" spans="1:17" s="51" customFormat="1" ht="27.75" customHeight="1" x14ac:dyDescent="0.2">
      <c r="A535" s="62" t="s">
        <v>176</v>
      </c>
      <c r="B535" s="53" t="s">
        <v>159</v>
      </c>
      <c r="C535" s="53" t="s">
        <v>111</v>
      </c>
      <c r="D535" s="54" t="s">
        <v>175</v>
      </c>
      <c r="E535" s="53"/>
      <c r="F535" s="52">
        <f t="shared" si="127"/>
        <v>6997.4</v>
      </c>
      <c r="G535" s="52">
        <f t="shared" si="127"/>
        <v>6997.4</v>
      </c>
      <c r="H535" s="299">
        <f t="shared" si="119"/>
        <v>0</v>
      </c>
      <c r="I535" s="52">
        <f t="shared" si="128"/>
        <v>6997.4</v>
      </c>
      <c r="J535" s="52">
        <f t="shared" si="128"/>
        <v>6882.7</v>
      </c>
      <c r="K535" s="299">
        <f t="shared" si="125"/>
        <v>-114.69999999999982</v>
      </c>
      <c r="L535" s="52">
        <f t="shared" si="128"/>
        <v>6997.4</v>
      </c>
      <c r="M535" s="299">
        <f t="shared" si="126"/>
        <v>0</v>
      </c>
      <c r="N535" s="52">
        <f t="shared" si="129"/>
        <v>6997.4</v>
      </c>
      <c r="O535" s="52">
        <f t="shared" si="129"/>
        <v>6997.4</v>
      </c>
      <c r="P535" s="299">
        <f t="shared" si="120"/>
        <v>0</v>
      </c>
    </row>
    <row r="536" spans="1:17" s="51" customFormat="1" ht="14.25" customHeight="1" x14ac:dyDescent="0.2">
      <c r="A536" s="56" t="s">
        <v>217</v>
      </c>
      <c r="B536" s="53" t="s">
        <v>159</v>
      </c>
      <c r="C536" s="53" t="s">
        <v>111</v>
      </c>
      <c r="D536" s="54" t="s">
        <v>225</v>
      </c>
      <c r="E536" s="53"/>
      <c r="F536" s="52">
        <f t="shared" si="127"/>
        <v>6997.4</v>
      </c>
      <c r="G536" s="52">
        <f t="shared" si="127"/>
        <v>6997.4</v>
      </c>
      <c r="H536" s="299">
        <f t="shared" si="119"/>
        <v>0</v>
      </c>
      <c r="I536" s="52">
        <f t="shared" si="128"/>
        <v>6997.4</v>
      </c>
      <c r="J536" s="52">
        <f t="shared" si="128"/>
        <v>6882.7</v>
      </c>
      <c r="K536" s="299">
        <f t="shared" si="125"/>
        <v>-114.69999999999982</v>
      </c>
      <c r="L536" s="52">
        <f t="shared" si="128"/>
        <v>6997.4</v>
      </c>
      <c r="M536" s="299">
        <f t="shared" si="126"/>
        <v>0</v>
      </c>
      <c r="N536" s="52">
        <f t="shared" si="129"/>
        <v>6997.4</v>
      </c>
      <c r="O536" s="52">
        <f t="shared" si="129"/>
        <v>6997.4</v>
      </c>
      <c r="P536" s="299">
        <f t="shared" si="120"/>
        <v>0</v>
      </c>
    </row>
    <row r="537" spans="1:17" s="51" customFormat="1" ht="15" customHeight="1" x14ac:dyDescent="0.2">
      <c r="A537" s="64" t="s">
        <v>82</v>
      </c>
      <c r="B537" s="53" t="s">
        <v>159</v>
      </c>
      <c r="C537" s="53" t="s">
        <v>111</v>
      </c>
      <c r="D537" s="54" t="s">
        <v>225</v>
      </c>
      <c r="E537" s="53" t="s">
        <v>81</v>
      </c>
      <c r="F537" s="52">
        <v>6997.4</v>
      </c>
      <c r="G537" s="52">
        <v>6997.4</v>
      </c>
      <c r="H537" s="299">
        <f t="shared" si="119"/>
        <v>0</v>
      </c>
      <c r="I537" s="52">
        <v>6997.4</v>
      </c>
      <c r="J537" s="52">
        <f>6997.4-114.7</f>
        <v>6882.7</v>
      </c>
      <c r="K537" s="299">
        <f t="shared" si="125"/>
        <v>-114.69999999999982</v>
      </c>
      <c r="L537" s="52">
        <v>6997.4</v>
      </c>
      <c r="M537" s="299">
        <f t="shared" si="126"/>
        <v>0</v>
      </c>
      <c r="N537" s="52">
        <v>6997.4</v>
      </c>
      <c r="O537" s="52">
        <v>6997.4</v>
      </c>
      <c r="P537" s="299">
        <f t="shared" si="120"/>
        <v>0</v>
      </c>
      <c r="Q537" s="39"/>
    </row>
    <row r="538" spans="1:17" s="51" customFormat="1" ht="27" customHeight="1" x14ac:dyDescent="0.2">
      <c r="A538" s="64" t="s">
        <v>142</v>
      </c>
      <c r="B538" s="53" t="s">
        <v>159</v>
      </c>
      <c r="C538" s="53" t="s">
        <v>111</v>
      </c>
      <c r="D538" s="54" t="s">
        <v>141</v>
      </c>
      <c r="E538" s="53"/>
      <c r="F538" s="52">
        <f>F539+F543</f>
        <v>22051.9</v>
      </c>
      <c r="G538" s="52">
        <f>G539+G543</f>
        <v>17561.900000000001</v>
      </c>
      <c r="H538" s="299">
        <f t="shared" si="119"/>
        <v>-4490</v>
      </c>
      <c r="I538" s="52">
        <f>I539+I543</f>
        <v>19503.900000000001</v>
      </c>
      <c r="J538" s="52">
        <f>J539+J543</f>
        <v>17561.900000000001</v>
      </c>
      <c r="K538" s="299">
        <f t="shared" si="125"/>
        <v>0</v>
      </c>
      <c r="L538" s="52">
        <f>L539+L543</f>
        <v>19503.900000000001</v>
      </c>
      <c r="M538" s="299">
        <f t="shared" si="126"/>
        <v>0</v>
      </c>
      <c r="N538" s="52">
        <f>N539+N543</f>
        <v>19503.900000000001</v>
      </c>
      <c r="O538" s="52">
        <f>O539+O543</f>
        <v>19503.900000000001</v>
      </c>
      <c r="P538" s="299">
        <f t="shared" si="120"/>
        <v>0</v>
      </c>
    </row>
    <row r="539" spans="1:17" s="51" customFormat="1" ht="18" customHeight="1" x14ac:dyDescent="0.2">
      <c r="A539" s="106" t="s">
        <v>66</v>
      </c>
      <c r="B539" s="53" t="s">
        <v>159</v>
      </c>
      <c r="C539" s="53" t="s">
        <v>111</v>
      </c>
      <c r="D539" s="54" t="s">
        <v>224</v>
      </c>
      <c r="E539" s="53"/>
      <c r="F539" s="52">
        <f t="shared" ref="F539:G541" si="130">F540</f>
        <v>1139.2</v>
      </c>
      <c r="G539" s="52">
        <f t="shared" si="130"/>
        <v>1139.2</v>
      </c>
      <c r="H539" s="299">
        <f t="shared" si="119"/>
        <v>0</v>
      </c>
      <c r="I539" s="52">
        <f t="shared" ref="I539:L541" si="131">I540</f>
        <v>1139.2</v>
      </c>
      <c r="J539" s="52">
        <f t="shared" si="131"/>
        <v>1139.2</v>
      </c>
      <c r="K539" s="299">
        <f t="shared" si="125"/>
        <v>0</v>
      </c>
      <c r="L539" s="52">
        <f t="shared" si="131"/>
        <v>1139.2</v>
      </c>
      <c r="M539" s="299">
        <f t="shared" si="126"/>
        <v>0</v>
      </c>
      <c r="N539" s="52">
        <f t="shared" ref="N539:O541" si="132">N540</f>
        <v>1139.2</v>
      </c>
      <c r="O539" s="52">
        <f t="shared" si="132"/>
        <v>1139.2</v>
      </c>
      <c r="P539" s="299">
        <f t="shared" si="120"/>
        <v>0</v>
      </c>
    </row>
    <row r="540" spans="1:17" s="51" customFormat="1" ht="25.5" customHeight="1" x14ac:dyDescent="0.2">
      <c r="A540" s="75" t="s">
        <v>223</v>
      </c>
      <c r="B540" s="53" t="s">
        <v>159</v>
      </c>
      <c r="C540" s="53" t="s">
        <v>111</v>
      </c>
      <c r="D540" s="103" t="s">
        <v>222</v>
      </c>
      <c r="E540" s="53"/>
      <c r="F540" s="52">
        <f t="shared" si="130"/>
        <v>1139.2</v>
      </c>
      <c r="G540" s="52">
        <f t="shared" si="130"/>
        <v>1139.2</v>
      </c>
      <c r="H540" s="299">
        <f t="shared" si="119"/>
        <v>0</v>
      </c>
      <c r="I540" s="52">
        <f t="shared" si="131"/>
        <v>1139.2</v>
      </c>
      <c r="J540" s="52">
        <f t="shared" si="131"/>
        <v>1139.2</v>
      </c>
      <c r="K540" s="299">
        <f t="shared" si="125"/>
        <v>0</v>
      </c>
      <c r="L540" s="52">
        <f t="shared" si="131"/>
        <v>1139.2</v>
      </c>
      <c r="M540" s="299">
        <f t="shared" si="126"/>
        <v>0</v>
      </c>
      <c r="N540" s="52">
        <f t="shared" si="132"/>
        <v>1139.2</v>
      </c>
      <c r="O540" s="52">
        <f t="shared" si="132"/>
        <v>1139.2</v>
      </c>
      <c r="P540" s="299">
        <f t="shared" si="120"/>
        <v>0</v>
      </c>
    </row>
    <row r="541" spans="1:17" s="51" customFormat="1" ht="24.75" customHeight="1" x14ac:dyDescent="0.2">
      <c r="A541" s="75" t="s">
        <v>221</v>
      </c>
      <c r="B541" s="53" t="s">
        <v>159</v>
      </c>
      <c r="C541" s="53" t="s">
        <v>111</v>
      </c>
      <c r="D541" s="103" t="s">
        <v>220</v>
      </c>
      <c r="E541" s="53"/>
      <c r="F541" s="52">
        <f t="shared" si="130"/>
        <v>1139.2</v>
      </c>
      <c r="G541" s="52">
        <f t="shared" si="130"/>
        <v>1139.2</v>
      </c>
      <c r="H541" s="299">
        <f t="shared" si="119"/>
        <v>0</v>
      </c>
      <c r="I541" s="52">
        <f t="shared" si="131"/>
        <v>1139.2</v>
      </c>
      <c r="J541" s="52">
        <f t="shared" si="131"/>
        <v>1139.2</v>
      </c>
      <c r="K541" s="299">
        <f t="shared" si="125"/>
        <v>0</v>
      </c>
      <c r="L541" s="52">
        <f t="shared" si="131"/>
        <v>1139.2</v>
      </c>
      <c r="M541" s="299">
        <f t="shared" si="126"/>
        <v>0</v>
      </c>
      <c r="N541" s="52">
        <f t="shared" si="132"/>
        <v>1139.2</v>
      </c>
      <c r="O541" s="52">
        <f t="shared" si="132"/>
        <v>1139.2</v>
      </c>
      <c r="P541" s="299">
        <f t="shared" si="120"/>
        <v>0</v>
      </c>
    </row>
    <row r="542" spans="1:17" s="51" customFormat="1" ht="14.25" customHeight="1" x14ac:dyDescent="0.2">
      <c r="A542" s="97" t="s">
        <v>98</v>
      </c>
      <c r="B542" s="53" t="s">
        <v>159</v>
      </c>
      <c r="C542" s="53" t="s">
        <v>111</v>
      </c>
      <c r="D542" s="103" t="s">
        <v>220</v>
      </c>
      <c r="E542" s="53" t="s">
        <v>81</v>
      </c>
      <c r="F542" s="104">
        <f>569.6+569.6</f>
        <v>1139.2</v>
      </c>
      <c r="G542" s="104">
        <f>569.6+569.6</f>
        <v>1139.2</v>
      </c>
      <c r="H542" s="299">
        <f t="shared" si="119"/>
        <v>0</v>
      </c>
      <c r="I542" s="104">
        <f>569.6+569.6</f>
        <v>1139.2</v>
      </c>
      <c r="J542" s="104">
        <f>569.6+569.6</f>
        <v>1139.2</v>
      </c>
      <c r="K542" s="299">
        <f t="shared" si="125"/>
        <v>0</v>
      </c>
      <c r="L542" s="104">
        <f>569.6+569.6</f>
        <v>1139.2</v>
      </c>
      <c r="M542" s="299">
        <f t="shared" si="126"/>
        <v>0</v>
      </c>
      <c r="N542" s="104">
        <f>569.6+569.6</f>
        <v>1139.2</v>
      </c>
      <c r="O542" s="104">
        <f>569.6+569.6</f>
        <v>1139.2</v>
      </c>
      <c r="P542" s="299">
        <f t="shared" si="120"/>
        <v>0</v>
      </c>
    </row>
    <row r="543" spans="1:17" s="51" customFormat="1" ht="15" customHeight="1" x14ac:dyDescent="0.2">
      <c r="A543" s="97" t="s">
        <v>52</v>
      </c>
      <c r="B543" s="53" t="s">
        <v>159</v>
      </c>
      <c r="C543" s="53" t="s">
        <v>111</v>
      </c>
      <c r="D543" s="103" t="s">
        <v>140</v>
      </c>
      <c r="E543" s="53"/>
      <c r="F543" s="104">
        <f>F551+F544+F554</f>
        <v>20912.7</v>
      </c>
      <c r="G543" s="104">
        <f t="shared" ref="G543:O543" si="133">G551+G544+G554</f>
        <v>16422.7</v>
      </c>
      <c r="H543" s="299">
        <f t="shared" si="119"/>
        <v>-4490</v>
      </c>
      <c r="I543" s="104">
        <f t="shared" si="133"/>
        <v>18364.7</v>
      </c>
      <c r="J543" s="104">
        <f t="shared" si="133"/>
        <v>16422.7</v>
      </c>
      <c r="K543" s="299">
        <f t="shared" si="125"/>
        <v>0</v>
      </c>
      <c r="L543" s="104">
        <f t="shared" si="133"/>
        <v>18364.7</v>
      </c>
      <c r="M543" s="299">
        <f t="shared" si="126"/>
        <v>0</v>
      </c>
      <c r="N543" s="104">
        <f t="shared" si="133"/>
        <v>18364.7</v>
      </c>
      <c r="O543" s="104">
        <f t="shared" si="133"/>
        <v>18364.7</v>
      </c>
      <c r="P543" s="299">
        <f t="shared" si="120"/>
        <v>0</v>
      </c>
    </row>
    <row r="544" spans="1:17" s="51" customFormat="1" ht="30.75" customHeight="1" x14ac:dyDescent="0.2">
      <c r="A544" s="56" t="s">
        <v>219</v>
      </c>
      <c r="B544" s="53" t="s">
        <v>159</v>
      </c>
      <c r="C544" s="53" t="s">
        <v>111</v>
      </c>
      <c r="D544" s="103" t="s">
        <v>218</v>
      </c>
      <c r="E544" s="53"/>
      <c r="F544" s="104">
        <f>F545+F547+F549</f>
        <v>20862.7</v>
      </c>
      <c r="G544" s="104">
        <f>G545+G547+G549</f>
        <v>16362.7</v>
      </c>
      <c r="H544" s="299">
        <f t="shared" si="119"/>
        <v>-4500</v>
      </c>
      <c r="I544" s="104">
        <f>I545+I547+I549</f>
        <v>18314.7</v>
      </c>
      <c r="J544" s="104">
        <f>J545+J547+J549</f>
        <v>16362.7</v>
      </c>
      <c r="K544" s="299">
        <f t="shared" si="125"/>
        <v>0</v>
      </c>
      <c r="L544" s="104">
        <f>L545+L547+L549</f>
        <v>18314.7</v>
      </c>
      <c r="M544" s="299">
        <f t="shared" si="126"/>
        <v>0</v>
      </c>
      <c r="N544" s="104">
        <f>N545+N547+N549</f>
        <v>18314.7</v>
      </c>
      <c r="O544" s="104">
        <f>O545+O547+O549</f>
        <v>18314.7</v>
      </c>
      <c r="P544" s="299">
        <f t="shared" si="120"/>
        <v>0</v>
      </c>
    </row>
    <row r="545" spans="1:16" s="51" customFormat="1" ht="15" customHeight="1" x14ac:dyDescent="0.2">
      <c r="A545" s="56" t="s">
        <v>217</v>
      </c>
      <c r="B545" s="53" t="s">
        <v>159</v>
      </c>
      <c r="C545" s="53" t="s">
        <v>111</v>
      </c>
      <c r="D545" s="74" t="s">
        <v>216</v>
      </c>
      <c r="E545" s="73"/>
      <c r="F545" s="52">
        <f>F546</f>
        <v>17562.7</v>
      </c>
      <c r="G545" s="52">
        <f>G546</f>
        <v>13005</v>
      </c>
      <c r="H545" s="299">
        <f t="shared" si="119"/>
        <v>-4557.7000000000007</v>
      </c>
      <c r="I545" s="52">
        <f>I546</f>
        <v>18314.7</v>
      </c>
      <c r="J545" s="52">
        <f>J546</f>
        <v>13005</v>
      </c>
      <c r="K545" s="299">
        <f t="shared" si="125"/>
        <v>0</v>
      </c>
      <c r="L545" s="52">
        <f>L546</f>
        <v>18314.7</v>
      </c>
      <c r="M545" s="299">
        <f t="shared" si="126"/>
        <v>0</v>
      </c>
      <c r="N545" s="52">
        <f>N546</f>
        <v>18314.7</v>
      </c>
      <c r="O545" s="52">
        <f>O546</f>
        <v>18314.7</v>
      </c>
      <c r="P545" s="299">
        <f t="shared" si="120"/>
        <v>0</v>
      </c>
    </row>
    <row r="546" spans="1:16" s="51" customFormat="1" ht="15" customHeight="1" x14ac:dyDescent="0.2">
      <c r="A546" s="102" t="s">
        <v>98</v>
      </c>
      <c r="B546" s="53" t="s">
        <v>159</v>
      </c>
      <c r="C546" s="53" t="s">
        <v>111</v>
      </c>
      <c r="D546" s="74" t="s">
        <v>216</v>
      </c>
      <c r="E546" s="73" t="s">
        <v>81</v>
      </c>
      <c r="F546" s="52">
        <f>18314.7-280-472</f>
        <v>17562.7</v>
      </c>
      <c r="G546" s="52">
        <f>17562.7-57.7-4500</f>
        <v>13005</v>
      </c>
      <c r="H546" s="299">
        <f t="shared" si="119"/>
        <v>-4557.7000000000007</v>
      </c>
      <c r="I546" s="52">
        <f>18314.7</f>
        <v>18314.7</v>
      </c>
      <c r="J546" s="52">
        <f>17562.7-57.7-4500</f>
        <v>13005</v>
      </c>
      <c r="K546" s="299">
        <f t="shared" si="125"/>
        <v>0</v>
      </c>
      <c r="L546" s="52">
        <f>18314.7</f>
        <v>18314.7</v>
      </c>
      <c r="M546" s="299">
        <f t="shared" si="126"/>
        <v>0</v>
      </c>
      <c r="N546" s="52">
        <f>18314.7</f>
        <v>18314.7</v>
      </c>
      <c r="O546" s="52">
        <f>18314.7</f>
        <v>18314.7</v>
      </c>
      <c r="P546" s="299">
        <f t="shared" si="120"/>
        <v>0</v>
      </c>
    </row>
    <row r="547" spans="1:16" s="51" customFormat="1" ht="29.25" customHeight="1" x14ac:dyDescent="0.2">
      <c r="A547" s="56" t="s">
        <v>215</v>
      </c>
      <c r="B547" s="53" t="s">
        <v>159</v>
      </c>
      <c r="C547" s="53" t="s">
        <v>111</v>
      </c>
      <c r="D547" s="74" t="s">
        <v>214</v>
      </c>
      <c r="E547" s="73"/>
      <c r="F547" s="52">
        <f>F548</f>
        <v>3300</v>
      </c>
      <c r="G547" s="52">
        <f>G548</f>
        <v>3300</v>
      </c>
      <c r="H547" s="299">
        <f t="shared" si="119"/>
        <v>0</v>
      </c>
      <c r="I547" s="52">
        <f>I548</f>
        <v>0</v>
      </c>
      <c r="J547" s="52">
        <f>J548</f>
        <v>3300</v>
      </c>
      <c r="K547" s="299">
        <f t="shared" si="125"/>
        <v>0</v>
      </c>
      <c r="L547" s="52">
        <f>L548</f>
        <v>0</v>
      </c>
      <c r="M547" s="299">
        <f t="shared" si="126"/>
        <v>0</v>
      </c>
      <c r="N547" s="52">
        <f>N548</f>
        <v>0</v>
      </c>
      <c r="O547" s="52">
        <f>O548</f>
        <v>0</v>
      </c>
      <c r="P547" s="299">
        <f t="shared" si="120"/>
        <v>0</v>
      </c>
    </row>
    <row r="548" spans="1:16" s="51" customFormat="1" ht="15" customHeight="1" x14ac:dyDescent="0.2">
      <c r="A548" s="102" t="s">
        <v>98</v>
      </c>
      <c r="B548" s="53" t="s">
        <v>159</v>
      </c>
      <c r="C548" s="53" t="s">
        <v>111</v>
      </c>
      <c r="D548" s="74" t="s">
        <v>214</v>
      </c>
      <c r="E548" s="73" t="s">
        <v>81</v>
      </c>
      <c r="F548" s="52">
        <v>3300</v>
      </c>
      <c r="G548" s="52">
        <v>3300</v>
      </c>
      <c r="H548" s="299">
        <f t="shared" si="119"/>
        <v>0</v>
      </c>
      <c r="I548" s="52">
        <v>0</v>
      </c>
      <c r="J548" s="52">
        <v>3300</v>
      </c>
      <c r="K548" s="299">
        <f t="shared" si="125"/>
        <v>0</v>
      </c>
      <c r="L548" s="52">
        <v>0</v>
      </c>
      <c r="M548" s="299">
        <f t="shared" si="126"/>
        <v>0</v>
      </c>
      <c r="N548" s="65">
        <v>0</v>
      </c>
      <c r="O548" s="65">
        <v>0</v>
      </c>
      <c r="P548" s="299">
        <f t="shared" si="120"/>
        <v>0</v>
      </c>
    </row>
    <row r="549" spans="1:16" s="51" customFormat="1" ht="25.5" customHeight="1" x14ac:dyDescent="0.2">
      <c r="A549" s="75" t="s">
        <v>88</v>
      </c>
      <c r="B549" s="53" t="s">
        <v>159</v>
      </c>
      <c r="C549" s="53" t="s">
        <v>111</v>
      </c>
      <c r="D549" s="54" t="s">
        <v>227</v>
      </c>
      <c r="E549" s="53"/>
      <c r="F549" s="52">
        <f>F550</f>
        <v>0</v>
      </c>
      <c r="G549" s="52">
        <f t="shared" ref="G549:O549" si="134">G550</f>
        <v>57.7</v>
      </c>
      <c r="H549" s="299">
        <f t="shared" si="119"/>
        <v>57.7</v>
      </c>
      <c r="I549" s="52">
        <f t="shared" si="134"/>
        <v>0</v>
      </c>
      <c r="J549" s="52">
        <f t="shared" si="134"/>
        <v>57.7</v>
      </c>
      <c r="K549" s="299">
        <f t="shared" si="125"/>
        <v>0</v>
      </c>
      <c r="L549" s="52">
        <f t="shared" si="134"/>
        <v>0</v>
      </c>
      <c r="M549" s="299">
        <f t="shared" si="126"/>
        <v>0</v>
      </c>
      <c r="N549" s="52">
        <f t="shared" si="134"/>
        <v>0</v>
      </c>
      <c r="O549" s="52">
        <f t="shared" si="134"/>
        <v>0</v>
      </c>
      <c r="P549" s="299">
        <f t="shared" si="120"/>
        <v>0</v>
      </c>
    </row>
    <row r="550" spans="1:16" s="51" customFormat="1" ht="15" customHeight="1" x14ac:dyDescent="0.2">
      <c r="A550" s="75" t="s">
        <v>82</v>
      </c>
      <c r="B550" s="53" t="s">
        <v>159</v>
      </c>
      <c r="C550" s="53" t="s">
        <v>111</v>
      </c>
      <c r="D550" s="54" t="s">
        <v>227</v>
      </c>
      <c r="E550" s="53" t="s">
        <v>81</v>
      </c>
      <c r="F550" s="52">
        <v>0</v>
      </c>
      <c r="G550" s="52">
        <v>57.7</v>
      </c>
      <c r="H550" s="299">
        <f t="shared" si="119"/>
        <v>57.7</v>
      </c>
      <c r="I550" s="52">
        <v>0</v>
      </c>
      <c r="J550" s="52">
        <v>57.7</v>
      </c>
      <c r="K550" s="299">
        <f t="shared" si="125"/>
        <v>0</v>
      </c>
      <c r="L550" s="52">
        <v>0</v>
      </c>
      <c r="M550" s="299">
        <f t="shared" si="126"/>
        <v>0</v>
      </c>
      <c r="N550" s="52">
        <v>0</v>
      </c>
      <c r="O550" s="52">
        <v>0</v>
      </c>
      <c r="P550" s="299">
        <f>O550-N550</f>
        <v>0</v>
      </c>
    </row>
    <row r="551" spans="1:16" s="51" customFormat="1" ht="41.25" customHeight="1" x14ac:dyDescent="0.2">
      <c r="A551" s="56" t="s">
        <v>204</v>
      </c>
      <c r="B551" s="53" t="s">
        <v>159</v>
      </c>
      <c r="C551" s="53" t="s">
        <v>111</v>
      </c>
      <c r="D551" s="103" t="s">
        <v>203</v>
      </c>
      <c r="E551" s="53"/>
      <c r="F551" s="104">
        <f>F552</f>
        <v>50</v>
      </c>
      <c r="G551" s="104">
        <f>G552</f>
        <v>50</v>
      </c>
      <c r="H551" s="299">
        <f t="shared" si="119"/>
        <v>0</v>
      </c>
      <c r="I551" s="104">
        <f>I552</f>
        <v>50</v>
      </c>
      <c r="J551" s="104">
        <f>J552</f>
        <v>50</v>
      </c>
      <c r="K551" s="299">
        <f t="shared" si="125"/>
        <v>0</v>
      </c>
      <c r="L551" s="104">
        <f>L552</f>
        <v>50</v>
      </c>
      <c r="M551" s="299">
        <f t="shared" si="126"/>
        <v>0</v>
      </c>
      <c r="N551" s="104">
        <f>N552</f>
        <v>50</v>
      </c>
      <c r="O551" s="104">
        <f>O552</f>
        <v>50</v>
      </c>
      <c r="P551" s="299">
        <f t="shared" si="120"/>
        <v>0</v>
      </c>
    </row>
    <row r="552" spans="1:16" s="51" customFormat="1" ht="25.5" customHeight="1" x14ac:dyDescent="0.2">
      <c r="A552" s="56" t="s">
        <v>202</v>
      </c>
      <c r="B552" s="53" t="s">
        <v>159</v>
      </c>
      <c r="C552" s="53" t="s">
        <v>111</v>
      </c>
      <c r="D552" s="103" t="s">
        <v>201</v>
      </c>
      <c r="E552" s="53"/>
      <c r="F552" s="104">
        <f>F553</f>
        <v>50</v>
      </c>
      <c r="G552" s="104">
        <f>G553</f>
        <v>50</v>
      </c>
      <c r="H552" s="299">
        <f t="shared" si="119"/>
        <v>0</v>
      </c>
      <c r="I552" s="104">
        <f>I553</f>
        <v>50</v>
      </c>
      <c r="J552" s="104">
        <f>J553</f>
        <v>50</v>
      </c>
      <c r="K552" s="299">
        <f t="shared" si="125"/>
        <v>0</v>
      </c>
      <c r="L552" s="104">
        <f>L553</f>
        <v>50</v>
      </c>
      <c r="M552" s="299">
        <f t="shared" si="126"/>
        <v>0</v>
      </c>
      <c r="N552" s="104">
        <f>N553</f>
        <v>50</v>
      </c>
      <c r="O552" s="104">
        <f>O553</f>
        <v>50</v>
      </c>
      <c r="P552" s="299">
        <f t="shared" si="120"/>
        <v>0</v>
      </c>
    </row>
    <row r="553" spans="1:16" s="51" customFormat="1" ht="17.25" customHeight="1" x14ac:dyDescent="0.2">
      <c r="A553" s="97" t="s">
        <v>98</v>
      </c>
      <c r="B553" s="53" t="s">
        <v>159</v>
      </c>
      <c r="C553" s="53" t="s">
        <v>111</v>
      </c>
      <c r="D553" s="103" t="s">
        <v>201</v>
      </c>
      <c r="E553" s="53" t="s">
        <v>81</v>
      </c>
      <c r="F553" s="104">
        <v>50</v>
      </c>
      <c r="G553" s="104">
        <v>50</v>
      </c>
      <c r="H553" s="299">
        <f t="shared" si="119"/>
        <v>0</v>
      </c>
      <c r="I553" s="104">
        <v>50</v>
      </c>
      <c r="J553" s="104">
        <v>50</v>
      </c>
      <c r="K553" s="299">
        <f t="shared" si="125"/>
        <v>0</v>
      </c>
      <c r="L553" s="104">
        <v>50</v>
      </c>
      <c r="M553" s="299">
        <f t="shared" si="126"/>
        <v>0</v>
      </c>
      <c r="N553" s="104">
        <v>50</v>
      </c>
      <c r="O553" s="104">
        <v>50</v>
      </c>
      <c r="P553" s="299">
        <f t="shared" si="120"/>
        <v>0</v>
      </c>
    </row>
    <row r="554" spans="1:16" s="51" customFormat="1" ht="29.25" customHeight="1" x14ac:dyDescent="0.2">
      <c r="A554" s="56" t="s">
        <v>198</v>
      </c>
      <c r="B554" s="53" t="s">
        <v>159</v>
      </c>
      <c r="C554" s="53" t="s">
        <v>111</v>
      </c>
      <c r="D554" s="103" t="s">
        <v>197</v>
      </c>
      <c r="E554" s="53"/>
      <c r="F554" s="52">
        <f>F555</f>
        <v>0</v>
      </c>
      <c r="G554" s="52">
        <f t="shared" ref="G554:O555" si="135">G555</f>
        <v>10</v>
      </c>
      <c r="H554" s="300">
        <f t="shared" si="119"/>
        <v>10</v>
      </c>
      <c r="I554" s="52">
        <f t="shared" si="135"/>
        <v>0</v>
      </c>
      <c r="J554" s="52">
        <f t="shared" si="135"/>
        <v>10</v>
      </c>
      <c r="K554" s="299">
        <f t="shared" si="125"/>
        <v>0</v>
      </c>
      <c r="L554" s="52">
        <f t="shared" si="135"/>
        <v>0</v>
      </c>
      <c r="M554" s="300">
        <f t="shared" si="126"/>
        <v>0</v>
      </c>
      <c r="N554" s="52">
        <f t="shared" si="135"/>
        <v>0</v>
      </c>
      <c r="O554" s="52">
        <f t="shared" si="135"/>
        <v>0</v>
      </c>
      <c r="P554" s="333">
        <f t="shared" si="120"/>
        <v>0</v>
      </c>
    </row>
    <row r="555" spans="1:16" s="51" customFormat="1" ht="40.5" customHeight="1" x14ac:dyDescent="0.2">
      <c r="A555" s="56" t="s">
        <v>194</v>
      </c>
      <c r="B555" s="53" t="s">
        <v>159</v>
      </c>
      <c r="C555" s="53" t="s">
        <v>111</v>
      </c>
      <c r="D555" s="74" t="s">
        <v>193</v>
      </c>
      <c r="E555" s="73"/>
      <c r="F555" s="52">
        <f>F556</f>
        <v>0</v>
      </c>
      <c r="G555" s="52">
        <f t="shared" si="135"/>
        <v>10</v>
      </c>
      <c r="H555" s="300">
        <f t="shared" si="119"/>
        <v>10</v>
      </c>
      <c r="I555" s="52">
        <f t="shared" si="135"/>
        <v>0</v>
      </c>
      <c r="J555" s="52">
        <f t="shared" si="135"/>
        <v>10</v>
      </c>
      <c r="K555" s="299">
        <f t="shared" si="125"/>
        <v>0</v>
      </c>
      <c r="L555" s="52">
        <f t="shared" si="135"/>
        <v>0</v>
      </c>
      <c r="M555" s="300">
        <f t="shared" si="126"/>
        <v>0</v>
      </c>
      <c r="N555" s="52">
        <f t="shared" si="135"/>
        <v>0</v>
      </c>
      <c r="O555" s="52">
        <f t="shared" si="135"/>
        <v>0</v>
      </c>
      <c r="P555" s="333">
        <f t="shared" si="120"/>
        <v>0</v>
      </c>
    </row>
    <row r="556" spans="1:16" s="51" customFormat="1" ht="16.5" customHeight="1" x14ac:dyDescent="0.2">
      <c r="A556" s="97" t="s">
        <v>98</v>
      </c>
      <c r="B556" s="53" t="s">
        <v>159</v>
      </c>
      <c r="C556" s="53" t="s">
        <v>111</v>
      </c>
      <c r="D556" s="74" t="s">
        <v>193</v>
      </c>
      <c r="E556" s="73" t="s">
        <v>81</v>
      </c>
      <c r="F556" s="52">
        <v>0</v>
      </c>
      <c r="G556" s="52">
        <v>10</v>
      </c>
      <c r="H556" s="300">
        <f t="shared" si="119"/>
        <v>10</v>
      </c>
      <c r="I556" s="52">
        <v>0</v>
      </c>
      <c r="J556" s="52">
        <v>10</v>
      </c>
      <c r="K556" s="299">
        <f t="shared" si="125"/>
        <v>0</v>
      </c>
      <c r="L556" s="52">
        <v>0</v>
      </c>
      <c r="M556" s="300">
        <f t="shared" si="126"/>
        <v>0</v>
      </c>
      <c r="N556" s="52">
        <v>0</v>
      </c>
      <c r="O556" s="52">
        <v>0</v>
      </c>
      <c r="P556" s="333">
        <f t="shared" si="120"/>
        <v>0</v>
      </c>
    </row>
    <row r="557" spans="1:16" s="43" customFormat="1" ht="13.5" customHeight="1" x14ac:dyDescent="0.2">
      <c r="A557" s="105" t="s">
        <v>213</v>
      </c>
      <c r="B557" s="48" t="s">
        <v>159</v>
      </c>
      <c r="C557" s="48" t="s">
        <v>159</v>
      </c>
      <c r="D557" s="48"/>
      <c r="E557" s="48"/>
      <c r="F557" s="44">
        <f>F558</f>
        <v>385</v>
      </c>
      <c r="G557" s="44">
        <f>G558</f>
        <v>385</v>
      </c>
      <c r="H557" s="299">
        <f t="shared" si="119"/>
        <v>0</v>
      </c>
      <c r="I557" s="44">
        <f>I558</f>
        <v>385</v>
      </c>
      <c r="J557" s="44">
        <f>J558</f>
        <v>385</v>
      </c>
      <c r="K557" s="299">
        <f t="shared" si="125"/>
        <v>0</v>
      </c>
      <c r="L557" s="44">
        <f>L558</f>
        <v>385</v>
      </c>
      <c r="M557" s="299">
        <f t="shared" si="126"/>
        <v>0</v>
      </c>
      <c r="N557" s="44">
        <f>N558</f>
        <v>385</v>
      </c>
      <c r="O557" s="44">
        <f>O558</f>
        <v>385</v>
      </c>
      <c r="P557" s="299">
        <f t="shared" si="120"/>
        <v>0</v>
      </c>
    </row>
    <row r="558" spans="1:16" s="51" customFormat="1" ht="39.75" customHeight="1" x14ac:dyDescent="0.2">
      <c r="A558" s="64" t="s">
        <v>68</v>
      </c>
      <c r="B558" s="53" t="s">
        <v>159</v>
      </c>
      <c r="C558" s="53" t="s">
        <v>159</v>
      </c>
      <c r="D558" s="54" t="s">
        <v>67</v>
      </c>
      <c r="E558" s="53"/>
      <c r="F558" s="52">
        <f>F559+F563</f>
        <v>385</v>
      </c>
      <c r="G558" s="52">
        <f>G559+G563</f>
        <v>385</v>
      </c>
      <c r="H558" s="299">
        <f t="shared" si="119"/>
        <v>0</v>
      </c>
      <c r="I558" s="52">
        <f>I559+I563</f>
        <v>385</v>
      </c>
      <c r="J558" s="52">
        <f>J559+J563</f>
        <v>385</v>
      </c>
      <c r="K558" s="299">
        <f t="shared" si="125"/>
        <v>0</v>
      </c>
      <c r="L558" s="52">
        <f>L559+L563</f>
        <v>385</v>
      </c>
      <c r="M558" s="299">
        <f t="shared" si="126"/>
        <v>0</v>
      </c>
      <c r="N558" s="52">
        <f>N559+N563</f>
        <v>385</v>
      </c>
      <c r="O558" s="52">
        <f>O559+O563</f>
        <v>385</v>
      </c>
      <c r="P558" s="299">
        <f t="shared" si="120"/>
        <v>0</v>
      </c>
    </row>
    <row r="559" spans="1:16" s="51" customFormat="1" ht="16.5" hidden="1" customHeight="1" x14ac:dyDescent="0.2">
      <c r="A559" s="64" t="s">
        <v>66</v>
      </c>
      <c r="B559" s="53" t="s">
        <v>159</v>
      </c>
      <c r="C559" s="53" t="s">
        <v>159</v>
      </c>
      <c r="D559" s="54" t="s">
        <v>65</v>
      </c>
      <c r="E559" s="53"/>
      <c r="F559" s="52">
        <f t="shared" ref="F559:G561" si="136">F560</f>
        <v>0</v>
      </c>
      <c r="G559" s="52">
        <f t="shared" si="136"/>
        <v>0</v>
      </c>
      <c r="H559" s="299">
        <f t="shared" si="119"/>
        <v>0</v>
      </c>
      <c r="I559" s="52">
        <f t="shared" ref="I559:L561" si="137">I560</f>
        <v>0</v>
      </c>
      <c r="J559" s="52">
        <f t="shared" si="137"/>
        <v>0</v>
      </c>
      <c r="K559" s="299">
        <f t="shared" si="125"/>
        <v>0</v>
      </c>
      <c r="L559" s="52">
        <f t="shared" si="137"/>
        <v>0</v>
      </c>
      <c r="M559" s="299">
        <f t="shared" si="126"/>
        <v>0</v>
      </c>
      <c r="N559" s="52">
        <f t="shared" ref="N559:O561" si="138">N560</f>
        <v>0</v>
      </c>
      <c r="O559" s="52">
        <f t="shared" si="138"/>
        <v>0</v>
      </c>
      <c r="P559" s="299">
        <f t="shared" si="120"/>
        <v>0</v>
      </c>
    </row>
    <row r="560" spans="1:16" s="51" customFormat="1" ht="14.25" hidden="1" customHeight="1" x14ac:dyDescent="0.2">
      <c r="A560" s="61" t="s">
        <v>211</v>
      </c>
      <c r="B560" s="53" t="s">
        <v>159</v>
      </c>
      <c r="C560" s="53" t="s">
        <v>159</v>
      </c>
      <c r="D560" s="54" t="s">
        <v>212</v>
      </c>
      <c r="E560" s="53"/>
      <c r="F560" s="52">
        <f t="shared" si="136"/>
        <v>0</v>
      </c>
      <c r="G560" s="52">
        <f t="shared" si="136"/>
        <v>0</v>
      </c>
      <c r="H560" s="299">
        <f t="shared" ref="H560:H631" si="139">G560-F560</f>
        <v>0</v>
      </c>
      <c r="I560" s="52">
        <f t="shared" si="137"/>
        <v>0</v>
      </c>
      <c r="J560" s="52">
        <f t="shared" si="137"/>
        <v>0</v>
      </c>
      <c r="K560" s="299">
        <f t="shared" si="125"/>
        <v>0</v>
      </c>
      <c r="L560" s="52">
        <f t="shared" si="137"/>
        <v>0</v>
      </c>
      <c r="M560" s="299">
        <f t="shared" si="126"/>
        <v>0</v>
      </c>
      <c r="N560" s="52">
        <f t="shared" si="138"/>
        <v>0</v>
      </c>
      <c r="O560" s="52">
        <f t="shared" si="138"/>
        <v>0</v>
      </c>
      <c r="P560" s="299">
        <f t="shared" ref="P560:P632" si="140">O560-N560</f>
        <v>0</v>
      </c>
    </row>
    <row r="561" spans="1:16" s="51" customFormat="1" ht="30.75" hidden="1" customHeight="1" x14ac:dyDescent="0.2">
      <c r="A561" s="62" t="s">
        <v>210</v>
      </c>
      <c r="B561" s="53" t="s">
        <v>159</v>
      </c>
      <c r="C561" s="53" t="s">
        <v>159</v>
      </c>
      <c r="D561" s="54" t="s">
        <v>1099</v>
      </c>
      <c r="E561" s="53"/>
      <c r="F561" s="52">
        <f t="shared" si="136"/>
        <v>0</v>
      </c>
      <c r="G561" s="52">
        <f t="shared" si="136"/>
        <v>0</v>
      </c>
      <c r="H561" s="299">
        <f t="shared" si="139"/>
        <v>0</v>
      </c>
      <c r="I561" s="52">
        <f t="shared" si="137"/>
        <v>0</v>
      </c>
      <c r="J561" s="52">
        <f t="shared" si="137"/>
        <v>0</v>
      </c>
      <c r="K561" s="299">
        <f t="shared" si="125"/>
        <v>0</v>
      </c>
      <c r="L561" s="52">
        <f t="shared" si="137"/>
        <v>0</v>
      </c>
      <c r="M561" s="299">
        <f t="shared" si="126"/>
        <v>0</v>
      </c>
      <c r="N561" s="52">
        <f t="shared" si="138"/>
        <v>0</v>
      </c>
      <c r="O561" s="52">
        <f t="shared" si="138"/>
        <v>0</v>
      </c>
      <c r="P561" s="299">
        <f t="shared" si="140"/>
        <v>0</v>
      </c>
    </row>
    <row r="562" spans="1:16" s="51" customFormat="1" ht="29.25" hidden="1" customHeight="1" x14ac:dyDescent="0.2">
      <c r="A562" s="56" t="s">
        <v>73</v>
      </c>
      <c r="B562" s="53" t="s">
        <v>159</v>
      </c>
      <c r="C562" s="53" t="s">
        <v>159</v>
      </c>
      <c r="D562" s="54" t="s">
        <v>1099</v>
      </c>
      <c r="E562" s="53" t="s">
        <v>70</v>
      </c>
      <c r="F562" s="52"/>
      <c r="G562" s="52"/>
      <c r="H562" s="299">
        <f t="shared" si="139"/>
        <v>0</v>
      </c>
      <c r="I562" s="52">
        <v>0</v>
      </c>
      <c r="J562" s="52"/>
      <c r="K562" s="299">
        <f t="shared" si="125"/>
        <v>0</v>
      </c>
      <c r="L562" s="52">
        <v>0</v>
      </c>
      <c r="M562" s="299">
        <f t="shared" si="126"/>
        <v>0</v>
      </c>
      <c r="N562" s="52"/>
      <c r="O562" s="52"/>
      <c r="P562" s="299">
        <f t="shared" si="140"/>
        <v>0</v>
      </c>
    </row>
    <row r="563" spans="1:16" s="51" customFormat="1" ht="16.5" customHeight="1" x14ac:dyDescent="0.2">
      <c r="A563" s="56" t="s">
        <v>52</v>
      </c>
      <c r="B563" s="53" t="s">
        <v>159</v>
      </c>
      <c r="C563" s="53" t="s">
        <v>159</v>
      </c>
      <c r="D563" s="54" t="s">
        <v>92</v>
      </c>
      <c r="E563" s="53"/>
      <c r="F563" s="52">
        <f>F564</f>
        <v>385</v>
      </c>
      <c r="G563" s="52">
        <f>G564</f>
        <v>385</v>
      </c>
      <c r="H563" s="299">
        <f t="shared" si="139"/>
        <v>0</v>
      </c>
      <c r="I563" s="52">
        <f>I564</f>
        <v>385</v>
      </c>
      <c r="J563" s="52">
        <f>J564</f>
        <v>385</v>
      </c>
      <c r="K563" s="299">
        <f t="shared" si="125"/>
        <v>0</v>
      </c>
      <c r="L563" s="52">
        <f>L564</f>
        <v>385</v>
      </c>
      <c r="M563" s="299">
        <f t="shared" si="126"/>
        <v>0</v>
      </c>
      <c r="N563" s="52">
        <f>N564</f>
        <v>385</v>
      </c>
      <c r="O563" s="52">
        <f>O564</f>
        <v>385</v>
      </c>
      <c r="P563" s="299">
        <f t="shared" si="140"/>
        <v>0</v>
      </c>
    </row>
    <row r="564" spans="1:16" s="51" customFormat="1" ht="29.25" customHeight="1" x14ac:dyDescent="0.2">
      <c r="A564" s="64" t="s">
        <v>209</v>
      </c>
      <c r="B564" s="53" t="s">
        <v>159</v>
      </c>
      <c r="C564" s="53" t="s">
        <v>159</v>
      </c>
      <c r="D564" s="54" t="s">
        <v>208</v>
      </c>
      <c r="E564" s="53"/>
      <c r="F564" s="52">
        <f>F565</f>
        <v>385</v>
      </c>
      <c r="G564" s="52">
        <f>G565</f>
        <v>385</v>
      </c>
      <c r="H564" s="299">
        <f t="shared" si="139"/>
        <v>0</v>
      </c>
      <c r="I564" s="52">
        <f>I565</f>
        <v>385</v>
      </c>
      <c r="J564" s="52">
        <f>J565</f>
        <v>385</v>
      </c>
      <c r="K564" s="299">
        <f t="shared" si="125"/>
        <v>0</v>
      </c>
      <c r="L564" s="52">
        <f>L565</f>
        <v>385</v>
      </c>
      <c r="M564" s="299">
        <f t="shared" si="126"/>
        <v>0</v>
      </c>
      <c r="N564" s="52">
        <f>N565</f>
        <v>385</v>
      </c>
      <c r="O564" s="52">
        <f>O565</f>
        <v>385</v>
      </c>
      <c r="P564" s="299">
        <f t="shared" si="140"/>
        <v>0</v>
      </c>
    </row>
    <row r="565" spans="1:16" s="51" customFormat="1" ht="17.25" customHeight="1" x14ac:dyDescent="0.2">
      <c r="A565" s="56" t="s">
        <v>207</v>
      </c>
      <c r="B565" s="53" t="s">
        <v>159</v>
      </c>
      <c r="C565" s="53" t="s">
        <v>159</v>
      </c>
      <c r="D565" s="54" t="s">
        <v>206</v>
      </c>
      <c r="E565" s="53"/>
      <c r="F565" s="52">
        <f>F566+F567</f>
        <v>385</v>
      </c>
      <c r="G565" s="52">
        <f>G566+G567</f>
        <v>385</v>
      </c>
      <c r="H565" s="299">
        <f t="shared" si="139"/>
        <v>0</v>
      </c>
      <c r="I565" s="52">
        <f>I566+I567</f>
        <v>385</v>
      </c>
      <c r="J565" s="52">
        <f>J566+J567</f>
        <v>385</v>
      </c>
      <c r="K565" s="299">
        <f t="shared" si="125"/>
        <v>0</v>
      </c>
      <c r="L565" s="52">
        <f>L566+L567</f>
        <v>385</v>
      </c>
      <c r="M565" s="299">
        <f t="shared" si="126"/>
        <v>0</v>
      </c>
      <c r="N565" s="52">
        <f>N566+N567</f>
        <v>385</v>
      </c>
      <c r="O565" s="52">
        <f>O566+O567</f>
        <v>385</v>
      </c>
      <c r="P565" s="299">
        <f t="shared" si="140"/>
        <v>0</v>
      </c>
    </row>
    <row r="566" spans="1:16" s="51" customFormat="1" ht="29.25" customHeight="1" x14ac:dyDescent="0.2">
      <c r="A566" s="56" t="s">
        <v>84</v>
      </c>
      <c r="B566" s="53" t="s">
        <v>159</v>
      </c>
      <c r="C566" s="53" t="s">
        <v>159</v>
      </c>
      <c r="D566" s="54" t="s">
        <v>206</v>
      </c>
      <c r="E566" s="53" t="s">
        <v>83</v>
      </c>
      <c r="F566" s="52">
        <v>90</v>
      </c>
      <c r="G566" s="52">
        <v>90</v>
      </c>
      <c r="H566" s="299">
        <f t="shared" si="139"/>
        <v>0</v>
      </c>
      <c r="I566" s="52">
        <v>90</v>
      </c>
      <c r="J566" s="52">
        <v>90</v>
      </c>
      <c r="K566" s="299">
        <f t="shared" si="125"/>
        <v>0</v>
      </c>
      <c r="L566" s="52">
        <v>90</v>
      </c>
      <c r="M566" s="299">
        <f t="shared" si="126"/>
        <v>0</v>
      </c>
      <c r="N566" s="65">
        <v>90</v>
      </c>
      <c r="O566" s="65">
        <v>90</v>
      </c>
      <c r="P566" s="299">
        <f t="shared" si="140"/>
        <v>0</v>
      </c>
    </row>
    <row r="567" spans="1:16" s="51" customFormat="1" ht="29.25" customHeight="1" x14ac:dyDescent="0.2">
      <c r="A567" s="56" t="s">
        <v>73</v>
      </c>
      <c r="B567" s="53" t="s">
        <v>159</v>
      </c>
      <c r="C567" s="53" t="s">
        <v>159</v>
      </c>
      <c r="D567" s="54" t="s">
        <v>206</v>
      </c>
      <c r="E567" s="53" t="s">
        <v>70</v>
      </c>
      <c r="F567" s="52">
        <v>295</v>
      </c>
      <c r="G567" s="52">
        <v>295</v>
      </c>
      <c r="H567" s="299">
        <f t="shared" si="139"/>
        <v>0</v>
      </c>
      <c r="I567" s="52">
        <v>295</v>
      </c>
      <c r="J567" s="52">
        <v>295</v>
      </c>
      <c r="K567" s="299">
        <f t="shared" si="125"/>
        <v>0</v>
      </c>
      <c r="L567" s="52">
        <v>295</v>
      </c>
      <c r="M567" s="299">
        <f t="shared" si="126"/>
        <v>0</v>
      </c>
      <c r="N567" s="65">
        <v>295</v>
      </c>
      <c r="O567" s="65">
        <v>295</v>
      </c>
      <c r="P567" s="299">
        <f t="shared" si="140"/>
        <v>0</v>
      </c>
    </row>
    <row r="568" spans="1:16" s="43" customFormat="1" ht="13.5" customHeight="1" x14ac:dyDescent="0.2">
      <c r="A568" s="90" t="s">
        <v>205</v>
      </c>
      <c r="B568" s="98" t="s">
        <v>159</v>
      </c>
      <c r="C568" s="98" t="s">
        <v>160</v>
      </c>
      <c r="D568" s="45"/>
      <c r="E568" s="71"/>
      <c r="F568" s="44">
        <f>F569</f>
        <v>5613.5</v>
      </c>
      <c r="G568" s="44">
        <f>G569</f>
        <v>5100.8999999999996</v>
      </c>
      <c r="H568" s="299">
        <f t="shared" si="139"/>
        <v>-512.60000000000036</v>
      </c>
      <c r="I568" s="44">
        <f>I569</f>
        <v>5585.5</v>
      </c>
      <c r="J568" s="44">
        <f>J569</f>
        <v>5672</v>
      </c>
      <c r="K568" s="299">
        <f t="shared" si="125"/>
        <v>571.10000000000036</v>
      </c>
      <c r="L568" s="44">
        <f>L569</f>
        <v>5585.5</v>
      </c>
      <c r="M568" s="299">
        <f t="shared" si="126"/>
        <v>0</v>
      </c>
      <c r="N568" s="44">
        <f>N569</f>
        <v>5585.5</v>
      </c>
      <c r="O568" s="44">
        <f>O569</f>
        <v>5585.5</v>
      </c>
      <c r="P568" s="299">
        <f t="shared" si="140"/>
        <v>0</v>
      </c>
    </row>
    <row r="569" spans="1:16" s="51" customFormat="1" ht="25.5" customHeight="1" x14ac:dyDescent="0.2">
      <c r="A569" s="64" t="s">
        <v>142</v>
      </c>
      <c r="B569" s="53" t="s">
        <v>159</v>
      </c>
      <c r="C569" s="53" t="s">
        <v>160</v>
      </c>
      <c r="D569" s="54" t="s">
        <v>141</v>
      </c>
      <c r="E569" s="53"/>
      <c r="F569" s="52">
        <f>F570</f>
        <v>5613.5</v>
      </c>
      <c r="G569" s="52">
        <f>G570</f>
        <v>5100.8999999999996</v>
      </c>
      <c r="H569" s="299">
        <f t="shared" si="139"/>
        <v>-512.60000000000036</v>
      </c>
      <c r="I569" s="52">
        <f>I570</f>
        <v>5585.5</v>
      </c>
      <c r="J569" s="52">
        <f>J570</f>
        <v>5672</v>
      </c>
      <c r="K569" s="299">
        <f t="shared" si="125"/>
        <v>571.10000000000036</v>
      </c>
      <c r="L569" s="52">
        <f>L570</f>
        <v>5585.5</v>
      </c>
      <c r="M569" s="299">
        <f t="shared" si="126"/>
        <v>0</v>
      </c>
      <c r="N569" s="52">
        <f>N570</f>
        <v>5585.5</v>
      </c>
      <c r="O569" s="52">
        <f>O570</f>
        <v>5585.5</v>
      </c>
      <c r="P569" s="299">
        <f t="shared" si="140"/>
        <v>0</v>
      </c>
    </row>
    <row r="570" spans="1:16" s="51" customFormat="1" ht="15" customHeight="1" x14ac:dyDescent="0.2">
      <c r="A570" s="97" t="s">
        <v>52</v>
      </c>
      <c r="B570" s="53" t="s">
        <v>159</v>
      </c>
      <c r="C570" s="53" t="s">
        <v>160</v>
      </c>
      <c r="D570" s="103" t="s">
        <v>140</v>
      </c>
      <c r="E570" s="53"/>
      <c r="F570" s="104">
        <f>F571+F577</f>
        <v>5613.5</v>
      </c>
      <c r="G570" s="104">
        <f>G571+G577</f>
        <v>5100.8999999999996</v>
      </c>
      <c r="H570" s="299">
        <f t="shared" si="139"/>
        <v>-512.60000000000036</v>
      </c>
      <c r="I570" s="104">
        <f>I571+I577</f>
        <v>5585.5</v>
      </c>
      <c r="J570" s="104">
        <f>J571+J577</f>
        <v>5672</v>
      </c>
      <c r="K570" s="299">
        <f t="shared" si="125"/>
        <v>571.10000000000036</v>
      </c>
      <c r="L570" s="104">
        <f>L571+L577</f>
        <v>5585.5</v>
      </c>
      <c r="M570" s="299">
        <f t="shared" si="126"/>
        <v>0</v>
      </c>
      <c r="N570" s="104">
        <f>N571+N577</f>
        <v>5585.5</v>
      </c>
      <c r="O570" s="104">
        <f>O571+O577</f>
        <v>5585.5</v>
      </c>
      <c r="P570" s="299">
        <f t="shared" si="140"/>
        <v>0</v>
      </c>
    </row>
    <row r="571" spans="1:16" s="51" customFormat="1" ht="45" customHeight="1" x14ac:dyDescent="0.2">
      <c r="A571" s="56" t="s">
        <v>204</v>
      </c>
      <c r="B571" s="53" t="s">
        <v>159</v>
      </c>
      <c r="C571" s="53" t="s">
        <v>160</v>
      </c>
      <c r="D571" s="103" t="s">
        <v>203</v>
      </c>
      <c r="E571" s="53"/>
      <c r="F571" s="104">
        <f>F572+F575</f>
        <v>782.5</v>
      </c>
      <c r="G571" s="104">
        <f>G572+G575</f>
        <v>782.5</v>
      </c>
      <c r="H571" s="299">
        <f t="shared" si="139"/>
        <v>0</v>
      </c>
      <c r="I571" s="104">
        <f>I572+I575</f>
        <v>782.5</v>
      </c>
      <c r="J571" s="104">
        <f>J572+J575</f>
        <v>777</v>
      </c>
      <c r="K571" s="299">
        <f t="shared" si="125"/>
        <v>-5.5</v>
      </c>
      <c r="L571" s="104">
        <f>L572+L575</f>
        <v>782.5</v>
      </c>
      <c r="M571" s="299">
        <f t="shared" si="126"/>
        <v>0</v>
      </c>
      <c r="N571" s="104">
        <f>N572+N575</f>
        <v>782.5</v>
      </c>
      <c r="O571" s="104">
        <f>O572+O575</f>
        <v>782.5</v>
      </c>
      <c r="P571" s="299">
        <f t="shared" si="140"/>
        <v>0</v>
      </c>
    </row>
    <row r="572" spans="1:16" s="51" customFormat="1" ht="25.5" customHeight="1" x14ac:dyDescent="0.2">
      <c r="A572" s="56" t="s">
        <v>202</v>
      </c>
      <c r="B572" s="53" t="s">
        <v>159</v>
      </c>
      <c r="C572" s="53" t="s">
        <v>160</v>
      </c>
      <c r="D572" s="103" t="s">
        <v>201</v>
      </c>
      <c r="E572" s="53"/>
      <c r="F572" s="104">
        <f>F573+F574</f>
        <v>282.5</v>
      </c>
      <c r="G572" s="104">
        <f>G573+G574</f>
        <v>282.5</v>
      </c>
      <c r="H572" s="299">
        <f t="shared" si="139"/>
        <v>0</v>
      </c>
      <c r="I572" s="104">
        <f>I573+I574</f>
        <v>282.5</v>
      </c>
      <c r="J572" s="104">
        <f>J573+J574</f>
        <v>277</v>
      </c>
      <c r="K572" s="299">
        <f t="shared" si="125"/>
        <v>-5.5</v>
      </c>
      <c r="L572" s="104">
        <f>L573+L574</f>
        <v>282.5</v>
      </c>
      <c r="M572" s="299">
        <f t="shared" si="126"/>
        <v>0</v>
      </c>
      <c r="N572" s="104">
        <f>N573+N574</f>
        <v>282.5</v>
      </c>
      <c r="O572" s="104">
        <f>O573+O574</f>
        <v>282.5</v>
      </c>
      <c r="P572" s="299">
        <f t="shared" si="140"/>
        <v>0</v>
      </c>
    </row>
    <row r="573" spans="1:16" s="51" customFormat="1" ht="25.5" customHeight="1" x14ac:dyDescent="0.2">
      <c r="A573" s="99" t="s">
        <v>84</v>
      </c>
      <c r="B573" s="53" t="s">
        <v>159</v>
      </c>
      <c r="C573" s="53" t="s">
        <v>160</v>
      </c>
      <c r="D573" s="103" t="s">
        <v>201</v>
      </c>
      <c r="E573" s="53" t="s">
        <v>83</v>
      </c>
      <c r="F573" s="104">
        <v>62</v>
      </c>
      <c r="G573" s="104">
        <v>62</v>
      </c>
      <c r="H573" s="299">
        <f t="shared" si="139"/>
        <v>0</v>
      </c>
      <c r="I573" s="104">
        <v>62</v>
      </c>
      <c r="J573" s="104">
        <v>62</v>
      </c>
      <c r="K573" s="299">
        <f t="shared" si="125"/>
        <v>0</v>
      </c>
      <c r="L573" s="104">
        <v>62</v>
      </c>
      <c r="M573" s="299">
        <f t="shared" si="126"/>
        <v>0</v>
      </c>
      <c r="N573" s="104">
        <v>62</v>
      </c>
      <c r="O573" s="104">
        <v>62</v>
      </c>
      <c r="P573" s="299">
        <f t="shared" si="140"/>
        <v>0</v>
      </c>
    </row>
    <row r="574" spans="1:16" s="51" customFormat="1" ht="25.5" customHeight="1" x14ac:dyDescent="0.2">
      <c r="A574" s="99" t="s">
        <v>73</v>
      </c>
      <c r="B574" s="53" t="s">
        <v>159</v>
      </c>
      <c r="C574" s="53" t="s">
        <v>160</v>
      </c>
      <c r="D574" s="103" t="s">
        <v>201</v>
      </c>
      <c r="E574" s="53" t="s">
        <v>70</v>
      </c>
      <c r="F574" s="52">
        <v>220.5</v>
      </c>
      <c r="G574" s="52">
        <v>220.5</v>
      </c>
      <c r="H574" s="299">
        <f t="shared" si="139"/>
        <v>0</v>
      </c>
      <c r="I574" s="52">
        <v>220.5</v>
      </c>
      <c r="J574" s="52">
        <f>220.5-5.5</f>
        <v>215</v>
      </c>
      <c r="K574" s="299">
        <f t="shared" si="125"/>
        <v>-5.5</v>
      </c>
      <c r="L574" s="52">
        <v>220.5</v>
      </c>
      <c r="M574" s="299">
        <f t="shared" si="126"/>
        <v>0</v>
      </c>
      <c r="N574" s="52">
        <v>220.5</v>
      </c>
      <c r="O574" s="52">
        <v>220.5</v>
      </c>
      <c r="P574" s="299">
        <f t="shared" si="140"/>
        <v>0</v>
      </c>
    </row>
    <row r="575" spans="1:16" s="51" customFormat="1" ht="17.25" customHeight="1" x14ac:dyDescent="0.2">
      <c r="A575" s="64" t="s">
        <v>200</v>
      </c>
      <c r="B575" s="53" t="s">
        <v>159</v>
      </c>
      <c r="C575" s="53" t="s">
        <v>160</v>
      </c>
      <c r="D575" s="54" t="s">
        <v>199</v>
      </c>
      <c r="E575" s="101"/>
      <c r="F575" s="100">
        <f>F576</f>
        <v>500</v>
      </c>
      <c r="G575" s="100">
        <f>G576</f>
        <v>500</v>
      </c>
      <c r="H575" s="299">
        <f t="shared" si="139"/>
        <v>0</v>
      </c>
      <c r="I575" s="100">
        <f>I576</f>
        <v>500</v>
      </c>
      <c r="J575" s="100">
        <f>J576</f>
        <v>500</v>
      </c>
      <c r="K575" s="299">
        <f t="shared" si="125"/>
        <v>0</v>
      </c>
      <c r="L575" s="100">
        <f>L576</f>
        <v>500</v>
      </c>
      <c r="M575" s="299">
        <f t="shared" si="126"/>
        <v>0</v>
      </c>
      <c r="N575" s="100">
        <f>N576</f>
        <v>500</v>
      </c>
      <c r="O575" s="100">
        <f>O576</f>
        <v>500</v>
      </c>
      <c r="P575" s="299">
        <f t="shared" si="140"/>
        <v>0</v>
      </c>
    </row>
    <row r="576" spans="1:16" s="51" customFormat="1" ht="17.25" customHeight="1" x14ac:dyDescent="0.2">
      <c r="A576" s="102" t="s">
        <v>98</v>
      </c>
      <c r="B576" s="53" t="s">
        <v>159</v>
      </c>
      <c r="C576" s="53" t="s">
        <v>160</v>
      </c>
      <c r="D576" s="54" t="s">
        <v>199</v>
      </c>
      <c r="E576" s="101" t="s">
        <v>81</v>
      </c>
      <c r="F576" s="100">
        <v>500</v>
      </c>
      <c r="G576" s="100">
        <v>500</v>
      </c>
      <c r="H576" s="299">
        <f t="shared" si="139"/>
        <v>0</v>
      </c>
      <c r="I576" s="100">
        <v>500</v>
      </c>
      <c r="J576" s="100">
        <v>500</v>
      </c>
      <c r="K576" s="299">
        <f t="shared" si="125"/>
        <v>0</v>
      </c>
      <c r="L576" s="100">
        <v>500</v>
      </c>
      <c r="M576" s="299">
        <f t="shared" si="126"/>
        <v>0</v>
      </c>
      <c r="N576" s="100">
        <v>500</v>
      </c>
      <c r="O576" s="100">
        <v>500</v>
      </c>
      <c r="P576" s="299">
        <f t="shared" si="140"/>
        <v>0</v>
      </c>
    </row>
    <row r="577" spans="1:17" s="51" customFormat="1" ht="25.5" customHeight="1" x14ac:dyDescent="0.2">
      <c r="A577" s="56" t="s">
        <v>198</v>
      </c>
      <c r="B577" s="53" t="s">
        <v>159</v>
      </c>
      <c r="C577" s="53" t="s">
        <v>160</v>
      </c>
      <c r="D577" s="74" t="s">
        <v>197</v>
      </c>
      <c r="E577" s="73"/>
      <c r="F577" s="52">
        <f>F578+F581</f>
        <v>4831</v>
      </c>
      <c r="G577" s="52">
        <f>G578+G581</f>
        <v>4318.3999999999996</v>
      </c>
      <c r="H577" s="299">
        <f t="shared" si="139"/>
        <v>-512.60000000000036</v>
      </c>
      <c r="I577" s="52">
        <f>I578+I581</f>
        <v>4803</v>
      </c>
      <c r="J577" s="52">
        <f>J578+J581</f>
        <v>4895</v>
      </c>
      <c r="K577" s="299">
        <f t="shared" si="125"/>
        <v>576.60000000000036</v>
      </c>
      <c r="L577" s="52">
        <f>L578+L581</f>
        <v>4803</v>
      </c>
      <c r="M577" s="299">
        <f t="shared" si="126"/>
        <v>0</v>
      </c>
      <c r="N577" s="52">
        <f>N578+N581</f>
        <v>4803</v>
      </c>
      <c r="O577" s="52">
        <f>O578+O581</f>
        <v>4803</v>
      </c>
      <c r="P577" s="299">
        <f t="shared" si="140"/>
        <v>0</v>
      </c>
    </row>
    <row r="578" spans="1:17" s="51" customFormat="1" ht="18" customHeight="1" x14ac:dyDescent="0.2">
      <c r="A578" s="56" t="s">
        <v>196</v>
      </c>
      <c r="B578" s="53" t="s">
        <v>159</v>
      </c>
      <c r="C578" s="53" t="s">
        <v>160</v>
      </c>
      <c r="D578" s="74" t="s">
        <v>195</v>
      </c>
      <c r="E578" s="73"/>
      <c r="F578" s="52">
        <f>F579+F580</f>
        <v>4631</v>
      </c>
      <c r="G578" s="52">
        <f>G579+G580</f>
        <v>4138.3999999999996</v>
      </c>
      <c r="H578" s="299">
        <f t="shared" si="139"/>
        <v>-492.60000000000036</v>
      </c>
      <c r="I578" s="52">
        <f>I579+I580</f>
        <v>4553</v>
      </c>
      <c r="J578" s="52">
        <f>J579+J580</f>
        <v>4715</v>
      </c>
      <c r="K578" s="299">
        <f t="shared" si="125"/>
        <v>576.60000000000036</v>
      </c>
      <c r="L578" s="52">
        <f>L579+L580</f>
        <v>4553</v>
      </c>
      <c r="M578" s="299">
        <f t="shared" si="126"/>
        <v>0</v>
      </c>
      <c r="N578" s="52">
        <f>N579+N580</f>
        <v>4553</v>
      </c>
      <c r="O578" s="52">
        <f>O579+O580</f>
        <v>4553</v>
      </c>
      <c r="P578" s="299">
        <f t="shared" si="140"/>
        <v>0</v>
      </c>
    </row>
    <row r="579" spans="1:17" s="51" customFormat="1" ht="25.5" customHeight="1" x14ac:dyDescent="0.2">
      <c r="A579" s="99" t="s">
        <v>84</v>
      </c>
      <c r="B579" s="53" t="s">
        <v>159</v>
      </c>
      <c r="C579" s="53" t="s">
        <v>160</v>
      </c>
      <c r="D579" s="74" t="s">
        <v>195</v>
      </c>
      <c r="E579" s="73" t="s">
        <v>83</v>
      </c>
      <c r="F579" s="52">
        <f>2358.4+1812.6+22+78</f>
        <v>4271</v>
      </c>
      <c r="G579" s="52">
        <f>4271+228.3-720.9</f>
        <v>3778.4</v>
      </c>
      <c r="H579" s="299">
        <f t="shared" si="139"/>
        <v>-492.59999999999991</v>
      </c>
      <c r="I579" s="52">
        <f>2358.4+1812.6+22</f>
        <v>4193</v>
      </c>
      <c r="J579" s="52">
        <f>3778.4+576.6</f>
        <v>4355</v>
      </c>
      <c r="K579" s="299">
        <f t="shared" si="125"/>
        <v>576.59999999999991</v>
      </c>
      <c r="L579" s="52">
        <f>2358.4+1812.6+22</f>
        <v>4193</v>
      </c>
      <c r="M579" s="299">
        <f t="shared" si="126"/>
        <v>0</v>
      </c>
      <c r="N579" s="52">
        <f>2358.4+1812.6+22</f>
        <v>4193</v>
      </c>
      <c r="O579" s="52">
        <f>2358.4+1812.6+22</f>
        <v>4193</v>
      </c>
      <c r="P579" s="299">
        <f t="shared" si="140"/>
        <v>0</v>
      </c>
      <c r="Q579" s="39"/>
    </row>
    <row r="580" spans="1:17" s="51" customFormat="1" ht="25.5" customHeight="1" x14ac:dyDescent="0.2">
      <c r="A580" s="56" t="s">
        <v>73</v>
      </c>
      <c r="B580" s="53" t="s">
        <v>159</v>
      </c>
      <c r="C580" s="53" t="s">
        <v>160</v>
      </c>
      <c r="D580" s="74" t="s">
        <v>195</v>
      </c>
      <c r="E580" s="73" t="s">
        <v>70</v>
      </c>
      <c r="F580" s="52">
        <v>360</v>
      </c>
      <c r="G580" s="52">
        <v>360</v>
      </c>
      <c r="H580" s="299">
        <f t="shared" si="139"/>
        <v>0</v>
      </c>
      <c r="I580" s="52">
        <v>360</v>
      </c>
      <c r="J580" s="52">
        <v>360</v>
      </c>
      <c r="K580" s="299">
        <f t="shared" si="125"/>
        <v>0</v>
      </c>
      <c r="L580" s="52">
        <v>360</v>
      </c>
      <c r="M580" s="299">
        <f t="shared" si="126"/>
        <v>0</v>
      </c>
      <c r="N580" s="65">
        <v>360</v>
      </c>
      <c r="O580" s="65">
        <v>360</v>
      </c>
      <c r="P580" s="299">
        <f t="shared" si="140"/>
        <v>0</v>
      </c>
    </row>
    <row r="581" spans="1:17" s="51" customFormat="1" ht="41.25" customHeight="1" x14ac:dyDescent="0.2">
      <c r="A581" s="56" t="s">
        <v>194</v>
      </c>
      <c r="B581" s="53" t="s">
        <v>159</v>
      </c>
      <c r="C581" s="53" t="s">
        <v>160</v>
      </c>
      <c r="D581" s="74" t="s">
        <v>193</v>
      </c>
      <c r="E581" s="73"/>
      <c r="F581" s="52">
        <f>F582</f>
        <v>200</v>
      </c>
      <c r="G581" s="52">
        <f>G582</f>
        <v>180</v>
      </c>
      <c r="H581" s="299">
        <f t="shared" si="139"/>
        <v>-20</v>
      </c>
      <c r="I581" s="52">
        <f>I582</f>
        <v>250</v>
      </c>
      <c r="J581" s="52">
        <f>J582</f>
        <v>180</v>
      </c>
      <c r="K581" s="299">
        <f t="shared" si="125"/>
        <v>0</v>
      </c>
      <c r="L581" s="52">
        <f>L582</f>
        <v>250</v>
      </c>
      <c r="M581" s="299">
        <f t="shared" si="126"/>
        <v>0</v>
      </c>
      <c r="N581" s="52">
        <f>N582</f>
        <v>250</v>
      </c>
      <c r="O581" s="52">
        <f>O582</f>
        <v>250</v>
      </c>
      <c r="P581" s="299">
        <f t="shared" si="140"/>
        <v>0</v>
      </c>
    </row>
    <row r="582" spans="1:17" s="51" customFormat="1" ht="28.5" customHeight="1" x14ac:dyDescent="0.2">
      <c r="A582" s="56" t="s">
        <v>73</v>
      </c>
      <c r="B582" s="53" t="s">
        <v>159</v>
      </c>
      <c r="C582" s="53" t="s">
        <v>160</v>
      </c>
      <c r="D582" s="74" t="s">
        <v>193</v>
      </c>
      <c r="E582" s="73" t="s">
        <v>70</v>
      </c>
      <c r="F582" s="52">
        <f>250-50</f>
        <v>200</v>
      </c>
      <c r="G582" s="52">
        <f>200-20</f>
        <v>180</v>
      </c>
      <c r="H582" s="299">
        <f t="shared" si="139"/>
        <v>-20</v>
      </c>
      <c r="I582" s="52">
        <v>250</v>
      </c>
      <c r="J582" s="52">
        <f>200-20</f>
        <v>180</v>
      </c>
      <c r="K582" s="299">
        <f t="shared" si="125"/>
        <v>0</v>
      </c>
      <c r="L582" s="52">
        <v>250</v>
      </c>
      <c r="M582" s="299">
        <f t="shared" si="126"/>
        <v>0</v>
      </c>
      <c r="N582" s="65">
        <v>250</v>
      </c>
      <c r="O582" s="65">
        <v>250</v>
      </c>
      <c r="P582" s="299">
        <f t="shared" si="140"/>
        <v>0</v>
      </c>
    </row>
    <row r="583" spans="1:17" s="32" customFormat="1" ht="15.75" customHeight="1" x14ac:dyDescent="0.2">
      <c r="A583" s="90" t="s">
        <v>192</v>
      </c>
      <c r="B583" s="98" t="s">
        <v>166</v>
      </c>
      <c r="C583" s="98"/>
      <c r="D583" s="45"/>
      <c r="E583" s="45"/>
      <c r="F583" s="44">
        <f>F584+F624</f>
        <v>148145.4</v>
      </c>
      <c r="G583" s="44">
        <f>G584+G624</f>
        <v>382163.19999999995</v>
      </c>
      <c r="H583" s="299">
        <f t="shared" si="139"/>
        <v>234017.79999999996</v>
      </c>
      <c r="I583" s="44">
        <f>I584+I624</f>
        <v>71237.900000000009</v>
      </c>
      <c r="J583" s="44">
        <f>J584+J624</f>
        <v>380247.10000000003</v>
      </c>
      <c r="K583" s="299">
        <f t="shared" si="125"/>
        <v>-1916.0999999999185</v>
      </c>
      <c r="L583" s="44">
        <f>L584+L624</f>
        <v>71237.900000000009</v>
      </c>
      <c r="M583" s="299">
        <f t="shared" si="126"/>
        <v>0</v>
      </c>
      <c r="N583" s="44">
        <f>N584+N624</f>
        <v>69032.600000000006</v>
      </c>
      <c r="O583" s="44">
        <f>O584+O624</f>
        <v>69032.600000000006</v>
      </c>
      <c r="P583" s="299">
        <f t="shared" si="140"/>
        <v>0</v>
      </c>
    </row>
    <row r="584" spans="1:17" s="43" customFormat="1" ht="14.25" customHeight="1" x14ac:dyDescent="0.2">
      <c r="A584" s="90" t="s">
        <v>191</v>
      </c>
      <c r="B584" s="98" t="s">
        <v>166</v>
      </c>
      <c r="C584" s="98" t="s">
        <v>45</v>
      </c>
      <c r="D584" s="45"/>
      <c r="E584" s="45"/>
      <c r="F584" s="44">
        <f>F585</f>
        <v>78248.5</v>
      </c>
      <c r="G584" s="44">
        <f>G585</f>
        <v>80532.600000000006</v>
      </c>
      <c r="H584" s="299">
        <f t="shared" si="139"/>
        <v>2284.1000000000058</v>
      </c>
      <c r="I584" s="44">
        <f>I585</f>
        <v>71237.900000000009</v>
      </c>
      <c r="J584" s="44">
        <f>J585</f>
        <v>78616.5</v>
      </c>
      <c r="K584" s="299">
        <f t="shared" si="125"/>
        <v>-1916.1000000000058</v>
      </c>
      <c r="L584" s="44">
        <f>L585</f>
        <v>71237.900000000009</v>
      </c>
      <c r="M584" s="299">
        <f t="shared" si="126"/>
        <v>0</v>
      </c>
      <c r="N584" s="44">
        <f>N585</f>
        <v>69032.600000000006</v>
      </c>
      <c r="O584" s="44">
        <f>O585</f>
        <v>69032.600000000006</v>
      </c>
      <c r="P584" s="299">
        <f t="shared" si="140"/>
        <v>0</v>
      </c>
    </row>
    <row r="585" spans="1:17" s="51" customFormat="1" ht="42" customHeight="1" x14ac:dyDescent="0.2">
      <c r="A585" s="64" t="s">
        <v>68</v>
      </c>
      <c r="B585" s="53" t="s">
        <v>166</v>
      </c>
      <c r="C585" s="53" t="s">
        <v>45</v>
      </c>
      <c r="D585" s="54" t="s">
        <v>67</v>
      </c>
      <c r="E585" s="53"/>
      <c r="F585" s="52">
        <f>F586+F607</f>
        <v>78248.5</v>
      </c>
      <c r="G585" s="52">
        <f>G586+G607</f>
        <v>80532.600000000006</v>
      </c>
      <c r="H585" s="299">
        <f t="shared" si="139"/>
        <v>2284.1000000000058</v>
      </c>
      <c r="I585" s="52">
        <f>I586+I607</f>
        <v>71237.900000000009</v>
      </c>
      <c r="J585" s="52">
        <f>J586+J607</f>
        <v>78616.5</v>
      </c>
      <c r="K585" s="299">
        <f t="shared" si="125"/>
        <v>-1916.1000000000058</v>
      </c>
      <c r="L585" s="52">
        <f>L586+L607</f>
        <v>71237.900000000009</v>
      </c>
      <c r="M585" s="299">
        <f t="shared" si="126"/>
        <v>0</v>
      </c>
      <c r="N585" s="52">
        <f>N586+N607</f>
        <v>69032.600000000006</v>
      </c>
      <c r="O585" s="52">
        <f>O586+O607</f>
        <v>69032.600000000006</v>
      </c>
      <c r="P585" s="299">
        <f t="shared" si="140"/>
        <v>0</v>
      </c>
    </row>
    <row r="586" spans="1:17" s="51" customFormat="1" ht="17.25" customHeight="1" x14ac:dyDescent="0.2">
      <c r="A586" s="62" t="s">
        <v>66</v>
      </c>
      <c r="B586" s="53" t="s">
        <v>166</v>
      </c>
      <c r="C586" s="53" t="s">
        <v>45</v>
      </c>
      <c r="D586" s="54" t="s">
        <v>65</v>
      </c>
      <c r="E586" s="60"/>
      <c r="F586" s="52">
        <f>F587+F601</f>
        <v>13532</v>
      </c>
      <c r="G586" s="52">
        <f>G587+G601+G604</f>
        <v>15583.700000000003</v>
      </c>
      <c r="H586" s="52">
        <f t="shared" ref="H586:O586" si="141">H587+H601+H604</f>
        <v>2051.7000000000025</v>
      </c>
      <c r="I586" s="52">
        <f t="shared" si="141"/>
        <v>2105.3000000000002</v>
      </c>
      <c r="J586" s="52">
        <f t="shared" si="141"/>
        <v>16145.000000000002</v>
      </c>
      <c r="K586" s="299">
        <f t="shared" si="125"/>
        <v>561.29999999999927</v>
      </c>
      <c r="L586" s="52">
        <f t="shared" si="141"/>
        <v>2105.3000000000002</v>
      </c>
      <c r="M586" s="52">
        <f t="shared" si="141"/>
        <v>0</v>
      </c>
      <c r="N586" s="52">
        <f t="shared" si="141"/>
        <v>0</v>
      </c>
      <c r="O586" s="52">
        <f t="shared" si="141"/>
        <v>0</v>
      </c>
      <c r="P586" s="299">
        <f t="shared" si="140"/>
        <v>0</v>
      </c>
    </row>
    <row r="587" spans="1:17" s="51" customFormat="1" ht="28.5" customHeight="1" x14ac:dyDescent="0.2">
      <c r="A587" s="62" t="s">
        <v>170</v>
      </c>
      <c r="B587" s="53" t="s">
        <v>166</v>
      </c>
      <c r="C587" s="53" t="s">
        <v>45</v>
      </c>
      <c r="D587" s="54" t="s">
        <v>169</v>
      </c>
      <c r="E587" s="60"/>
      <c r="F587" s="52">
        <f>F593+F597+F590+F588</f>
        <v>13432</v>
      </c>
      <c r="G587" s="52">
        <f t="shared" ref="G587:O587" si="142">G593+G597+G590+G588</f>
        <v>15483.700000000003</v>
      </c>
      <c r="H587" s="299">
        <f t="shared" si="139"/>
        <v>2051.7000000000025</v>
      </c>
      <c r="I587" s="52">
        <f t="shared" si="142"/>
        <v>2105.3000000000002</v>
      </c>
      <c r="J587" s="52">
        <f t="shared" si="142"/>
        <v>15978.300000000001</v>
      </c>
      <c r="K587" s="299">
        <f t="shared" si="125"/>
        <v>494.59999999999854</v>
      </c>
      <c r="L587" s="52">
        <f t="shared" si="142"/>
        <v>2105.3000000000002</v>
      </c>
      <c r="M587" s="299">
        <f t="shared" ref="M587:M603" si="143">L587-I587</f>
        <v>0</v>
      </c>
      <c r="N587" s="52">
        <f t="shared" si="142"/>
        <v>0</v>
      </c>
      <c r="O587" s="52">
        <f t="shared" si="142"/>
        <v>0</v>
      </c>
      <c r="P587" s="299">
        <f t="shared" si="140"/>
        <v>0</v>
      </c>
    </row>
    <row r="588" spans="1:17" s="51" customFormat="1" ht="28.5" customHeight="1" x14ac:dyDescent="0.2">
      <c r="A588" s="62" t="s">
        <v>1089</v>
      </c>
      <c r="B588" s="53" t="s">
        <v>166</v>
      </c>
      <c r="C588" s="53" t="s">
        <v>45</v>
      </c>
      <c r="D588" s="54" t="s">
        <v>1088</v>
      </c>
      <c r="E588" s="60"/>
      <c r="F588" s="52">
        <f>F589</f>
        <v>0</v>
      </c>
      <c r="G588" s="52">
        <f t="shared" ref="G588:O588" si="144">G589</f>
        <v>1636.6</v>
      </c>
      <c r="H588" s="299">
        <f t="shared" si="139"/>
        <v>1636.6</v>
      </c>
      <c r="I588" s="52">
        <f t="shared" si="144"/>
        <v>0</v>
      </c>
      <c r="J588" s="52">
        <f t="shared" si="144"/>
        <v>1636.6</v>
      </c>
      <c r="K588" s="299">
        <f t="shared" ref="K588:K651" si="145">J588-G588</f>
        <v>0</v>
      </c>
      <c r="L588" s="52">
        <f t="shared" si="144"/>
        <v>0</v>
      </c>
      <c r="M588" s="299">
        <f t="shared" si="143"/>
        <v>0</v>
      </c>
      <c r="N588" s="52">
        <f t="shared" si="144"/>
        <v>0</v>
      </c>
      <c r="O588" s="52">
        <f t="shared" si="144"/>
        <v>0</v>
      </c>
      <c r="P588" s="299">
        <f t="shared" si="140"/>
        <v>0</v>
      </c>
    </row>
    <row r="589" spans="1:17" s="51" customFormat="1" ht="15" customHeight="1" x14ac:dyDescent="0.2">
      <c r="A589" s="61" t="s">
        <v>61</v>
      </c>
      <c r="B589" s="53" t="s">
        <v>166</v>
      </c>
      <c r="C589" s="53" t="s">
        <v>45</v>
      </c>
      <c r="D589" s="54" t="s">
        <v>1088</v>
      </c>
      <c r="E589" s="60" t="s">
        <v>57</v>
      </c>
      <c r="F589" s="52">
        <v>0</v>
      </c>
      <c r="G589" s="52">
        <f>1636.6</f>
        <v>1636.6</v>
      </c>
      <c r="H589" s="299">
        <f t="shared" si="139"/>
        <v>1636.6</v>
      </c>
      <c r="I589" s="52">
        <v>0</v>
      </c>
      <c r="J589" s="52">
        <f>1636.6</f>
        <v>1636.6</v>
      </c>
      <c r="K589" s="299">
        <f t="shared" si="145"/>
        <v>0</v>
      </c>
      <c r="L589" s="52">
        <v>0</v>
      </c>
      <c r="M589" s="299">
        <f t="shared" si="143"/>
        <v>0</v>
      </c>
      <c r="N589" s="52">
        <v>0</v>
      </c>
      <c r="O589" s="52">
        <v>0</v>
      </c>
      <c r="P589" s="299">
        <f t="shared" si="140"/>
        <v>0</v>
      </c>
    </row>
    <row r="590" spans="1:17" s="51" customFormat="1" ht="28.5" customHeight="1" x14ac:dyDescent="0.2">
      <c r="A590" s="75" t="s">
        <v>190</v>
      </c>
      <c r="B590" s="53" t="s">
        <v>166</v>
      </c>
      <c r="C590" s="53" t="s">
        <v>45</v>
      </c>
      <c r="D590" s="54" t="s">
        <v>189</v>
      </c>
      <c r="E590" s="60"/>
      <c r="F590" s="52">
        <f>F591+F592</f>
        <v>365</v>
      </c>
      <c r="G590" s="52">
        <f>G591+G592</f>
        <v>365</v>
      </c>
      <c r="H590" s="299">
        <f t="shared" si="139"/>
        <v>0</v>
      </c>
      <c r="I590" s="52">
        <f>I591</f>
        <v>0</v>
      </c>
      <c r="J590" s="52">
        <f>J591+J592</f>
        <v>365</v>
      </c>
      <c r="K590" s="299">
        <f t="shared" si="145"/>
        <v>0</v>
      </c>
      <c r="L590" s="52">
        <f>L591</f>
        <v>0</v>
      </c>
      <c r="M590" s="299">
        <f t="shared" si="143"/>
        <v>0</v>
      </c>
      <c r="N590" s="52">
        <f>N591</f>
        <v>0</v>
      </c>
      <c r="O590" s="52">
        <f>O591</f>
        <v>0</v>
      </c>
      <c r="P590" s="299">
        <f t="shared" si="140"/>
        <v>0</v>
      </c>
    </row>
    <row r="591" spans="1:17" s="51" customFormat="1" ht="16.5" customHeight="1" x14ac:dyDescent="0.2">
      <c r="A591" s="97" t="s">
        <v>98</v>
      </c>
      <c r="B591" s="53" t="s">
        <v>166</v>
      </c>
      <c r="C591" s="53" t="s">
        <v>45</v>
      </c>
      <c r="D591" s="54" t="s">
        <v>189</v>
      </c>
      <c r="E591" s="60" t="s">
        <v>81</v>
      </c>
      <c r="F591" s="52">
        <v>205</v>
      </c>
      <c r="G591" s="52">
        <f>205+55</f>
        <v>260</v>
      </c>
      <c r="H591" s="299">
        <f t="shared" si="139"/>
        <v>55</v>
      </c>
      <c r="I591" s="52">
        <v>0</v>
      </c>
      <c r="J591" s="52">
        <f>205+55</f>
        <v>260</v>
      </c>
      <c r="K591" s="299">
        <f t="shared" si="145"/>
        <v>0</v>
      </c>
      <c r="L591" s="52">
        <v>0</v>
      </c>
      <c r="M591" s="299">
        <f t="shared" si="143"/>
        <v>0</v>
      </c>
      <c r="N591" s="65">
        <v>0</v>
      </c>
      <c r="O591" s="65">
        <v>0</v>
      </c>
      <c r="P591" s="299">
        <f t="shared" si="140"/>
        <v>0</v>
      </c>
    </row>
    <row r="592" spans="1:17" s="51" customFormat="1" ht="16.5" customHeight="1" x14ac:dyDescent="0.2">
      <c r="A592" s="61" t="s">
        <v>61</v>
      </c>
      <c r="B592" s="53" t="s">
        <v>166</v>
      </c>
      <c r="C592" s="53" t="s">
        <v>45</v>
      </c>
      <c r="D592" s="54" t="s">
        <v>189</v>
      </c>
      <c r="E592" s="60" t="s">
        <v>57</v>
      </c>
      <c r="F592" s="52">
        <v>160</v>
      </c>
      <c r="G592" s="52">
        <f>160-55</f>
        <v>105</v>
      </c>
      <c r="H592" s="299">
        <f t="shared" si="139"/>
        <v>-55</v>
      </c>
      <c r="I592" s="52">
        <v>0</v>
      </c>
      <c r="J592" s="52">
        <f>160-55</f>
        <v>105</v>
      </c>
      <c r="K592" s="299">
        <f t="shared" si="145"/>
        <v>0</v>
      </c>
      <c r="L592" s="52">
        <v>0</v>
      </c>
      <c r="M592" s="299">
        <f t="shared" si="143"/>
        <v>0</v>
      </c>
      <c r="N592" s="65">
        <v>0</v>
      </c>
      <c r="O592" s="65">
        <v>0</v>
      </c>
      <c r="P592" s="299">
        <f t="shared" si="140"/>
        <v>0</v>
      </c>
    </row>
    <row r="593" spans="1:16" s="51" customFormat="1" ht="42" customHeight="1" x14ac:dyDescent="0.2">
      <c r="A593" s="62" t="s">
        <v>188</v>
      </c>
      <c r="B593" s="53" t="s">
        <v>166</v>
      </c>
      <c r="C593" s="53" t="s">
        <v>45</v>
      </c>
      <c r="D593" s="54" t="s">
        <v>187</v>
      </c>
      <c r="E593" s="60"/>
      <c r="F593" s="52">
        <f>F594+F595+F596</f>
        <v>10215</v>
      </c>
      <c r="G593" s="52">
        <f>G594+G595+G596</f>
        <v>10630.100000000002</v>
      </c>
      <c r="H593" s="299">
        <f t="shared" si="139"/>
        <v>415.10000000000218</v>
      </c>
      <c r="I593" s="52">
        <f>I594+I595+I596</f>
        <v>2105.3000000000002</v>
      </c>
      <c r="J593" s="52">
        <f>J594+J595+J596</f>
        <v>11124.7</v>
      </c>
      <c r="K593" s="299">
        <f t="shared" si="145"/>
        <v>494.59999999999854</v>
      </c>
      <c r="L593" s="52">
        <f>L594+L595+L596</f>
        <v>2105.3000000000002</v>
      </c>
      <c r="M593" s="299">
        <f t="shared" si="143"/>
        <v>0</v>
      </c>
      <c r="N593" s="52">
        <f>N594+N595+N596</f>
        <v>0</v>
      </c>
      <c r="O593" s="52">
        <f>O594+O595+O596</f>
        <v>0</v>
      </c>
      <c r="P593" s="299">
        <f t="shared" si="140"/>
        <v>0</v>
      </c>
    </row>
    <row r="594" spans="1:16" s="51" customFormat="1" ht="24.75" customHeight="1" x14ac:dyDescent="0.2">
      <c r="A594" s="84" t="s">
        <v>73</v>
      </c>
      <c r="B594" s="53" t="s">
        <v>166</v>
      </c>
      <c r="C594" s="53" t="s">
        <v>45</v>
      </c>
      <c r="D594" s="54" t="s">
        <v>187</v>
      </c>
      <c r="E594" s="60" t="s">
        <v>70</v>
      </c>
      <c r="F594" s="52">
        <f>2500+340+77.3+37.8</f>
        <v>2955.1000000000004</v>
      </c>
      <c r="G594" s="52">
        <f>2500+340+77.3+37.8</f>
        <v>2955.1000000000004</v>
      </c>
      <c r="H594" s="299">
        <f t="shared" si="139"/>
        <v>0</v>
      </c>
      <c r="I594" s="52">
        <v>0</v>
      </c>
      <c r="J594" s="52">
        <f>2500+340+77.3+37.8</f>
        <v>2955.1000000000004</v>
      </c>
      <c r="K594" s="299">
        <f t="shared" si="145"/>
        <v>0</v>
      </c>
      <c r="L594" s="52">
        <v>0</v>
      </c>
      <c r="M594" s="299">
        <f t="shared" si="143"/>
        <v>0</v>
      </c>
      <c r="N594" s="52">
        <v>0</v>
      </c>
      <c r="O594" s="52">
        <v>0</v>
      </c>
      <c r="P594" s="299">
        <f t="shared" si="140"/>
        <v>0</v>
      </c>
    </row>
    <row r="595" spans="1:16" s="51" customFormat="1" ht="14.25" customHeight="1" x14ac:dyDescent="0.2">
      <c r="A595" s="95" t="s">
        <v>82</v>
      </c>
      <c r="B595" s="53" t="s">
        <v>166</v>
      </c>
      <c r="C595" s="53" t="s">
        <v>45</v>
      </c>
      <c r="D595" s="54" t="s">
        <v>187</v>
      </c>
      <c r="E595" s="60" t="s">
        <v>81</v>
      </c>
      <c r="F595" s="52">
        <f>2000+105.3</f>
        <v>2105.3000000000002</v>
      </c>
      <c r="G595" s="52">
        <f>2000+105.3</f>
        <v>2105.3000000000002</v>
      </c>
      <c r="H595" s="299">
        <f t="shared" si="139"/>
        <v>0</v>
      </c>
      <c r="I595" s="52">
        <f>2000+105.3</f>
        <v>2105.3000000000002</v>
      </c>
      <c r="J595" s="52">
        <f>2000+105.3</f>
        <v>2105.3000000000002</v>
      </c>
      <c r="K595" s="299">
        <f t="shared" si="145"/>
        <v>0</v>
      </c>
      <c r="L595" s="52">
        <f>2000+105.3</f>
        <v>2105.3000000000002</v>
      </c>
      <c r="M595" s="299">
        <f t="shared" si="143"/>
        <v>0</v>
      </c>
      <c r="N595" s="52">
        <v>0</v>
      </c>
      <c r="O595" s="52">
        <v>0</v>
      </c>
      <c r="P595" s="299">
        <f t="shared" si="140"/>
        <v>0</v>
      </c>
    </row>
    <row r="596" spans="1:16" s="51" customFormat="1" ht="14.25" customHeight="1" x14ac:dyDescent="0.2">
      <c r="A596" s="61" t="s">
        <v>61</v>
      </c>
      <c r="B596" s="53" t="s">
        <v>166</v>
      </c>
      <c r="C596" s="53" t="s">
        <v>45</v>
      </c>
      <c r="D596" s="54" t="s">
        <v>187</v>
      </c>
      <c r="E596" s="60" t="s">
        <v>57</v>
      </c>
      <c r="F596" s="52">
        <f>5000+154.6</f>
        <v>5154.6000000000004</v>
      </c>
      <c r="G596" s="52">
        <f>5154.6+415.1</f>
        <v>5569.7000000000007</v>
      </c>
      <c r="H596" s="299">
        <f t="shared" si="139"/>
        <v>415.10000000000036</v>
      </c>
      <c r="I596" s="52">
        <v>0</v>
      </c>
      <c r="J596" s="52">
        <f>5569.7-279.7+774.3</f>
        <v>6064.3</v>
      </c>
      <c r="K596" s="299">
        <f t="shared" si="145"/>
        <v>494.59999999999945</v>
      </c>
      <c r="L596" s="52">
        <v>0</v>
      </c>
      <c r="M596" s="299">
        <f t="shared" si="143"/>
        <v>0</v>
      </c>
      <c r="N596" s="52">
        <v>0</v>
      </c>
      <c r="O596" s="52">
        <v>0</v>
      </c>
      <c r="P596" s="299">
        <f t="shared" si="140"/>
        <v>0</v>
      </c>
    </row>
    <row r="597" spans="1:16" s="51" customFormat="1" ht="27" customHeight="1" x14ac:dyDescent="0.2">
      <c r="A597" s="64" t="s">
        <v>186</v>
      </c>
      <c r="B597" s="53" t="s">
        <v>166</v>
      </c>
      <c r="C597" s="53" t="s">
        <v>45</v>
      </c>
      <c r="D597" s="54" t="s">
        <v>185</v>
      </c>
      <c r="E597" s="53"/>
      <c r="F597" s="52">
        <f>F598+F599+F600</f>
        <v>2852</v>
      </c>
      <c r="G597" s="52">
        <f>G598+G599+G600</f>
        <v>2852</v>
      </c>
      <c r="H597" s="299">
        <f t="shared" si="139"/>
        <v>0</v>
      </c>
      <c r="I597" s="52">
        <f>I598+I599+I600</f>
        <v>0</v>
      </c>
      <c r="J597" s="52">
        <f>J598+J599+J600</f>
        <v>2852</v>
      </c>
      <c r="K597" s="299">
        <f t="shared" si="145"/>
        <v>0</v>
      </c>
      <c r="L597" s="52">
        <f>L598+L599+L600</f>
        <v>0</v>
      </c>
      <c r="M597" s="299">
        <f t="shared" si="143"/>
        <v>0</v>
      </c>
      <c r="N597" s="52">
        <f>N598+N599+N600</f>
        <v>0</v>
      </c>
      <c r="O597" s="52">
        <f>O598+O599+O600</f>
        <v>0</v>
      </c>
      <c r="P597" s="299">
        <f t="shared" si="140"/>
        <v>0</v>
      </c>
    </row>
    <row r="598" spans="1:16" s="51" customFormat="1" ht="30" customHeight="1" x14ac:dyDescent="0.2">
      <c r="A598" s="56" t="s">
        <v>73</v>
      </c>
      <c r="B598" s="53" t="s">
        <v>166</v>
      </c>
      <c r="C598" s="53" t="s">
        <v>45</v>
      </c>
      <c r="D598" s="54" t="s">
        <v>185</v>
      </c>
      <c r="E598" s="60" t="s">
        <v>70</v>
      </c>
      <c r="F598" s="52">
        <f>2800+52</f>
        <v>2852</v>
      </c>
      <c r="G598" s="52">
        <f>2800+52</f>
        <v>2852</v>
      </c>
      <c r="H598" s="299">
        <f t="shared" si="139"/>
        <v>0</v>
      </c>
      <c r="I598" s="52">
        <v>0</v>
      </c>
      <c r="J598" s="52">
        <f>2800+52</f>
        <v>2852</v>
      </c>
      <c r="K598" s="299">
        <f t="shared" si="145"/>
        <v>0</v>
      </c>
      <c r="L598" s="52">
        <v>0</v>
      </c>
      <c r="M598" s="299">
        <f t="shared" si="143"/>
        <v>0</v>
      </c>
      <c r="N598" s="52">
        <v>0</v>
      </c>
      <c r="O598" s="52">
        <v>0</v>
      </c>
      <c r="P598" s="299">
        <f t="shared" si="140"/>
        <v>0</v>
      </c>
    </row>
    <row r="599" spans="1:16" s="51" customFormat="1" ht="15" hidden="1" customHeight="1" x14ac:dyDescent="0.2">
      <c r="A599" s="64" t="s">
        <v>82</v>
      </c>
      <c r="B599" s="53" t="s">
        <v>166</v>
      </c>
      <c r="C599" s="53" t="s">
        <v>45</v>
      </c>
      <c r="D599" s="54" t="s">
        <v>1093</v>
      </c>
      <c r="E599" s="60" t="s">
        <v>81</v>
      </c>
      <c r="F599" s="52"/>
      <c r="G599" s="52"/>
      <c r="H599" s="299">
        <f t="shared" si="139"/>
        <v>0</v>
      </c>
      <c r="I599" s="52"/>
      <c r="J599" s="52"/>
      <c r="K599" s="299">
        <f t="shared" si="145"/>
        <v>0</v>
      </c>
      <c r="L599" s="52"/>
      <c r="M599" s="299">
        <f t="shared" si="143"/>
        <v>0</v>
      </c>
      <c r="N599" s="52">
        <v>0</v>
      </c>
      <c r="O599" s="52">
        <v>0</v>
      </c>
      <c r="P599" s="299">
        <f t="shared" si="140"/>
        <v>0</v>
      </c>
    </row>
    <row r="600" spans="1:16" s="51" customFormat="1" ht="16.5" hidden="1" customHeight="1" x14ac:dyDescent="0.2">
      <c r="A600" s="61" t="s">
        <v>61</v>
      </c>
      <c r="B600" s="53" t="s">
        <v>166</v>
      </c>
      <c r="C600" s="53" t="s">
        <v>45</v>
      </c>
      <c r="D600" s="54" t="s">
        <v>1093</v>
      </c>
      <c r="E600" s="60" t="s">
        <v>57</v>
      </c>
      <c r="F600" s="52">
        <v>0</v>
      </c>
      <c r="G600" s="52">
        <v>0</v>
      </c>
      <c r="H600" s="299">
        <f t="shared" si="139"/>
        <v>0</v>
      </c>
      <c r="I600" s="52">
        <v>0</v>
      </c>
      <c r="J600" s="52">
        <v>0</v>
      </c>
      <c r="K600" s="299">
        <f t="shared" si="145"/>
        <v>0</v>
      </c>
      <c r="L600" s="52">
        <v>0</v>
      </c>
      <c r="M600" s="299">
        <f t="shared" si="143"/>
        <v>0</v>
      </c>
      <c r="N600" s="52">
        <v>0</v>
      </c>
      <c r="O600" s="52">
        <v>0</v>
      </c>
      <c r="P600" s="299">
        <f t="shared" si="140"/>
        <v>0</v>
      </c>
    </row>
    <row r="601" spans="1:16" s="51" customFormat="1" ht="16.5" customHeight="1" x14ac:dyDescent="0.2">
      <c r="A601" s="56" t="s">
        <v>184</v>
      </c>
      <c r="B601" s="53" t="s">
        <v>166</v>
      </c>
      <c r="C601" s="53" t="s">
        <v>45</v>
      </c>
      <c r="D601" s="54" t="s">
        <v>183</v>
      </c>
      <c r="E601" s="60"/>
      <c r="F601" s="52">
        <f>F602</f>
        <v>100</v>
      </c>
      <c r="G601" s="52">
        <f>G602</f>
        <v>100</v>
      </c>
      <c r="H601" s="299">
        <f t="shared" si="139"/>
        <v>0</v>
      </c>
      <c r="I601" s="52">
        <f>I602</f>
        <v>0</v>
      </c>
      <c r="J601" s="52">
        <f>J602</f>
        <v>100</v>
      </c>
      <c r="K601" s="299">
        <f t="shared" si="145"/>
        <v>0</v>
      </c>
      <c r="L601" s="52">
        <f>L602</f>
        <v>0</v>
      </c>
      <c r="M601" s="299">
        <f t="shared" si="143"/>
        <v>0</v>
      </c>
      <c r="N601" s="52">
        <f>N602</f>
        <v>0</v>
      </c>
      <c r="O601" s="52">
        <f>O602</f>
        <v>0</v>
      </c>
      <c r="P601" s="299">
        <f t="shared" si="140"/>
        <v>0</v>
      </c>
    </row>
    <row r="602" spans="1:16" s="51" customFormat="1" ht="28.5" customHeight="1" x14ac:dyDescent="0.2">
      <c r="A602" s="56" t="s">
        <v>182</v>
      </c>
      <c r="B602" s="53" t="s">
        <v>166</v>
      </c>
      <c r="C602" s="53" t="s">
        <v>45</v>
      </c>
      <c r="D602" s="54" t="s">
        <v>181</v>
      </c>
      <c r="E602" s="60"/>
      <c r="F602" s="52">
        <f>F603</f>
        <v>100</v>
      </c>
      <c r="G602" s="52">
        <f>G603</f>
        <v>100</v>
      </c>
      <c r="H602" s="299">
        <f t="shared" si="139"/>
        <v>0</v>
      </c>
      <c r="I602" s="52">
        <f>I603</f>
        <v>0</v>
      </c>
      <c r="J602" s="52">
        <f>J603</f>
        <v>100</v>
      </c>
      <c r="K602" s="299">
        <f t="shared" si="145"/>
        <v>0</v>
      </c>
      <c r="L602" s="52">
        <f>L603</f>
        <v>0</v>
      </c>
      <c r="M602" s="299">
        <f t="shared" si="143"/>
        <v>0</v>
      </c>
      <c r="N602" s="52">
        <f>N603</f>
        <v>0</v>
      </c>
      <c r="O602" s="52">
        <f>O603</f>
        <v>0</v>
      </c>
      <c r="P602" s="299">
        <f t="shared" si="140"/>
        <v>0</v>
      </c>
    </row>
    <row r="603" spans="1:16" s="51" customFormat="1" ht="15.75" customHeight="1" x14ac:dyDescent="0.2">
      <c r="A603" s="64" t="s">
        <v>82</v>
      </c>
      <c r="B603" s="53" t="s">
        <v>166</v>
      </c>
      <c r="C603" s="53" t="s">
        <v>45</v>
      </c>
      <c r="D603" s="54" t="s">
        <v>181</v>
      </c>
      <c r="E603" s="60" t="s">
        <v>81</v>
      </c>
      <c r="F603" s="52">
        <f>100</f>
        <v>100</v>
      </c>
      <c r="G603" s="52">
        <f>100</f>
        <v>100</v>
      </c>
      <c r="H603" s="299">
        <f t="shared" si="139"/>
        <v>0</v>
      </c>
      <c r="I603" s="52">
        <v>0</v>
      </c>
      <c r="J603" s="52">
        <f>100</f>
        <v>100</v>
      </c>
      <c r="K603" s="299">
        <f t="shared" si="145"/>
        <v>0</v>
      </c>
      <c r="L603" s="52">
        <v>0</v>
      </c>
      <c r="M603" s="299">
        <f t="shared" si="143"/>
        <v>0</v>
      </c>
      <c r="N603" s="52">
        <v>0</v>
      </c>
      <c r="O603" s="52">
        <v>0</v>
      </c>
      <c r="P603" s="299">
        <f t="shared" si="140"/>
        <v>0</v>
      </c>
    </row>
    <row r="604" spans="1:16" s="51" customFormat="1" ht="66.75" customHeight="1" x14ac:dyDescent="0.2">
      <c r="A604" s="56" t="s">
        <v>1124</v>
      </c>
      <c r="B604" s="53" t="s">
        <v>166</v>
      </c>
      <c r="C604" s="53" t="s">
        <v>45</v>
      </c>
      <c r="D604" s="54" t="s">
        <v>1107</v>
      </c>
      <c r="E604" s="60"/>
      <c r="F604" s="52"/>
      <c r="G604" s="52">
        <f>G605</f>
        <v>0</v>
      </c>
      <c r="H604" s="52">
        <f t="shared" ref="H604:O605" si="146">H605</f>
        <v>0</v>
      </c>
      <c r="I604" s="52">
        <f t="shared" si="146"/>
        <v>0</v>
      </c>
      <c r="J604" s="52">
        <f t="shared" si="146"/>
        <v>66.7</v>
      </c>
      <c r="K604" s="299">
        <f t="shared" si="145"/>
        <v>66.7</v>
      </c>
      <c r="L604" s="52">
        <f t="shared" si="146"/>
        <v>0</v>
      </c>
      <c r="M604" s="52">
        <f t="shared" si="146"/>
        <v>0</v>
      </c>
      <c r="N604" s="52">
        <f t="shared" si="146"/>
        <v>0</v>
      </c>
      <c r="O604" s="52">
        <f t="shared" si="146"/>
        <v>0</v>
      </c>
      <c r="P604" s="299"/>
    </row>
    <row r="605" spans="1:16" s="51" customFormat="1" ht="30" customHeight="1" x14ac:dyDescent="0.2">
      <c r="A605" s="64" t="s">
        <v>1106</v>
      </c>
      <c r="B605" s="53" t="s">
        <v>166</v>
      </c>
      <c r="C605" s="53" t="s">
        <v>45</v>
      </c>
      <c r="D605" s="54" t="s">
        <v>1105</v>
      </c>
      <c r="E605" s="60"/>
      <c r="F605" s="52"/>
      <c r="G605" s="52">
        <f>G606</f>
        <v>0</v>
      </c>
      <c r="H605" s="52">
        <f t="shared" si="146"/>
        <v>0</v>
      </c>
      <c r="I605" s="52">
        <f t="shared" si="146"/>
        <v>0</v>
      </c>
      <c r="J605" s="52">
        <f t="shared" si="146"/>
        <v>66.7</v>
      </c>
      <c r="K605" s="299">
        <f t="shared" si="145"/>
        <v>66.7</v>
      </c>
      <c r="L605" s="52">
        <f t="shared" si="146"/>
        <v>0</v>
      </c>
      <c r="M605" s="52">
        <f t="shared" si="146"/>
        <v>0</v>
      </c>
      <c r="N605" s="52">
        <f t="shared" si="146"/>
        <v>0</v>
      </c>
      <c r="O605" s="52">
        <f t="shared" si="146"/>
        <v>0</v>
      </c>
      <c r="P605" s="299"/>
    </row>
    <row r="606" spans="1:16" s="51" customFormat="1" ht="15.75" customHeight="1" x14ac:dyDescent="0.2">
      <c r="A606" s="61" t="s">
        <v>61</v>
      </c>
      <c r="B606" s="53" t="s">
        <v>166</v>
      </c>
      <c r="C606" s="53" t="s">
        <v>45</v>
      </c>
      <c r="D606" s="54" t="s">
        <v>1105</v>
      </c>
      <c r="E606" s="60" t="s">
        <v>57</v>
      </c>
      <c r="F606" s="52"/>
      <c r="G606" s="52">
        <v>0</v>
      </c>
      <c r="H606" s="299"/>
      <c r="I606" s="52"/>
      <c r="J606" s="52">
        <v>66.7</v>
      </c>
      <c r="K606" s="299">
        <f t="shared" si="145"/>
        <v>66.7</v>
      </c>
      <c r="L606" s="52">
        <v>0</v>
      </c>
      <c r="M606" s="299"/>
      <c r="N606" s="52"/>
      <c r="O606" s="52">
        <v>0</v>
      </c>
      <c r="P606" s="299"/>
    </row>
    <row r="607" spans="1:16" s="51" customFormat="1" ht="16.5" customHeight="1" x14ac:dyDescent="0.2">
      <c r="A607" s="61" t="s">
        <v>52</v>
      </c>
      <c r="B607" s="53" t="s">
        <v>166</v>
      </c>
      <c r="C607" s="53" t="s">
        <v>45</v>
      </c>
      <c r="D607" s="54" t="s">
        <v>92</v>
      </c>
      <c r="E607" s="60"/>
      <c r="F607" s="52">
        <f>F608+F613</f>
        <v>64716.5</v>
      </c>
      <c r="G607" s="52">
        <f>G608+G613</f>
        <v>64948.900000000009</v>
      </c>
      <c r="H607" s="299">
        <f t="shared" si="139"/>
        <v>232.40000000000873</v>
      </c>
      <c r="I607" s="52">
        <f>I608+I613</f>
        <v>69132.600000000006</v>
      </c>
      <c r="J607" s="52">
        <f>J608+J613</f>
        <v>62471.5</v>
      </c>
      <c r="K607" s="299">
        <f t="shared" si="145"/>
        <v>-2477.4000000000087</v>
      </c>
      <c r="L607" s="52">
        <f>L608+L613</f>
        <v>69132.600000000006</v>
      </c>
      <c r="M607" s="299">
        <f t="shared" ref="M607:M630" si="147">L607-I607</f>
        <v>0</v>
      </c>
      <c r="N607" s="52">
        <f>N608+N613</f>
        <v>69032.600000000006</v>
      </c>
      <c r="O607" s="52">
        <f>O608+O613</f>
        <v>69032.600000000006</v>
      </c>
      <c r="P607" s="299">
        <f t="shared" si="140"/>
        <v>0</v>
      </c>
    </row>
    <row r="608" spans="1:16" s="51" customFormat="1" ht="42" customHeight="1" x14ac:dyDescent="0.2">
      <c r="A608" s="62" t="s">
        <v>180</v>
      </c>
      <c r="B608" s="53" t="s">
        <v>166</v>
      </c>
      <c r="C608" s="53" t="s">
        <v>45</v>
      </c>
      <c r="D608" s="54" t="s">
        <v>179</v>
      </c>
      <c r="E608" s="60"/>
      <c r="F608" s="52">
        <f>F609</f>
        <v>530</v>
      </c>
      <c r="G608" s="52">
        <f>G609</f>
        <v>530</v>
      </c>
      <c r="H608" s="299">
        <f t="shared" si="139"/>
        <v>0</v>
      </c>
      <c r="I608" s="52">
        <f>I609</f>
        <v>504.9</v>
      </c>
      <c r="J608" s="52">
        <f>J609</f>
        <v>530</v>
      </c>
      <c r="K608" s="299">
        <f t="shared" si="145"/>
        <v>0</v>
      </c>
      <c r="L608" s="52">
        <f>L609</f>
        <v>504.9</v>
      </c>
      <c r="M608" s="299">
        <f t="shared" si="147"/>
        <v>0</v>
      </c>
      <c r="N608" s="52">
        <f>N609</f>
        <v>504.9</v>
      </c>
      <c r="O608" s="52">
        <f>O609</f>
        <v>504.9</v>
      </c>
      <c r="P608" s="299">
        <f t="shared" si="140"/>
        <v>0</v>
      </c>
    </row>
    <row r="609" spans="1:19" s="51" customFormat="1" ht="16.5" customHeight="1" x14ac:dyDescent="0.2">
      <c r="A609" s="64" t="s">
        <v>178</v>
      </c>
      <c r="B609" s="53" t="s">
        <v>166</v>
      </c>
      <c r="C609" s="53" t="s">
        <v>45</v>
      </c>
      <c r="D609" s="54" t="s">
        <v>177</v>
      </c>
      <c r="E609" s="60"/>
      <c r="F609" s="52">
        <f>F610+F611+F612</f>
        <v>530</v>
      </c>
      <c r="G609" s="52">
        <f>G610+G611+G612</f>
        <v>530</v>
      </c>
      <c r="H609" s="299">
        <f t="shared" si="139"/>
        <v>0</v>
      </c>
      <c r="I609" s="52">
        <f>I610+I611+I612</f>
        <v>504.9</v>
      </c>
      <c r="J609" s="52">
        <f>J610+J611+J612</f>
        <v>530</v>
      </c>
      <c r="K609" s="299">
        <f t="shared" si="145"/>
        <v>0</v>
      </c>
      <c r="L609" s="52">
        <f>L610+L611+L612</f>
        <v>504.9</v>
      </c>
      <c r="M609" s="299">
        <f t="shared" si="147"/>
        <v>0</v>
      </c>
      <c r="N609" s="52">
        <f>N610+N611+N612</f>
        <v>504.9</v>
      </c>
      <c r="O609" s="52">
        <f>O610+O611+O612</f>
        <v>504.9</v>
      </c>
      <c r="P609" s="299">
        <f t="shared" si="140"/>
        <v>0</v>
      </c>
    </row>
    <row r="610" spans="1:19" s="51" customFormat="1" ht="25.5" customHeight="1" x14ac:dyDescent="0.2">
      <c r="A610" s="56" t="s">
        <v>73</v>
      </c>
      <c r="B610" s="53" t="s">
        <v>166</v>
      </c>
      <c r="C610" s="53" t="s">
        <v>45</v>
      </c>
      <c r="D610" s="54" t="s">
        <v>177</v>
      </c>
      <c r="E610" s="60" t="s">
        <v>70</v>
      </c>
      <c r="F610" s="52">
        <v>320</v>
      </c>
      <c r="G610" s="52">
        <v>320</v>
      </c>
      <c r="H610" s="299">
        <f t="shared" si="139"/>
        <v>0</v>
      </c>
      <c r="I610" s="52">
        <v>319.89999999999998</v>
      </c>
      <c r="J610" s="52">
        <v>320</v>
      </c>
      <c r="K610" s="299">
        <f t="shared" si="145"/>
        <v>0</v>
      </c>
      <c r="L610" s="52">
        <v>319.89999999999998</v>
      </c>
      <c r="M610" s="299">
        <f t="shared" si="147"/>
        <v>0</v>
      </c>
      <c r="N610" s="52">
        <v>319.89999999999998</v>
      </c>
      <c r="O610" s="52">
        <v>319.89999999999998</v>
      </c>
      <c r="P610" s="299">
        <f t="shared" si="140"/>
        <v>0</v>
      </c>
    </row>
    <row r="611" spans="1:19" s="51" customFormat="1" ht="16.5" customHeight="1" x14ac:dyDescent="0.2">
      <c r="A611" s="64" t="s">
        <v>82</v>
      </c>
      <c r="B611" s="53" t="s">
        <v>166</v>
      </c>
      <c r="C611" s="53" t="s">
        <v>45</v>
      </c>
      <c r="D611" s="54" t="s">
        <v>177</v>
      </c>
      <c r="E611" s="60" t="s">
        <v>81</v>
      </c>
      <c r="F611" s="52">
        <v>160</v>
      </c>
      <c r="G611" s="52">
        <v>160</v>
      </c>
      <c r="H611" s="299">
        <f t="shared" si="139"/>
        <v>0</v>
      </c>
      <c r="I611" s="52">
        <v>135</v>
      </c>
      <c r="J611" s="52">
        <v>160</v>
      </c>
      <c r="K611" s="299">
        <f t="shared" si="145"/>
        <v>0</v>
      </c>
      <c r="L611" s="52">
        <v>135</v>
      </c>
      <c r="M611" s="299">
        <f t="shared" si="147"/>
        <v>0</v>
      </c>
      <c r="N611" s="65">
        <v>135</v>
      </c>
      <c r="O611" s="65">
        <v>135</v>
      </c>
      <c r="P611" s="299">
        <f t="shared" si="140"/>
        <v>0</v>
      </c>
    </row>
    <row r="612" spans="1:19" s="51" customFormat="1" ht="16.5" customHeight="1" x14ac:dyDescent="0.2">
      <c r="A612" s="61" t="s">
        <v>61</v>
      </c>
      <c r="B612" s="53" t="s">
        <v>166</v>
      </c>
      <c r="C612" s="53" t="s">
        <v>45</v>
      </c>
      <c r="D612" s="54" t="s">
        <v>177</v>
      </c>
      <c r="E612" s="60" t="s">
        <v>57</v>
      </c>
      <c r="F612" s="52">
        <v>50</v>
      </c>
      <c r="G612" s="52">
        <v>50</v>
      </c>
      <c r="H612" s="299">
        <f t="shared" si="139"/>
        <v>0</v>
      </c>
      <c r="I612" s="52">
        <v>50</v>
      </c>
      <c r="J612" s="52">
        <v>50</v>
      </c>
      <c r="K612" s="299">
        <f t="shared" si="145"/>
        <v>0</v>
      </c>
      <c r="L612" s="52">
        <v>50</v>
      </c>
      <c r="M612" s="299">
        <f t="shared" si="147"/>
        <v>0</v>
      </c>
      <c r="N612" s="65">
        <v>50</v>
      </c>
      <c r="O612" s="65">
        <v>50</v>
      </c>
      <c r="P612" s="299">
        <f t="shared" si="140"/>
        <v>0</v>
      </c>
    </row>
    <row r="613" spans="1:19" s="51" customFormat="1" ht="24.75" customHeight="1" x14ac:dyDescent="0.2">
      <c r="A613" s="62" t="s">
        <v>176</v>
      </c>
      <c r="B613" s="53" t="s">
        <v>166</v>
      </c>
      <c r="C613" s="53" t="s">
        <v>45</v>
      </c>
      <c r="D613" s="54" t="s">
        <v>175</v>
      </c>
      <c r="E613" s="60"/>
      <c r="F613" s="52">
        <f>F614+F620</f>
        <v>64186.5</v>
      </c>
      <c r="G613" s="52">
        <f>G614+G620</f>
        <v>64418.900000000009</v>
      </c>
      <c r="H613" s="299">
        <f t="shared" si="139"/>
        <v>232.40000000000873</v>
      </c>
      <c r="I613" s="52">
        <f>I614+I620</f>
        <v>68627.700000000012</v>
      </c>
      <c r="J613" s="52">
        <f>J614+J620</f>
        <v>61941.5</v>
      </c>
      <c r="K613" s="299">
        <f t="shared" si="145"/>
        <v>-2477.4000000000087</v>
      </c>
      <c r="L613" s="52">
        <f>L614+L620</f>
        <v>68627.700000000012</v>
      </c>
      <c r="M613" s="299">
        <f t="shared" si="147"/>
        <v>0</v>
      </c>
      <c r="N613" s="52">
        <f>N614+N620</f>
        <v>68527.700000000012</v>
      </c>
      <c r="O613" s="52">
        <f>O614+O620</f>
        <v>68527.700000000012</v>
      </c>
      <c r="P613" s="299">
        <f t="shared" si="140"/>
        <v>0</v>
      </c>
    </row>
    <row r="614" spans="1:19" s="51" customFormat="1" ht="24.75" customHeight="1" x14ac:dyDescent="0.2">
      <c r="A614" s="62" t="s">
        <v>174</v>
      </c>
      <c r="B614" s="53" t="s">
        <v>166</v>
      </c>
      <c r="C614" s="53" t="s">
        <v>45</v>
      </c>
      <c r="D614" s="54" t="s">
        <v>173</v>
      </c>
      <c r="E614" s="60"/>
      <c r="F614" s="52">
        <f>F615+F616+F617+F618+F619</f>
        <v>34651.800000000003</v>
      </c>
      <c r="G614" s="52">
        <f t="shared" ref="G614:O614" si="148">G615+G616+G617+G618+G619</f>
        <v>34884.200000000004</v>
      </c>
      <c r="H614" s="299">
        <f t="shared" si="139"/>
        <v>232.40000000000146</v>
      </c>
      <c r="I614" s="52">
        <f t="shared" si="148"/>
        <v>39038.600000000006</v>
      </c>
      <c r="J614" s="52">
        <f t="shared" si="148"/>
        <v>32406.800000000003</v>
      </c>
      <c r="K614" s="299">
        <f t="shared" si="145"/>
        <v>-2477.4000000000015</v>
      </c>
      <c r="L614" s="52">
        <f t="shared" si="148"/>
        <v>39038.600000000006</v>
      </c>
      <c r="M614" s="299">
        <f t="shared" si="147"/>
        <v>0</v>
      </c>
      <c r="N614" s="52">
        <f t="shared" si="148"/>
        <v>38938.600000000006</v>
      </c>
      <c r="O614" s="52">
        <f t="shared" si="148"/>
        <v>38938.600000000006</v>
      </c>
      <c r="P614" s="299">
        <f t="shared" si="140"/>
        <v>0</v>
      </c>
    </row>
    <row r="615" spans="1:19" s="51" customFormat="1" ht="16.5" customHeight="1" x14ac:dyDescent="0.2">
      <c r="A615" s="56" t="s">
        <v>145</v>
      </c>
      <c r="B615" s="53" t="s">
        <v>166</v>
      </c>
      <c r="C615" s="53" t="s">
        <v>45</v>
      </c>
      <c r="D615" s="54" t="s">
        <v>173</v>
      </c>
      <c r="E615" s="60" t="s">
        <v>144</v>
      </c>
      <c r="F615" s="52">
        <v>45.2</v>
      </c>
      <c r="G615" s="52">
        <f>45.2-0.1+200</f>
        <v>245.1</v>
      </c>
      <c r="H615" s="299">
        <f t="shared" si="139"/>
        <v>199.89999999999998</v>
      </c>
      <c r="I615" s="52">
        <v>45.2</v>
      </c>
      <c r="J615" s="52">
        <f>45.2-0.1+200</f>
        <v>245.1</v>
      </c>
      <c r="K615" s="299">
        <f t="shared" si="145"/>
        <v>0</v>
      </c>
      <c r="L615" s="52">
        <v>45.2</v>
      </c>
      <c r="M615" s="299">
        <f t="shared" si="147"/>
        <v>0</v>
      </c>
      <c r="N615" s="65">
        <v>45.2</v>
      </c>
      <c r="O615" s="65">
        <v>45.2</v>
      </c>
      <c r="P615" s="299">
        <f t="shared" si="140"/>
        <v>0</v>
      </c>
    </row>
    <row r="616" spans="1:19" s="51" customFormat="1" ht="24.75" customHeight="1" x14ac:dyDescent="0.2">
      <c r="A616" s="56" t="s">
        <v>73</v>
      </c>
      <c r="B616" s="53" t="s">
        <v>166</v>
      </c>
      <c r="C616" s="53" t="s">
        <v>45</v>
      </c>
      <c r="D616" s="54" t="s">
        <v>173</v>
      </c>
      <c r="E616" s="60" t="s">
        <v>70</v>
      </c>
      <c r="F616" s="52">
        <v>3800</v>
      </c>
      <c r="G616" s="52">
        <v>3800</v>
      </c>
      <c r="H616" s="299">
        <f t="shared" si="139"/>
        <v>0</v>
      </c>
      <c r="I616" s="52">
        <v>3800</v>
      </c>
      <c r="J616" s="52">
        <f>3800-600-119.3</f>
        <v>3080.7</v>
      </c>
      <c r="K616" s="299">
        <f t="shared" si="145"/>
        <v>-719.30000000000018</v>
      </c>
      <c r="L616" s="52">
        <v>3800</v>
      </c>
      <c r="M616" s="299">
        <f t="shared" si="147"/>
        <v>0</v>
      </c>
      <c r="N616" s="52">
        <v>3800</v>
      </c>
      <c r="O616" s="52">
        <v>3800</v>
      </c>
      <c r="P616" s="299">
        <f t="shared" si="140"/>
        <v>0</v>
      </c>
      <c r="Q616" s="39"/>
      <c r="R616" s="234"/>
      <c r="S616" s="40"/>
    </row>
    <row r="617" spans="1:19" s="51" customFormat="1" ht="16.5" customHeight="1" x14ac:dyDescent="0.2">
      <c r="A617" s="62" t="s">
        <v>82</v>
      </c>
      <c r="B617" s="53" t="s">
        <v>166</v>
      </c>
      <c r="C617" s="53" t="s">
        <v>45</v>
      </c>
      <c r="D617" s="54" t="s">
        <v>173</v>
      </c>
      <c r="E617" s="60" t="s">
        <v>81</v>
      </c>
      <c r="F617" s="52">
        <f>6060.6-250+1154.5+1666.5</f>
        <v>8631.6</v>
      </c>
      <c r="G617" s="52">
        <f>8631.6+383.2</f>
        <v>9014.8000000000011</v>
      </c>
      <c r="H617" s="299">
        <f t="shared" si="139"/>
        <v>383.20000000000073</v>
      </c>
      <c r="I617" s="52">
        <f>5330+1154.5+1666.5</f>
        <v>8151</v>
      </c>
      <c r="J617" s="52">
        <f>8631.6+383.2</f>
        <v>9014.8000000000011</v>
      </c>
      <c r="K617" s="299">
        <f t="shared" si="145"/>
        <v>0</v>
      </c>
      <c r="L617" s="52">
        <f>5330+1154.5+1666.5</f>
        <v>8151</v>
      </c>
      <c r="M617" s="299">
        <f t="shared" si="147"/>
        <v>0</v>
      </c>
      <c r="N617" s="65">
        <f>5330+1154.5+1666.5</f>
        <v>8151</v>
      </c>
      <c r="O617" s="65">
        <f>5330+1154.5+1666.5</f>
        <v>8151</v>
      </c>
      <c r="P617" s="299">
        <f t="shared" si="140"/>
        <v>0</v>
      </c>
      <c r="Q617" s="39"/>
      <c r="R617" s="40"/>
      <c r="S617" s="40"/>
    </row>
    <row r="618" spans="1:19" s="51" customFormat="1" ht="15.75" customHeight="1" x14ac:dyDescent="0.2">
      <c r="A618" s="96" t="s">
        <v>61</v>
      </c>
      <c r="B618" s="53" t="s">
        <v>166</v>
      </c>
      <c r="C618" s="53" t="s">
        <v>45</v>
      </c>
      <c r="D618" s="54" t="s">
        <v>173</v>
      </c>
      <c r="E618" s="60" t="s">
        <v>57</v>
      </c>
      <c r="F618" s="52">
        <f>26242.4+150+267.2-266-1300-66.6-2800-52</f>
        <v>22175.000000000004</v>
      </c>
      <c r="G618" s="52">
        <f>22175+64.3-415.1</f>
        <v>21824.2</v>
      </c>
      <c r="H618" s="299">
        <f t="shared" si="139"/>
        <v>-350.80000000000291</v>
      </c>
      <c r="I618" s="52">
        <f>26242.4+800</f>
        <v>27042.400000000001</v>
      </c>
      <c r="J618" s="52">
        <f>21824.2-1000+279.7-97.7-165.8-774.3</f>
        <v>20066.100000000002</v>
      </c>
      <c r="K618" s="299">
        <f t="shared" si="145"/>
        <v>-1758.0999999999985</v>
      </c>
      <c r="L618" s="52">
        <f>26242.4+800</f>
        <v>27042.400000000001</v>
      </c>
      <c r="M618" s="299">
        <f t="shared" si="147"/>
        <v>0</v>
      </c>
      <c r="N618" s="52">
        <f>26242.4+700</f>
        <v>26942.400000000001</v>
      </c>
      <c r="O618" s="52">
        <f>26242.4+700</f>
        <v>26942.400000000001</v>
      </c>
      <c r="P618" s="299">
        <f t="shared" si="140"/>
        <v>0</v>
      </c>
      <c r="Q618" s="39"/>
      <c r="R618" s="40"/>
      <c r="S618" s="39"/>
    </row>
    <row r="619" spans="1:19" s="51" customFormat="1" ht="15.75" customHeight="1" x14ac:dyDescent="0.2">
      <c r="A619" s="96" t="s">
        <v>322</v>
      </c>
      <c r="B619" s="53" t="s">
        <v>166</v>
      </c>
      <c r="C619" s="53" t="s">
        <v>45</v>
      </c>
      <c r="D619" s="54" t="s">
        <v>173</v>
      </c>
      <c r="E619" s="60" t="s">
        <v>320</v>
      </c>
      <c r="F619" s="52">
        <v>0</v>
      </c>
      <c r="G619" s="52">
        <v>0.1</v>
      </c>
      <c r="H619" s="299">
        <f t="shared" si="139"/>
        <v>0.1</v>
      </c>
      <c r="I619" s="52">
        <v>0</v>
      </c>
      <c r="J619" s="52">
        <v>0.1</v>
      </c>
      <c r="K619" s="299">
        <f t="shared" si="145"/>
        <v>0</v>
      </c>
      <c r="L619" s="52">
        <v>0</v>
      </c>
      <c r="M619" s="299">
        <f t="shared" si="147"/>
        <v>0</v>
      </c>
      <c r="N619" s="52">
        <v>0</v>
      </c>
      <c r="O619" s="52">
        <v>0</v>
      </c>
      <c r="P619" s="299">
        <f t="shared" si="140"/>
        <v>0</v>
      </c>
    </row>
    <row r="620" spans="1:19" s="51" customFormat="1" ht="27.75" customHeight="1" x14ac:dyDescent="0.2">
      <c r="A620" s="64" t="s">
        <v>88</v>
      </c>
      <c r="B620" s="53" t="s">
        <v>166</v>
      </c>
      <c r="C620" s="53" t="s">
        <v>45</v>
      </c>
      <c r="D620" s="54" t="s">
        <v>172</v>
      </c>
      <c r="E620" s="60"/>
      <c r="F620" s="52">
        <f>F621+F622+F623</f>
        <v>29534.7</v>
      </c>
      <c r="G620" s="52">
        <f>G621+G622+G623</f>
        <v>29534.7</v>
      </c>
      <c r="H620" s="299">
        <f t="shared" si="139"/>
        <v>0</v>
      </c>
      <c r="I620" s="52">
        <f>I621+I622+I623</f>
        <v>29589.1</v>
      </c>
      <c r="J620" s="52">
        <f>J621+J622+J623</f>
        <v>29534.7</v>
      </c>
      <c r="K620" s="299">
        <f t="shared" si="145"/>
        <v>0</v>
      </c>
      <c r="L620" s="52">
        <f>L621+L622+L623</f>
        <v>29589.1</v>
      </c>
      <c r="M620" s="299">
        <f t="shared" si="147"/>
        <v>0</v>
      </c>
      <c r="N620" s="52">
        <f>N621+N622+N623</f>
        <v>29589.1</v>
      </c>
      <c r="O620" s="52">
        <f>O621+O622+O623</f>
        <v>29589.1</v>
      </c>
      <c r="P620" s="299">
        <f t="shared" si="140"/>
        <v>0</v>
      </c>
    </row>
    <row r="621" spans="1:19" s="51" customFormat="1" ht="16.5" customHeight="1" x14ac:dyDescent="0.2">
      <c r="A621" s="84" t="s">
        <v>145</v>
      </c>
      <c r="B621" s="53" t="s">
        <v>166</v>
      </c>
      <c r="C621" s="53" t="s">
        <v>45</v>
      </c>
      <c r="D621" s="54" t="s">
        <v>172</v>
      </c>
      <c r="E621" s="60" t="s">
        <v>144</v>
      </c>
      <c r="F621" s="52">
        <f>16192-1300</f>
        <v>14892</v>
      </c>
      <c r="G621" s="52">
        <f>16192-1300</f>
        <v>14892</v>
      </c>
      <c r="H621" s="299">
        <f t="shared" si="139"/>
        <v>0</v>
      </c>
      <c r="I621" s="52">
        <v>16192</v>
      </c>
      <c r="J621" s="52">
        <f>16192-1300</f>
        <v>14892</v>
      </c>
      <c r="K621" s="299">
        <f t="shared" si="145"/>
        <v>0</v>
      </c>
      <c r="L621" s="52">
        <v>16192</v>
      </c>
      <c r="M621" s="299">
        <f t="shared" si="147"/>
        <v>0</v>
      </c>
      <c r="N621" s="65">
        <v>16192</v>
      </c>
      <c r="O621" s="65">
        <v>16192</v>
      </c>
      <c r="P621" s="299">
        <f t="shared" si="140"/>
        <v>0</v>
      </c>
    </row>
    <row r="622" spans="1:19" s="51" customFormat="1" ht="13.5" customHeight="1" x14ac:dyDescent="0.2">
      <c r="A622" s="95" t="s">
        <v>82</v>
      </c>
      <c r="B622" s="53" t="s">
        <v>166</v>
      </c>
      <c r="C622" s="53" t="s">
        <v>45</v>
      </c>
      <c r="D622" s="54" t="s">
        <v>172</v>
      </c>
      <c r="E622" s="60" t="s">
        <v>81</v>
      </c>
      <c r="F622" s="52">
        <f>9122.2+4939.3-718.8</f>
        <v>13342.7</v>
      </c>
      <c r="G622" s="52">
        <f>9122.2+4939.3-718.8</f>
        <v>13342.7</v>
      </c>
      <c r="H622" s="299">
        <f t="shared" si="139"/>
        <v>0</v>
      </c>
      <c r="I622" s="52">
        <f>9122.2+4939.3+54.4-718.8</f>
        <v>13397.1</v>
      </c>
      <c r="J622" s="52">
        <f>9122.2+4939.3-718.8</f>
        <v>13342.7</v>
      </c>
      <c r="K622" s="299">
        <f t="shared" si="145"/>
        <v>0</v>
      </c>
      <c r="L622" s="52">
        <f>9122.2+4939.3+54.4-718.8</f>
        <v>13397.1</v>
      </c>
      <c r="M622" s="299">
        <f t="shared" si="147"/>
        <v>0</v>
      </c>
      <c r="N622" s="52">
        <f>9122.2+4939.3+54.4-718.8</f>
        <v>13397.1</v>
      </c>
      <c r="O622" s="52">
        <f>9122.2+4939.3+54.4-718.8</f>
        <v>13397.1</v>
      </c>
      <c r="P622" s="299">
        <f t="shared" si="140"/>
        <v>0</v>
      </c>
    </row>
    <row r="623" spans="1:19" s="51" customFormat="1" ht="14.25" customHeight="1" x14ac:dyDescent="0.2">
      <c r="A623" s="61" t="s">
        <v>61</v>
      </c>
      <c r="B623" s="53" t="s">
        <v>166</v>
      </c>
      <c r="C623" s="53" t="s">
        <v>45</v>
      </c>
      <c r="D623" s="54" t="s">
        <v>172</v>
      </c>
      <c r="E623" s="60" t="s">
        <v>57</v>
      </c>
      <c r="F623" s="52">
        <v>1300</v>
      </c>
      <c r="G623" s="52">
        <v>1300</v>
      </c>
      <c r="H623" s="299">
        <f t="shared" si="139"/>
        <v>0</v>
      </c>
      <c r="I623" s="52">
        <v>0</v>
      </c>
      <c r="J623" s="52">
        <v>1300</v>
      </c>
      <c r="K623" s="299">
        <f t="shared" si="145"/>
        <v>0</v>
      </c>
      <c r="L623" s="52">
        <v>0</v>
      </c>
      <c r="M623" s="299">
        <f t="shared" si="147"/>
        <v>0</v>
      </c>
      <c r="N623" s="52">
        <v>0</v>
      </c>
      <c r="O623" s="52">
        <v>0</v>
      </c>
      <c r="P623" s="299">
        <f t="shared" si="140"/>
        <v>0</v>
      </c>
    </row>
    <row r="624" spans="1:19" s="51" customFormat="1" ht="14.25" customHeight="1" x14ac:dyDescent="0.2">
      <c r="A624" s="59" t="s">
        <v>171</v>
      </c>
      <c r="B624" s="48" t="s">
        <v>166</v>
      </c>
      <c r="C624" s="48" t="s">
        <v>108</v>
      </c>
      <c r="D624" s="49"/>
      <c r="E624" s="94"/>
      <c r="F624" s="44">
        <f>F625+F632</f>
        <v>69896.899999999994</v>
      </c>
      <c r="G624" s="44">
        <f t="shared" ref="G624:O624" si="149">G625+G632</f>
        <v>301630.59999999998</v>
      </c>
      <c r="H624" s="299">
        <f t="shared" si="139"/>
        <v>231733.69999999998</v>
      </c>
      <c r="I624" s="44">
        <f t="shared" si="149"/>
        <v>0</v>
      </c>
      <c r="J624" s="44">
        <f t="shared" si="149"/>
        <v>301630.60000000003</v>
      </c>
      <c r="K624" s="299">
        <f t="shared" si="145"/>
        <v>0</v>
      </c>
      <c r="L624" s="44">
        <f t="shared" si="149"/>
        <v>0</v>
      </c>
      <c r="M624" s="299">
        <f t="shared" si="147"/>
        <v>0</v>
      </c>
      <c r="N624" s="44">
        <f t="shared" si="149"/>
        <v>0</v>
      </c>
      <c r="O624" s="44">
        <f t="shared" si="149"/>
        <v>0</v>
      </c>
      <c r="P624" s="299">
        <f t="shared" si="140"/>
        <v>0</v>
      </c>
    </row>
    <row r="625" spans="1:17" s="51" customFormat="1" ht="38.25" x14ac:dyDescent="0.2">
      <c r="A625" s="64" t="s">
        <v>68</v>
      </c>
      <c r="B625" s="53" t="s">
        <v>166</v>
      </c>
      <c r="C625" s="53" t="s">
        <v>108</v>
      </c>
      <c r="D625" s="54" t="s">
        <v>67</v>
      </c>
      <c r="E625" s="60"/>
      <c r="F625" s="52">
        <f t="shared" ref="F625:G627" si="150">F626</f>
        <v>69896.899999999994</v>
      </c>
      <c r="G625" s="52">
        <f t="shared" si="150"/>
        <v>297766.59999999998</v>
      </c>
      <c r="H625" s="299">
        <f t="shared" si="139"/>
        <v>227869.69999999998</v>
      </c>
      <c r="I625" s="52">
        <f t="shared" ref="I625:L627" si="151">I626</f>
        <v>0</v>
      </c>
      <c r="J625" s="52">
        <f t="shared" si="151"/>
        <v>297766.60000000003</v>
      </c>
      <c r="K625" s="299">
        <f t="shared" si="145"/>
        <v>0</v>
      </c>
      <c r="L625" s="52">
        <f t="shared" si="151"/>
        <v>0</v>
      </c>
      <c r="M625" s="299">
        <f t="shared" si="147"/>
        <v>0</v>
      </c>
      <c r="N625" s="52">
        <f t="shared" ref="N625:O627" si="152">N626</f>
        <v>0</v>
      </c>
      <c r="O625" s="52">
        <f t="shared" si="152"/>
        <v>0</v>
      </c>
      <c r="P625" s="299">
        <f t="shared" si="140"/>
        <v>0</v>
      </c>
    </row>
    <row r="626" spans="1:17" s="51" customFormat="1" ht="15" customHeight="1" x14ac:dyDescent="0.2">
      <c r="A626" s="62" t="s">
        <v>66</v>
      </c>
      <c r="B626" s="53" t="s">
        <v>166</v>
      </c>
      <c r="C626" s="53" t="s">
        <v>108</v>
      </c>
      <c r="D626" s="54" t="s">
        <v>65</v>
      </c>
      <c r="E626" s="60"/>
      <c r="F626" s="52">
        <f t="shared" si="150"/>
        <v>69896.899999999994</v>
      </c>
      <c r="G626" s="52">
        <f t="shared" si="150"/>
        <v>297766.59999999998</v>
      </c>
      <c r="H626" s="299">
        <f t="shared" si="139"/>
        <v>227869.69999999998</v>
      </c>
      <c r="I626" s="52">
        <f t="shared" si="151"/>
        <v>0</v>
      </c>
      <c r="J626" s="52">
        <f t="shared" si="151"/>
        <v>297766.60000000003</v>
      </c>
      <c r="K626" s="299">
        <f t="shared" si="145"/>
        <v>0</v>
      </c>
      <c r="L626" s="52">
        <f t="shared" si="151"/>
        <v>0</v>
      </c>
      <c r="M626" s="299">
        <f t="shared" si="147"/>
        <v>0</v>
      </c>
      <c r="N626" s="52">
        <f t="shared" si="152"/>
        <v>0</v>
      </c>
      <c r="O626" s="52">
        <f t="shared" si="152"/>
        <v>0</v>
      </c>
      <c r="P626" s="299">
        <f t="shared" si="140"/>
        <v>0</v>
      </c>
    </row>
    <row r="627" spans="1:17" s="51" customFormat="1" ht="26.25" customHeight="1" x14ac:dyDescent="0.2">
      <c r="A627" s="62" t="s">
        <v>170</v>
      </c>
      <c r="B627" s="53" t="s">
        <v>166</v>
      </c>
      <c r="C627" s="53" t="s">
        <v>108</v>
      </c>
      <c r="D627" s="54" t="s">
        <v>169</v>
      </c>
      <c r="E627" s="60"/>
      <c r="F627" s="52">
        <f t="shared" si="150"/>
        <v>69896.899999999994</v>
      </c>
      <c r="G627" s="52">
        <f t="shared" si="150"/>
        <v>297766.59999999998</v>
      </c>
      <c r="H627" s="299">
        <f t="shared" si="139"/>
        <v>227869.69999999998</v>
      </c>
      <c r="I627" s="52">
        <f t="shared" si="151"/>
        <v>0</v>
      </c>
      <c r="J627" s="52">
        <f t="shared" si="151"/>
        <v>297766.60000000003</v>
      </c>
      <c r="K627" s="299">
        <f t="shared" si="145"/>
        <v>0</v>
      </c>
      <c r="L627" s="52">
        <f t="shared" si="151"/>
        <v>0</v>
      </c>
      <c r="M627" s="299">
        <f t="shared" si="147"/>
        <v>0</v>
      </c>
      <c r="N627" s="52">
        <f t="shared" si="152"/>
        <v>0</v>
      </c>
      <c r="O627" s="52">
        <f t="shared" si="152"/>
        <v>0</v>
      </c>
      <c r="P627" s="299">
        <f t="shared" si="140"/>
        <v>0</v>
      </c>
    </row>
    <row r="628" spans="1:17" s="51" customFormat="1" ht="14.25" customHeight="1" x14ac:dyDescent="0.2">
      <c r="A628" s="62" t="s">
        <v>168</v>
      </c>
      <c r="B628" s="53" t="s">
        <v>166</v>
      </c>
      <c r="C628" s="53" t="s">
        <v>108</v>
      </c>
      <c r="D628" s="54" t="s">
        <v>165</v>
      </c>
      <c r="E628" s="60"/>
      <c r="F628" s="52">
        <f>F630+F629+F631</f>
        <v>69896.899999999994</v>
      </c>
      <c r="G628" s="52">
        <f t="shared" ref="G628:O628" si="153">G630+G629+G631</f>
        <v>297766.59999999998</v>
      </c>
      <c r="H628" s="299">
        <f t="shared" si="139"/>
        <v>227869.69999999998</v>
      </c>
      <c r="I628" s="52">
        <f t="shared" si="153"/>
        <v>0</v>
      </c>
      <c r="J628" s="52">
        <f t="shared" si="153"/>
        <v>297766.60000000003</v>
      </c>
      <c r="K628" s="299">
        <f t="shared" si="145"/>
        <v>0</v>
      </c>
      <c r="L628" s="52">
        <f t="shared" si="153"/>
        <v>0</v>
      </c>
      <c r="M628" s="299">
        <f t="shared" si="147"/>
        <v>0</v>
      </c>
      <c r="N628" s="52">
        <f t="shared" si="153"/>
        <v>0</v>
      </c>
      <c r="O628" s="52">
        <f t="shared" si="153"/>
        <v>0</v>
      </c>
      <c r="P628" s="299">
        <f t="shared" si="140"/>
        <v>0</v>
      </c>
    </row>
    <row r="629" spans="1:17" s="51" customFormat="1" ht="28.5" customHeight="1" x14ac:dyDescent="0.2">
      <c r="A629" s="69" t="s">
        <v>73</v>
      </c>
      <c r="B629" s="53" t="s">
        <v>166</v>
      </c>
      <c r="C629" s="53" t="s">
        <v>108</v>
      </c>
      <c r="D629" s="54" t="s">
        <v>165</v>
      </c>
      <c r="E629" s="60" t="s">
        <v>70</v>
      </c>
      <c r="F629" s="52">
        <v>0</v>
      </c>
      <c r="G629" s="52">
        <f>1131.2+1312.2+36575.7-4581.5</f>
        <v>34437.599999999999</v>
      </c>
      <c r="H629" s="299">
        <f t="shared" si="139"/>
        <v>34437.599999999999</v>
      </c>
      <c r="I629" s="52">
        <v>0</v>
      </c>
      <c r="J629" s="52">
        <f>34437.6+7228.8+25</f>
        <v>41691.4</v>
      </c>
      <c r="K629" s="299">
        <f t="shared" si="145"/>
        <v>7253.8000000000029</v>
      </c>
      <c r="L629" s="52">
        <v>0</v>
      </c>
      <c r="M629" s="299">
        <f t="shared" si="147"/>
        <v>0</v>
      </c>
      <c r="N629" s="52">
        <v>0</v>
      </c>
      <c r="O629" s="52">
        <v>0</v>
      </c>
      <c r="P629" s="299">
        <f t="shared" si="140"/>
        <v>0</v>
      </c>
      <c r="Q629" s="39"/>
    </row>
    <row r="630" spans="1:17" s="51" customFormat="1" ht="14.25" customHeight="1" x14ac:dyDescent="0.2">
      <c r="A630" s="93" t="s">
        <v>167</v>
      </c>
      <c r="B630" s="53" t="s">
        <v>166</v>
      </c>
      <c r="C630" s="53" t="s">
        <v>108</v>
      </c>
      <c r="D630" s="54" t="s">
        <v>165</v>
      </c>
      <c r="E630" s="60" t="s">
        <v>164</v>
      </c>
      <c r="F630" s="52">
        <f>67800+2096.9</f>
        <v>69896.899999999994</v>
      </c>
      <c r="G630" s="52">
        <f>69896.9+3168.8+85098.5+100583.3</f>
        <v>258747.5</v>
      </c>
      <c r="H630" s="299">
        <f t="shared" si="139"/>
        <v>188850.6</v>
      </c>
      <c r="I630" s="52">
        <v>0</v>
      </c>
      <c r="J630" s="52">
        <f>258747.5-7228.8-25</f>
        <v>251493.7</v>
      </c>
      <c r="K630" s="299">
        <f t="shared" si="145"/>
        <v>-7253.7999999999884</v>
      </c>
      <c r="L630" s="52">
        <v>0</v>
      </c>
      <c r="M630" s="299">
        <f t="shared" si="147"/>
        <v>0</v>
      </c>
      <c r="N630" s="52">
        <v>0</v>
      </c>
      <c r="O630" s="52">
        <v>0</v>
      </c>
      <c r="P630" s="336">
        <f t="shared" si="140"/>
        <v>0</v>
      </c>
      <c r="Q630" s="39"/>
    </row>
    <row r="631" spans="1:17" s="51" customFormat="1" ht="14.25" customHeight="1" x14ac:dyDescent="0.2">
      <c r="A631" s="61" t="s">
        <v>61</v>
      </c>
      <c r="B631" s="53" t="s">
        <v>166</v>
      </c>
      <c r="C631" s="53" t="s">
        <v>108</v>
      </c>
      <c r="D631" s="54" t="s">
        <v>165</v>
      </c>
      <c r="E631" s="60" t="s">
        <v>57</v>
      </c>
      <c r="F631" s="52">
        <v>0</v>
      </c>
      <c r="G631" s="52">
        <v>4581.5</v>
      </c>
      <c r="H631" s="299">
        <f t="shared" si="139"/>
        <v>4581.5</v>
      </c>
      <c r="I631" s="52">
        <v>0</v>
      </c>
      <c r="J631" s="52">
        <v>4581.5</v>
      </c>
      <c r="K631" s="299">
        <f t="shared" si="145"/>
        <v>0</v>
      </c>
      <c r="L631" s="52">
        <v>0</v>
      </c>
      <c r="M631" s="300"/>
      <c r="N631" s="52">
        <v>0</v>
      </c>
      <c r="O631" s="52">
        <v>0</v>
      </c>
      <c r="P631" s="392"/>
      <c r="Q631" s="39"/>
    </row>
    <row r="632" spans="1:17" s="51" customFormat="1" ht="27" customHeight="1" x14ac:dyDescent="0.2">
      <c r="A632" s="84" t="s">
        <v>54</v>
      </c>
      <c r="B632" s="53" t="s">
        <v>166</v>
      </c>
      <c r="C632" s="53" t="s">
        <v>108</v>
      </c>
      <c r="D632" s="54" t="s">
        <v>53</v>
      </c>
      <c r="E632" s="53"/>
      <c r="F632" s="52">
        <f>F633</f>
        <v>0</v>
      </c>
      <c r="G632" s="52">
        <f t="shared" ref="G632:G635" si="154">G633</f>
        <v>3864</v>
      </c>
      <c r="H632" s="300">
        <f t="shared" ref="H632:H701" si="155">G632-F632</f>
        <v>3864</v>
      </c>
      <c r="I632" s="52">
        <f t="shared" ref="I632:O635" si="156">I633</f>
        <v>0</v>
      </c>
      <c r="J632" s="52">
        <f t="shared" si="156"/>
        <v>3864</v>
      </c>
      <c r="K632" s="299">
        <f t="shared" si="145"/>
        <v>0</v>
      </c>
      <c r="L632" s="52">
        <f t="shared" si="156"/>
        <v>0</v>
      </c>
      <c r="M632" s="300">
        <f t="shared" ref="M632:M701" si="157">L632-I632</f>
        <v>0</v>
      </c>
      <c r="N632" s="52">
        <f t="shared" si="156"/>
        <v>0</v>
      </c>
      <c r="O632" s="52">
        <f t="shared" si="156"/>
        <v>0</v>
      </c>
      <c r="P632" s="333">
        <f t="shared" si="140"/>
        <v>0</v>
      </c>
    </row>
    <row r="633" spans="1:17" s="51" customFormat="1" ht="17.25" customHeight="1" x14ac:dyDescent="0.2">
      <c r="A633" s="126" t="s">
        <v>66</v>
      </c>
      <c r="B633" s="53" t="s">
        <v>166</v>
      </c>
      <c r="C633" s="53" t="s">
        <v>108</v>
      </c>
      <c r="D633" s="54" t="s">
        <v>724</v>
      </c>
      <c r="E633" s="53"/>
      <c r="F633" s="52">
        <f>F634</f>
        <v>0</v>
      </c>
      <c r="G633" s="52">
        <f t="shared" si="154"/>
        <v>3864</v>
      </c>
      <c r="H633" s="300">
        <f t="shared" si="155"/>
        <v>3864</v>
      </c>
      <c r="I633" s="52">
        <f t="shared" si="156"/>
        <v>0</v>
      </c>
      <c r="J633" s="52">
        <f t="shared" si="156"/>
        <v>3864</v>
      </c>
      <c r="K633" s="299">
        <f t="shared" si="145"/>
        <v>0</v>
      </c>
      <c r="L633" s="52">
        <f t="shared" si="156"/>
        <v>0</v>
      </c>
      <c r="M633" s="300">
        <f t="shared" si="157"/>
        <v>0</v>
      </c>
      <c r="N633" s="52">
        <f t="shared" si="156"/>
        <v>0</v>
      </c>
      <c r="O633" s="52">
        <f t="shared" si="156"/>
        <v>0</v>
      </c>
      <c r="P633" s="333">
        <f t="shared" ref="P633:P702" si="158">O633-N633</f>
        <v>0</v>
      </c>
    </row>
    <row r="634" spans="1:17" s="51" customFormat="1" ht="27.75" customHeight="1" x14ac:dyDescent="0.2">
      <c r="A634" s="56" t="s">
        <v>725</v>
      </c>
      <c r="B634" s="53" t="s">
        <v>166</v>
      </c>
      <c r="C634" s="53" t="s">
        <v>108</v>
      </c>
      <c r="D634" s="54" t="s">
        <v>726</v>
      </c>
      <c r="E634" s="53"/>
      <c r="F634" s="52">
        <f>F635</f>
        <v>0</v>
      </c>
      <c r="G634" s="52">
        <f t="shared" si="154"/>
        <v>3864</v>
      </c>
      <c r="H634" s="300">
        <f t="shared" si="155"/>
        <v>3864</v>
      </c>
      <c r="I634" s="52">
        <f t="shared" si="156"/>
        <v>0</v>
      </c>
      <c r="J634" s="52">
        <f t="shared" si="156"/>
        <v>3864</v>
      </c>
      <c r="K634" s="299">
        <f t="shared" si="145"/>
        <v>0</v>
      </c>
      <c r="L634" s="52">
        <f t="shared" si="156"/>
        <v>0</v>
      </c>
      <c r="M634" s="300">
        <f t="shared" si="157"/>
        <v>0</v>
      </c>
      <c r="N634" s="52">
        <f t="shared" si="156"/>
        <v>0</v>
      </c>
      <c r="O634" s="52">
        <f t="shared" si="156"/>
        <v>0</v>
      </c>
      <c r="P634" s="333">
        <f t="shared" si="158"/>
        <v>0</v>
      </c>
    </row>
    <row r="635" spans="1:17" s="51" customFormat="1" ht="26.25" customHeight="1" x14ac:dyDescent="0.2">
      <c r="A635" s="56" t="s">
        <v>727</v>
      </c>
      <c r="B635" s="53" t="s">
        <v>166</v>
      </c>
      <c r="C635" s="53" t="s">
        <v>108</v>
      </c>
      <c r="D635" s="54" t="s">
        <v>728</v>
      </c>
      <c r="E635" s="53"/>
      <c r="F635" s="52">
        <f>F636</f>
        <v>0</v>
      </c>
      <c r="G635" s="52">
        <f t="shared" si="154"/>
        <v>3864</v>
      </c>
      <c r="H635" s="300">
        <f t="shared" si="155"/>
        <v>3864</v>
      </c>
      <c r="I635" s="52">
        <f t="shared" si="156"/>
        <v>0</v>
      </c>
      <c r="J635" s="52">
        <f t="shared" si="156"/>
        <v>3864</v>
      </c>
      <c r="K635" s="299">
        <f t="shared" si="145"/>
        <v>0</v>
      </c>
      <c r="L635" s="52">
        <f t="shared" si="156"/>
        <v>0</v>
      </c>
      <c r="M635" s="300">
        <f t="shared" si="157"/>
        <v>0</v>
      </c>
      <c r="N635" s="52">
        <f t="shared" si="156"/>
        <v>0</v>
      </c>
      <c r="O635" s="52">
        <f t="shared" si="156"/>
        <v>0</v>
      </c>
      <c r="P635" s="333">
        <f t="shared" si="158"/>
        <v>0</v>
      </c>
    </row>
    <row r="636" spans="1:17" s="51" customFormat="1" ht="29.25" customHeight="1" x14ac:dyDescent="0.2">
      <c r="A636" s="56" t="s">
        <v>73</v>
      </c>
      <c r="B636" s="53" t="s">
        <v>166</v>
      </c>
      <c r="C636" s="53" t="s">
        <v>108</v>
      </c>
      <c r="D636" s="54" t="s">
        <v>728</v>
      </c>
      <c r="E636" s="53" t="s">
        <v>70</v>
      </c>
      <c r="F636" s="52">
        <v>0</v>
      </c>
      <c r="G636" s="52">
        <f>918.6+240.6+2704.8</f>
        <v>3864</v>
      </c>
      <c r="H636" s="300">
        <f t="shared" si="155"/>
        <v>3864</v>
      </c>
      <c r="I636" s="52">
        <v>0</v>
      </c>
      <c r="J636" s="52">
        <f>918.6+240.6+2704.8</f>
        <v>3864</v>
      </c>
      <c r="K636" s="299">
        <f t="shared" si="145"/>
        <v>0</v>
      </c>
      <c r="L636" s="52">
        <v>0</v>
      </c>
      <c r="M636" s="300">
        <f t="shared" si="157"/>
        <v>0</v>
      </c>
      <c r="N636" s="52">
        <v>0</v>
      </c>
      <c r="O636" s="52">
        <v>0</v>
      </c>
      <c r="P636" s="333">
        <f t="shared" si="158"/>
        <v>0</v>
      </c>
    </row>
    <row r="637" spans="1:17" s="43" customFormat="1" ht="15" customHeight="1" x14ac:dyDescent="0.2">
      <c r="A637" s="92" t="s">
        <v>163</v>
      </c>
      <c r="B637" s="48" t="s">
        <v>160</v>
      </c>
      <c r="C637" s="53"/>
      <c r="D637" s="54"/>
      <c r="E637" s="48"/>
      <c r="F637" s="44">
        <f t="shared" ref="F637:G640" si="159">F638</f>
        <v>105.8</v>
      </c>
      <c r="G637" s="44">
        <f t="shared" si="159"/>
        <v>105.8</v>
      </c>
      <c r="H637" s="299">
        <f t="shared" si="155"/>
        <v>0</v>
      </c>
      <c r="I637" s="44">
        <f t="shared" ref="I637:L640" si="160">I638</f>
        <v>105.8</v>
      </c>
      <c r="J637" s="44">
        <f t="shared" si="160"/>
        <v>105.8</v>
      </c>
      <c r="K637" s="299">
        <f t="shared" si="145"/>
        <v>0</v>
      </c>
      <c r="L637" s="44">
        <f t="shared" si="160"/>
        <v>105.8</v>
      </c>
      <c r="M637" s="299">
        <f t="shared" si="157"/>
        <v>0</v>
      </c>
      <c r="N637" s="44">
        <f t="shared" ref="N637:O640" si="161">N638</f>
        <v>105.8</v>
      </c>
      <c r="O637" s="44">
        <f t="shared" si="161"/>
        <v>105.8</v>
      </c>
      <c r="P637" s="299">
        <f t="shared" si="158"/>
        <v>0</v>
      </c>
    </row>
    <row r="638" spans="1:17" s="43" customFormat="1" ht="15" customHeight="1" x14ac:dyDescent="0.2">
      <c r="A638" s="91" t="s">
        <v>162</v>
      </c>
      <c r="B638" s="48" t="s">
        <v>160</v>
      </c>
      <c r="C638" s="48" t="s">
        <v>159</v>
      </c>
      <c r="D638" s="49"/>
      <c r="E638" s="48"/>
      <c r="F638" s="44">
        <f t="shared" si="159"/>
        <v>105.8</v>
      </c>
      <c r="G638" s="44">
        <f t="shared" si="159"/>
        <v>105.8</v>
      </c>
      <c r="H638" s="299">
        <f t="shared" si="155"/>
        <v>0</v>
      </c>
      <c r="I638" s="44">
        <f t="shared" si="160"/>
        <v>105.8</v>
      </c>
      <c r="J638" s="44">
        <f t="shared" si="160"/>
        <v>105.8</v>
      </c>
      <c r="K638" s="299">
        <f t="shared" si="145"/>
        <v>0</v>
      </c>
      <c r="L638" s="44">
        <f t="shared" si="160"/>
        <v>105.8</v>
      </c>
      <c r="M638" s="299">
        <f t="shared" si="157"/>
        <v>0</v>
      </c>
      <c r="N638" s="44">
        <f t="shared" si="161"/>
        <v>105.8</v>
      </c>
      <c r="O638" s="44">
        <f t="shared" si="161"/>
        <v>105.8</v>
      </c>
      <c r="P638" s="299">
        <f t="shared" si="158"/>
        <v>0</v>
      </c>
    </row>
    <row r="639" spans="1:17" s="32" customFormat="1" ht="14.25" customHeight="1" x14ac:dyDescent="0.2">
      <c r="A639" s="75" t="s">
        <v>151</v>
      </c>
      <c r="B639" s="53" t="s">
        <v>160</v>
      </c>
      <c r="C639" s="53" t="s">
        <v>159</v>
      </c>
      <c r="D639" s="53" t="s">
        <v>150</v>
      </c>
      <c r="E639" s="53"/>
      <c r="F639" s="52">
        <f t="shared" si="159"/>
        <v>105.8</v>
      </c>
      <c r="G639" s="52">
        <f t="shared" si="159"/>
        <v>105.8</v>
      </c>
      <c r="H639" s="299">
        <f t="shared" si="155"/>
        <v>0</v>
      </c>
      <c r="I639" s="52">
        <f t="shared" si="160"/>
        <v>105.8</v>
      </c>
      <c r="J639" s="52">
        <f t="shared" si="160"/>
        <v>105.8</v>
      </c>
      <c r="K639" s="299">
        <f t="shared" si="145"/>
        <v>0</v>
      </c>
      <c r="L639" s="52">
        <f t="shared" si="160"/>
        <v>105.8</v>
      </c>
      <c r="M639" s="299">
        <f t="shared" si="157"/>
        <v>0</v>
      </c>
      <c r="N639" s="52">
        <f t="shared" si="161"/>
        <v>105.8</v>
      </c>
      <c r="O639" s="52">
        <f t="shared" si="161"/>
        <v>105.8</v>
      </c>
      <c r="P639" s="299">
        <f t="shared" si="158"/>
        <v>0</v>
      </c>
    </row>
    <row r="640" spans="1:17" s="32" customFormat="1" ht="80.25" customHeight="1" x14ac:dyDescent="0.2">
      <c r="A640" s="69" t="s">
        <v>161</v>
      </c>
      <c r="B640" s="53" t="s">
        <v>160</v>
      </c>
      <c r="C640" s="53" t="s">
        <v>159</v>
      </c>
      <c r="D640" s="54" t="s">
        <v>158</v>
      </c>
      <c r="E640" s="53"/>
      <c r="F640" s="52">
        <f t="shared" si="159"/>
        <v>105.8</v>
      </c>
      <c r="G640" s="52">
        <f t="shared" si="159"/>
        <v>105.8</v>
      </c>
      <c r="H640" s="299">
        <f t="shared" si="155"/>
        <v>0</v>
      </c>
      <c r="I640" s="52">
        <f t="shared" si="160"/>
        <v>105.8</v>
      </c>
      <c r="J640" s="52">
        <f t="shared" si="160"/>
        <v>105.8</v>
      </c>
      <c r="K640" s="299">
        <f t="shared" si="145"/>
        <v>0</v>
      </c>
      <c r="L640" s="52">
        <f t="shared" si="160"/>
        <v>105.8</v>
      </c>
      <c r="M640" s="299">
        <f t="shared" si="157"/>
        <v>0</v>
      </c>
      <c r="N640" s="52">
        <f t="shared" si="161"/>
        <v>105.8</v>
      </c>
      <c r="O640" s="52">
        <f t="shared" si="161"/>
        <v>105.8</v>
      </c>
      <c r="P640" s="299">
        <f t="shared" si="158"/>
        <v>0</v>
      </c>
    </row>
    <row r="641" spans="1:16" s="32" customFormat="1" ht="28.5" customHeight="1" x14ac:dyDescent="0.2">
      <c r="A641" s="69" t="s">
        <v>73</v>
      </c>
      <c r="B641" s="53" t="s">
        <v>160</v>
      </c>
      <c r="C641" s="53" t="s">
        <v>159</v>
      </c>
      <c r="D641" s="54" t="s">
        <v>158</v>
      </c>
      <c r="E641" s="53" t="s">
        <v>70</v>
      </c>
      <c r="F641" s="52">
        <v>105.8</v>
      </c>
      <c r="G641" s="52">
        <v>105.8</v>
      </c>
      <c r="H641" s="299">
        <f t="shared" si="155"/>
        <v>0</v>
      </c>
      <c r="I641" s="52">
        <v>105.8</v>
      </c>
      <c r="J641" s="52">
        <v>105.8</v>
      </c>
      <c r="K641" s="299">
        <f t="shared" si="145"/>
        <v>0</v>
      </c>
      <c r="L641" s="52">
        <v>105.8</v>
      </c>
      <c r="M641" s="299">
        <f t="shared" si="157"/>
        <v>0</v>
      </c>
      <c r="N641" s="52">
        <v>105.8</v>
      </c>
      <c r="O641" s="52">
        <v>105.8</v>
      </c>
      <c r="P641" s="299">
        <f t="shared" si="158"/>
        <v>0</v>
      </c>
    </row>
    <row r="642" spans="1:16" s="43" customFormat="1" ht="15.75" customHeight="1" x14ac:dyDescent="0.2">
      <c r="A642" s="90" t="s">
        <v>157</v>
      </c>
      <c r="B642" s="45">
        <v>10</v>
      </c>
      <c r="C642" s="45"/>
      <c r="D642" s="45"/>
      <c r="E642" s="45"/>
      <c r="F642" s="44">
        <f>F643+F650+F693</f>
        <v>23995.7</v>
      </c>
      <c r="G642" s="44">
        <f>G643+G650+G693+G687</f>
        <v>24033.5</v>
      </c>
      <c r="H642" s="44">
        <f t="shared" ref="H642:O642" si="162">H643+H650+H693+H687</f>
        <v>37.799999999999272</v>
      </c>
      <c r="I642" s="44">
        <f t="shared" si="162"/>
        <v>10050</v>
      </c>
      <c r="J642" s="44">
        <f t="shared" si="162"/>
        <v>24333.9</v>
      </c>
      <c r="K642" s="299">
        <f t="shared" si="145"/>
        <v>300.40000000000146</v>
      </c>
      <c r="L642" s="44">
        <f t="shared" si="162"/>
        <v>10050</v>
      </c>
      <c r="M642" s="44">
        <f t="shared" si="162"/>
        <v>0</v>
      </c>
      <c r="N642" s="44">
        <f t="shared" si="162"/>
        <v>10050</v>
      </c>
      <c r="O642" s="44">
        <f t="shared" si="162"/>
        <v>10050</v>
      </c>
      <c r="P642" s="299">
        <f t="shared" si="158"/>
        <v>0</v>
      </c>
    </row>
    <row r="643" spans="1:16" s="43" customFormat="1" ht="15" customHeight="1" x14ac:dyDescent="0.2">
      <c r="A643" s="80" t="s">
        <v>156</v>
      </c>
      <c r="B643" s="71">
        <v>10</v>
      </c>
      <c r="C643" s="71" t="s">
        <v>45</v>
      </c>
      <c r="D643" s="45"/>
      <c r="E643" s="45"/>
      <c r="F643" s="44">
        <f>F646</f>
        <v>2803.2</v>
      </c>
      <c r="G643" s="44">
        <f>G646</f>
        <v>2803.2</v>
      </c>
      <c r="H643" s="299">
        <f t="shared" si="155"/>
        <v>0</v>
      </c>
      <c r="I643" s="44">
        <f>I646</f>
        <v>2803.2</v>
      </c>
      <c r="J643" s="44">
        <f>J646</f>
        <v>2803.2</v>
      </c>
      <c r="K643" s="299">
        <f t="shared" si="145"/>
        <v>0</v>
      </c>
      <c r="L643" s="44">
        <f>L646</f>
        <v>2803.2</v>
      </c>
      <c r="M643" s="299">
        <f t="shared" si="157"/>
        <v>0</v>
      </c>
      <c r="N643" s="44">
        <f>N646</f>
        <v>2803.2</v>
      </c>
      <c r="O643" s="44">
        <f>O646</f>
        <v>2803.2</v>
      </c>
      <c r="P643" s="299">
        <f t="shared" si="158"/>
        <v>0</v>
      </c>
    </row>
    <row r="644" spans="1:16" s="43" customFormat="1" ht="27.75" customHeight="1" x14ac:dyDescent="0.2">
      <c r="A644" s="79" t="s">
        <v>147</v>
      </c>
      <c r="B644" s="53" t="s">
        <v>97</v>
      </c>
      <c r="C644" s="53" t="s">
        <v>45</v>
      </c>
      <c r="D644" s="89" t="s">
        <v>105</v>
      </c>
      <c r="E644" s="89"/>
      <c r="F644" s="52">
        <f t="shared" ref="F644:G646" si="163">F645</f>
        <v>2803.2</v>
      </c>
      <c r="G644" s="52">
        <f t="shared" si="163"/>
        <v>2803.2</v>
      </c>
      <c r="H644" s="299">
        <f t="shared" si="155"/>
        <v>0</v>
      </c>
      <c r="I644" s="52">
        <f t="shared" ref="I644:L646" si="164">I645</f>
        <v>2803.2</v>
      </c>
      <c r="J644" s="52">
        <f t="shared" si="164"/>
        <v>2803.2</v>
      </c>
      <c r="K644" s="299">
        <f t="shared" si="145"/>
        <v>0</v>
      </c>
      <c r="L644" s="52">
        <f t="shared" si="164"/>
        <v>2803.2</v>
      </c>
      <c r="M644" s="299">
        <f t="shared" si="157"/>
        <v>0</v>
      </c>
      <c r="N644" s="52">
        <f t="shared" ref="N644:O646" si="165">N645</f>
        <v>2803.2</v>
      </c>
      <c r="O644" s="52">
        <f t="shared" si="165"/>
        <v>2803.2</v>
      </c>
      <c r="P644" s="299">
        <f t="shared" si="158"/>
        <v>0</v>
      </c>
    </row>
    <row r="645" spans="1:16" s="43" customFormat="1" ht="12.75" customHeight="1" x14ac:dyDescent="0.2">
      <c r="A645" s="77" t="s">
        <v>52</v>
      </c>
      <c r="B645" s="53" t="s">
        <v>97</v>
      </c>
      <c r="C645" s="53" t="s">
        <v>45</v>
      </c>
      <c r="D645" s="89" t="s">
        <v>104</v>
      </c>
      <c r="E645" s="89"/>
      <c r="F645" s="52">
        <f t="shared" si="163"/>
        <v>2803.2</v>
      </c>
      <c r="G645" s="52">
        <f t="shared" si="163"/>
        <v>2803.2</v>
      </c>
      <c r="H645" s="299">
        <f t="shared" si="155"/>
        <v>0</v>
      </c>
      <c r="I645" s="52">
        <f t="shared" si="164"/>
        <v>2803.2</v>
      </c>
      <c r="J645" s="52">
        <f t="shared" si="164"/>
        <v>2803.2</v>
      </c>
      <c r="K645" s="299">
        <f t="shared" si="145"/>
        <v>0</v>
      </c>
      <c r="L645" s="52">
        <f t="shared" si="164"/>
        <v>2803.2</v>
      </c>
      <c r="M645" s="299">
        <f t="shared" si="157"/>
        <v>0</v>
      </c>
      <c r="N645" s="52">
        <f t="shared" si="165"/>
        <v>2803.2</v>
      </c>
      <c r="O645" s="52">
        <f t="shared" si="165"/>
        <v>2803.2</v>
      </c>
      <c r="P645" s="299">
        <f t="shared" si="158"/>
        <v>0</v>
      </c>
    </row>
    <row r="646" spans="1:16" s="32" customFormat="1" ht="42" customHeight="1" x14ac:dyDescent="0.2">
      <c r="A646" s="77" t="s">
        <v>103</v>
      </c>
      <c r="B646" s="53" t="s">
        <v>97</v>
      </c>
      <c r="C646" s="53" t="s">
        <v>45</v>
      </c>
      <c r="D646" s="53" t="s">
        <v>102</v>
      </c>
      <c r="E646" s="53"/>
      <c r="F646" s="52">
        <f t="shared" si="163"/>
        <v>2803.2</v>
      </c>
      <c r="G646" s="52">
        <f t="shared" si="163"/>
        <v>2803.2</v>
      </c>
      <c r="H646" s="299">
        <f t="shared" si="155"/>
        <v>0</v>
      </c>
      <c r="I646" s="52">
        <f t="shared" si="164"/>
        <v>2803.2</v>
      </c>
      <c r="J646" s="52">
        <f t="shared" si="164"/>
        <v>2803.2</v>
      </c>
      <c r="K646" s="299">
        <f t="shared" si="145"/>
        <v>0</v>
      </c>
      <c r="L646" s="52">
        <f t="shared" si="164"/>
        <v>2803.2</v>
      </c>
      <c r="M646" s="299">
        <f t="shared" si="157"/>
        <v>0</v>
      </c>
      <c r="N646" s="52">
        <f t="shared" si="165"/>
        <v>2803.2</v>
      </c>
      <c r="O646" s="52">
        <f t="shared" si="165"/>
        <v>2803.2</v>
      </c>
      <c r="P646" s="299">
        <f t="shared" si="158"/>
        <v>0</v>
      </c>
    </row>
    <row r="647" spans="1:16" s="32" customFormat="1" ht="12.75" customHeight="1" x14ac:dyDescent="0.2">
      <c r="A647" s="69" t="s">
        <v>155</v>
      </c>
      <c r="B647" s="53" t="s">
        <v>97</v>
      </c>
      <c r="C647" s="53" t="s">
        <v>45</v>
      </c>
      <c r="D647" s="74" t="s">
        <v>153</v>
      </c>
      <c r="E647" s="53"/>
      <c r="F647" s="52">
        <f>F649+F648</f>
        <v>2803.2</v>
      </c>
      <c r="G647" s="52">
        <f>G649+G648</f>
        <v>2803.2</v>
      </c>
      <c r="H647" s="299">
        <f t="shared" si="155"/>
        <v>0</v>
      </c>
      <c r="I647" s="52">
        <f>I649+I648</f>
        <v>2803.2</v>
      </c>
      <c r="J647" s="52">
        <f>J649+J648</f>
        <v>2803.2</v>
      </c>
      <c r="K647" s="299">
        <f t="shared" si="145"/>
        <v>0</v>
      </c>
      <c r="L647" s="52">
        <f>L649+L648</f>
        <v>2803.2</v>
      </c>
      <c r="M647" s="299">
        <f t="shared" si="157"/>
        <v>0</v>
      </c>
      <c r="N647" s="52">
        <f>N649+N648</f>
        <v>2803.2</v>
      </c>
      <c r="O647" s="52">
        <f>O649+O648</f>
        <v>2803.2</v>
      </c>
      <c r="P647" s="299">
        <f t="shared" si="158"/>
        <v>0</v>
      </c>
    </row>
    <row r="648" spans="1:16" s="32" customFormat="1" ht="27" customHeight="1" x14ac:dyDescent="0.2">
      <c r="A648" s="69" t="s">
        <v>73</v>
      </c>
      <c r="B648" s="53" t="s">
        <v>97</v>
      </c>
      <c r="C648" s="53" t="s">
        <v>45</v>
      </c>
      <c r="D648" s="74" t="s">
        <v>153</v>
      </c>
      <c r="E648" s="53" t="s">
        <v>70</v>
      </c>
      <c r="F648" s="52">
        <v>23</v>
      </c>
      <c r="G648" s="52">
        <v>23</v>
      </c>
      <c r="H648" s="299">
        <f t="shared" si="155"/>
        <v>0</v>
      </c>
      <c r="I648" s="52">
        <v>23</v>
      </c>
      <c r="J648" s="52">
        <v>23</v>
      </c>
      <c r="K648" s="299">
        <f t="shared" si="145"/>
        <v>0</v>
      </c>
      <c r="L648" s="52">
        <v>23</v>
      </c>
      <c r="M648" s="299">
        <f t="shared" si="157"/>
        <v>0</v>
      </c>
      <c r="N648" s="52">
        <v>23</v>
      </c>
      <c r="O648" s="52">
        <v>23</v>
      </c>
      <c r="P648" s="299">
        <f t="shared" si="158"/>
        <v>0</v>
      </c>
    </row>
    <row r="649" spans="1:16" s="32" customFormat="1" ht="14.25" customHeight="1" x14ac:dyDescent="0.2">
      <c r="A649" s="88" t="s">
        <v>154</v>
      </c>
      <c r="B649" s="53" t="s">
        <v>97</v>
      </c>
      <c r="C649" s="53" t="s">
        <v>45</v>
      </c>
      <c r="D649" s="74" t="s">
        <v>153</v>
      </c>
      <c r="E649" s="53" t="s">
        <v>127</v>
      </c>
      <c r="F649" s="52">
        <v>2780.2</v>
      </c>
      <c r="G649" s="52">
        <v>2780.2</v>
      </c>
      <c r="H649" s="299">
        <f t="shared" si="155"/>
        <v>0</v>
      </c>
      <c r="I649" s="52">
        <v>2780.2</v>
      </c>
      <c r="J649" s="52">
        <v>2780.2</v>
      </c>
      <c r="K649" s="299">
        <f t="shared" si="145"/>
        <v>0</v>
      </c>
      <c r="L649" s="52">
        <v>2780.2</v>
      </c>
      <c r="M649" s="299">
        <f t="shared" si="157"/>
        <v>0</v>
      </c>
      <c r="N649" s="52">
        <v>2780.2</v>
      </c>
      <c r="O649" s="52">
        <v>2780.2</v>
      </c>
      <c r="P649" s="299">
        <f t="shared" si="158"/>
        <v>0</v>
      </c>
    </row>
    <row r="650" spans="1:16" s="43" customFormat="1" ht="12.75" customHeight="1" x14ac:dyDescent="0.2">
      <c r="A650" s="87" t="s">
        <v>152</v>
      </c>
      <c r="B650" s="71" t="s">
        <v>97</v>
      </c>
      <c r="C650" s="71" t="s">
        <v>111</v>
      </c>
      <c r="D650" s="71"/>
      <c r="E650" s="71"/>
      <c r="F650" s="44">
        <f>F651+F654+F665+F670+F675</f>
        <v>20048.8</v>
      </c>
      <c r="G650" s="44">
        <f>G651+G654+G665+G670+G675</f>
        <v>20086.599999999999</v>
      </c>
      <c r="H650" s="299">
        <f t="shared" si="155"/>
        <v>37.799999999999272</v>
      </c>
      <c r="I650" s="44">
        <f>I651+I654+I665+I670+I675</f>
        <v>7246.8</v>
      </c>
      <c r="J650" s="44">
        <f>J651+J654+J665+J670+J675</f>
        <v>20315.599999999999</v>
      </c>
      <c r="K650" s="299">
        <f t="shared" si="145"/>
        <v>229</v>
      </c>
      <c r="L650" s="44">
        <f>L651+L654+L665+L670+L675</f>
        <v>7246.8</v>
      </c>
      <c r="M650" s="299">
        <f t="shared" si="157"/>
        <v>0</v>
      </c>
      <c r="N650" s="44">
        <f>N651+N654+N665+N670+N675</f>
        <v>7246.8</v>
      </c>
      <c r="O650" s="44">
        <f>O651+O654+O665+O670+O675</f>
        <v>7246.8</v>
      </c>
      <c r="P650" s="299">
        <f t="shared" si="158"/>
        <v>0</v>
      </c>
    </row>
    <row r="651" spans="1:16" s="32" customFormat="1" ht="15.75" hidden="1" customHeight="1" x14ac:dyDescent="0.2">
      <c r="A651" s="75" t="s">
        <v>151</v>
      </c>
      <c r="B651" s="78" t="s">
        <v>97</v>
      </c>
      <c r="C651" s="78" t="s">
        <v>111</v>
      </c>
      <c r="D651" s="78" t="s">
        <v>150</v>
      </c>
      <c r="E651" s="78"/>
      <c r="F651" s="52">
        <f>F652</f>
        <v>0</v>
      </c>
      <c r="G651" s="52">
        <f>G652</f>
        <v>0</v>
      </c>
      <c r="H651" s="299">
        <f t="shared" si="155"/>
        <v>0</v>
      </c>
      <c r="I651" s="52">
        <f>I652</f>
        <v>0</v>
      </c>
      <c r="J651" s="52">
        <f>J652</f>
        <v>0</v>
      </c>
      <c r="K651" s="299">
        <f t="shared" si="145"/>
        <v>0</v>
      </c>
      <c r="L651" s="52">
        <f>L652</f>
        <v>0</v>
      </c>
      <c r="M651" s="299">
        <f t="shared" si="157"/>
        <v>0</v>
      </c>
      <c r="N651" s="52">
        <f>N652</f>
        <v>0</v>
      </c>
      <c r="O651" s="52">
        <f>O652</f>
        <v>0</v>
      </c>
      <c r="P651" s="299">
        <f t="shared" si="158"/>
        <v>0</v>
      </c>
    </row>
    <row r="652" spans="1:16" s="32" customFormat="1" ht="36.75" hidden="1" customHeight="1" x14ac:dyDescent="0.2">
      <c r="A652" s="75" t="s">
        <v>149</v>
      </c>
      <c r="B652" s="78" t="s">
        <v>97</v>
      </c>
      <c r="C652" s="78" t="s">
        <v>111</v>
      </c>
      <c r="D652" s="78" t="s">
        <v>148</v>
      </c>
      <c r="E652" s="78"/>
      <c r="F652" s="52">
        <f>F653</f>
        <v>0</v>
      </c>
      <c r="G652" s="52">
        <f>G653</f>
        <v>0</v>
      </c>
      <c r="H652" s="299">
        <f t="shared" si="155"/>
        <v>0</v>
      </c>
      <c r="I652" s="52">
        <f>I653</f>
        <v>0</v>
      </c>
      <c r="J652" s="52">
        <f>J653</f>
        <v>0</v>
      </c>
      <c r="K652" s="299">
        <f t="shared" ref="K652:K656" si="166">J652-G652</f>
        <v>0</v>
      </c>
      <c r="L652" s="52">
        <f>L653</f>
        <v>0</v>
      </c>
      <c r="M652" s="299">
        <f t="shared" si="157"/>
        <v>0</v>
      </c>
      <c r="N652" s="52">
        <f>N653</f>
        <v>0</v>
      </c>
      <c r="O652" s="52">
        <f>O653</f>
        <v>0</v>
      </c>
      <c r="P652" s="299">
        <f t="shared" si="158"/>
        <v>0</v>
      </c>
    </row>
    <row r="653" spans="1:16" s="32" customFormat="1" ht="24" hidden="1" customHeight="1" x14ac:dyDescent="0.2">
      <c r="A653" s="75" t="s">
        <v>100</v>
      </c>
      <c r="B653" s="78" t="s">
        <v>97</v>
      </c>
      <c r="C653" s="78" t="s">
        <v>111</v>
      </c>
      <c r="D653" s="78" t="s">
        <v>148</v>
      </c>
      <c r="E653" s="78" t="s">
        <v>99</v>
      </c>
      <c r="F653" s="52">
        <v>0</v>
      </c>
      <c r="G653" s="52">
        <v>0</v>
      </c>
      <c r="H653" s="299">
        <f t="shared" si="155"/>
        <v>0</v>
      </c>
      <c r="I653" s="52">
        <v>0</v>
      </c>
      <c r="J653" s="52">
        <v>0</v>
      </c>
      <c r="K653" s="299">
        <f t="shared" si="166"/>
        <v>0</v>
      </c>
      <c r="L653" s="52">
        <v>0</v>
      </c>
      <c r="M653" s="299">
        <f t="shared" si="157"/>
        <v>0</v>
      </c>
      <c r="N653" s="52">
        <v>0</v>
      </c>
      <c r="O653" s="52">
        <v>0</v>
      </c>
      <c r="P653" s="299">
        <f t="shared" si="158"/>
        <v>0</v>
      </c>
    </row>
    <row r="654" spans="1:16" s="32" customFormat="1" ht="26.25" customHeight="1" x14ac:dyDescent="0.2">
      <c r="A654" s="79" t="s">
        <v>147</v>
      </c>
      <c r="B654" s="53" t="s">
        <v>97</v>
      </c>
      <c r="C654" s="53" t="s">
        <v>111</v>
      </c>
      <c r="D654" s="74" t="s">
        <v>105</v>
      </c>
      <c r="E654" s="53"/>
      <c r="F654" s="52">
        <f>F655</f>
        <v>8067.1</v>
      </c>
      <c r="G654" s="52">
        <f>G655</f>
        <v>8067.1</v>
      </c>
      <c r="H654" s="299">
        <f t="shared" si="155"/>
        <v>0</v>
      </c>
      <c r="I654" s="52">
        <f>I655</f>
        <v>3207.1</v>
      </c>
      <c r="J654" s="52">
        <f>J655</f>
        <v>8067.1</v>
      </c>
      <c r="K654" s="299">
        <f t="shared" si="166"/>
        <v>0</v>
      </c>
      <c r="L654" s="52">
        <f>L655</f>
        <v>3207.1</v>
      </c>
      <c r="M654" s="299">
        <f t="shared" si="157"/>
        <v>0</v>
      </c>
      <c r="N654" s="52">
        <f>N655</f>
        <v>3207.1</v>
      </c>
      <c r="O654" s="52">
        <f>O655</f>
        <v>3207.1</v>
      </c>
      <c r="P654" s="299">
        <f t="shared" si="158"/>
        <v>0</v>
      </c>
    </row>
    <row r="655" spans="1:16" s="32" customFormat="1" ht="15.75" customHeight="1" x14ac:dyDescent="0.2">
      <c r="A655" s="77" t="s">
        <v>52</v>
      </c>
      <c r="B655" s="53" t="s">
        <v>97</v>
      </c>
      <c r="C655" s="53" t="s">
        <v>111</v>
      </c>
      <c r="D655" s="74" t="s">
        <v>104</v>
      </c>
      <c r="E655" s="53"/>
      <c r="F655" s="52">
        <f>F656</f>
        <v>8067.1</v>
      </c>
      <c r="G655" s="52">
        <f>G656</f>
        <v>8067.1</v>
      </c>
      <c r="H655" s="299">
        <f t="shared" si="155"/>
        <v>0</v>
      </c>
      <c r="I655" s="52">
        <f>I656</f>
        <v>3207.1</v>
      </c>
      <c r="J655" s="52">
        <f>J656</f>
        <v>8067.1</v>
      </c>
      <c r="K655" s="299">
        <f t="shared" si="166"/>
        <v>0</v>
      </c>
      <c r="L655" s="52">
        <f>L656</f>
        <v>3207.1</v>
      </c>
      <c r="M655" s="299">
        <f t="shared" si="157"/>
        <v>0</v>
      </c>
      <c r="N655" s="52">
        <f>N656</f>
        <v>3207.1</v>
      </c>
      <c r="O655" s="52">
        <f>O656</f>
        <v>3207.1</v>
      </c>
      <c r="P655" s="299">
        <f t="shared" si="158"/>
        <v>0</v>
      </c>
    </row>
    <row r="656" spans="1:16" s="51" customFormat="1" ht="39.75" customHeight="1" x14ac:dyDescent="0.2">
      <c r="A656" s="77" t="s">
        <v>103</v>
      </c>
      <c r="B656" s="53" t="s">
        <v>97</v>
      </c>
      <c r="C656" s="53" t="s">
        <v>111</v>
      </c>
      <c r="D656" s="74" t="s">
        <v>102</v>
      </c>
      <c r="E656" s="53"/>
      <c r="F656" s="52">
        <f>F657+F663</f>
        <v>8067.1</v>
      </c>
      <c r="G656" s="52">
        <f>G657+G663</f>
        <v>8067.1</v>
      </c>
      <c r="H656" s="299">
        <f t="shared" si="155"/>
        <v>0</v>
      </c>
      <c r="I656" s="52">
        <f>I657+I663</f>
        <v>3207.1</v>
      </c>
      <c r="J656" s="52">
        <f>J657+J663</f>
        <v>8067.1</v>
      </c>
      <c r="K656" s="299">
        <f t="shared" si="166"/>
        <v>0</v>
      </c>
      <c r="L656" s="52">
        <f>L657+L663</f>
        <v>3207.1</v>
      </c>
      <c r="M656" s="299">
        <f t="shared" si="157"/>
        <v>0</v>
      </c>
      <c r="N656" s="52">
        <f>N657+N663</f>
        <v>3207.1</v>
      </c>
      <c r="O656" s="52">
        <f>O657+O663</f>
        <v>3207.1</v>
      </c>
      <c r="P656" s="299">
        <f t="shared" si="158"/>
        <v>0</v>
      </c>
    </row>
    <row r="657" spans="1:16" s="51" customFormat="1" ht="14.25" customHeight="1" x14ac:dyDescent="0.2">
      <c r="A657" s="86" t="s">
        <v>146</v>
      </c>
      <c r="B657" s="53" t="s">
        <v>97</v>
      </c>
      <c r="C657" s="53" t="s">
        <v>111</v>
      </c>
      <c r="D657" s="74" t="s">
        <v>143</v>
      </c>
      <c r="E657" s="53"/>
      <c r="F657" s="52">
        <f>F660+F661+F658+F659+F662</f>
        <v>3207.1</v>
      </c>
      <c r="G657" s="52">
        <f>G660+G661+G658+G659+G662</f>
        <v>3207.1</v>
      </c>
      <c r="H657" s="299">
        <f t="shared" si="155"/>
        <v>0</v>
      </c>
      <c r="I657" s="52">
        <f>I660+I661+I658+I659+I662</f>
        <v>3207.1</v>
      </c>
      <c r="J657" s="52">
        <f>J660+J661+J658+J659+J662</f>
        <v>3207.1</v>
      </c>
      <c r="K657" s="299">
        <f t="shared" ref="K657:K721" si="167">J657-G657</f>
        <v>0</v>
      </c>
      <c r="L657" s="52">
        <f>L660+L661+L658+L659+L662</f>
        <v>3207.1</v>
      </c>
      <c r="M657" s="299">
        <f t="shared" si="157"/>
        <v>0</v>
      </c>
      <c r="N657" s="52">
        <f>N660+N661+N658+N659+N662</f>
        <v>3207.1</v>
      </c>
      <c r="O657" s="52">
        <f>O660+O661+O658+O659+O662</f>
        <v>3207.1</v>
      </c>
      <c r="P657" s="299">
        <f t="shared" si="158"/>
        <v>0</v>
      </c>
    </row>
    <row r="658" spans="1:16" s="51" customFormat="1" ht="14.25" customHeight="1" x14ac:dyDescent="0.2">
      <c r="A658" s="85" t="s">
        <v>145</v>
      </c>
      <c r="B658" s="53" t="s">
        <v>97</v>
      </c>
      <c r="C658" s="53" t="s">
        <v>111</v>
      </c>
      <c r="D658" s="74" t="s">
        <v>143</v>
      </c>
      <c r="E658" s="53" t="s">
        <v>144</v>
      </c>
      <c r="F658" s="52">
        <v>540</v>
      </c>
      <c r="G658" s="52">
        <v>540</v>
      </c>
      <c r="H658" s="299">
        <f t="shared" si="155"/>
        <v>0</v>
      </c>
      <c r="I658" s="52">
        <v>540</v>
      </c>
      <c r="J658" s="52">
        <v>540</v>
      </c>
      <c r="K658" s="299">
        <f t="shared" si="167"/>
        <v>0</v>
      </c>
      <c r="L658" s="52">
        <v>540</v>
      </c>
      <c r="M658" s="299">
        <f t="shared" si="157"/>
        <v>0</v>
      </c>
      <c r="N658" s="52">
        <v>540</v>
      </c>
      <c r="O658" s="52">
        <v>540</v>
      </c>
      <c r="P658" s="299">
        <f t="shared" si="158"/>
        <v>0</v>
      </c>
    </row>
    <row r="659" spans="1:16" s="51" customFormat="1" ht="25.5" customHeight="1" x14ac:dyDescent="0.2">
      <c r="A659" s="69" t="s">
        <v>73</v>
      </c>
      <c r="B659" s="53" t="s">
        <v>97</v>
      </c>
      <c r="C659" s="53" t="s">
        <v>111</v>
      </c>
      <c r="D659" s="74" t="s">
        <v>143</v>
      </c>
      <c r="E659" s="53" t="s">
        <v>70</v>
      </c>
      <c r="F659" s="52">
        <v>18</v>
      </c>
      <c r="G659" s="52">
        <v>18</v>
      </c>
      <c r="H659" s="299">
        <f t="shared" si="155"/>
        <v>0</v>
      </c>
      <c r="I659" s="52">
        <v>18</v>
      </c>
      <c r="J659" s="52">
        <v>18</v>
      </c>
      <c r="K659" s="299">
        <f t="shared" si="167"/>
        <v>0</v>
      </c>
      <c r="L659" s="52">
        <v>18</v>
      </c>
      <c r="M659" s="299">
        <f t="shared" si="157"/>
        <v>0</v>
      </c>
      <c r="N659" s="52">
        <v>18</v>
      </c>
      <c r="O659" s="52">
        <v>18</v>
      </c>
      <c r="P659" s="299">
        <f t="shared" si="158"/>
        <v>0</v>
      </c>
    </row>
    <row r="660" spans="1:16" s="51" customFormat="1" ht="24.75" customHeight="1" x14ac:dyDescent="0.2">
      <c r="A660" s="75" t="s">
        <v>100</v>
      </c>
      <c r="B660" s="53" t="s">
        <v>97</v>
      </c>
      <c r="C660" s="53" t="s">
        <v>111</v>
      </c>
      <c r="D660" s="74" t="s">
        <v>143</v>
      </c>
      <c r="E660" s="53" t="s">
        <v>99</v>
      </c>
      <c r="F660" s="52">
        <v>1800</v>
      </c>
      <c r="G660" s="52">
        <v>1800</v>
      </c>
      <c r="H660" s="299">
        <f t="shared" si="155"/>
        <v>0</v>
      </c>
      <c r="I660" s="52">
        <v>1800</v>
      </c>
      <c r="J660" s="52">
        <v>1800</v>
      </c>
      <c r="K660" s="299">
        <f t="shared" si="167"/>
        <v>0</v>
      </c>
      <c r="L660" s="52">
        <v>1800</v>
      </c>
      <c r="M660" s="299">
        <f t="shared" si="157"/>
        <v>0</v>
      </c>
      <c r="N660" s="52">
        <v>1800</v>
      </c>
      <c r="O660" s="52">
        <v>1800</v>
      </c>
      <c r="P660" s="299">
        <f t="shared" si="158"/>
        <v>0</v>
      </c>
    </row>
    <row r="661" spans="1:16" s="51" customFormat="1" ht="17.25" customHeight="1" x14ac:dyDescent="0.2">
      <c r="A661" s="75" t="s">
        <v>98</v>
      </c>
      <c r="B661" s="53" t="s">
        <v>97</v>
      </c>
      <c r="C661" s="53" t="s">
        <v>111</v>
      </c>
      <c r="D661" s="74" t="s">
        <v>143</v>
      </c>
      <c r="E661" s="53" t="s">
        <v>81</v>
      </c>
      <c r="F661" s="52">
        <v>499.1</v>
      </c>
      <c r="G661" s="52">
        <v>499.1</v>
      </c>
      <c r="H661" s="299">
        <f t="shared" si="155"/>
        <v>0</v>
      </c>
      <c r="I661" s="52">
        <v>499.1</v>
      </c>
      <c r="J661" s="52">
        <v>499.1</v>
      </c>
      <c r="K661" s="299">
        <f t="shared" si="167"/>
        <v>0</v>
      </c>
      <c r="L661" s="52">
        <v>499.1</v>
      </c>
      <c r="M661" s="299">
        <f t="shared" si="157"/>
        <v>0</v>
      </c>
      <c r="N661" s="52">
        <v>499.1</v>
      </c>
      <c r="O661" s="52">
        <v>499.1</v>
      </c>
      <c r="P661" s="299">
        <f t="shared" si="158"/>
        <v>0</v>
      </c>
    </row>
    <row r="662" spans="1:16" s="51" customFormat="1" ht="15" customHeight="1" x14ac:dyDescent="0.2">
      <c r="A662" s="64" t="s">
        <v>87</v>
      </c>
      <c r="B662" s="53" t="s">
        <v>97</v>
      </c>
      <c r="C662" s="53" t="s">
        <v>111</v>
      </c>
      <c r="D662" s="74" t="s">
        <v>143</v>
      </c>
      <c r="E662" s="53" t="s">
        <v>57</v>
      </c>
      <c r="F662" s="52">
        <v>350</v>
      </c>
      <c r="G662" s="52">
        <v>350</v>
      </c>
      <c r="H662" s="299">
        <f t="shared" si="155"/>
        <v>0</v>
      </c>
      <c r="I662" s="52">
        <v>350</v>
      </c>
      <c r="J662" s="52">
        <v>350</v>
      </c>
      <c r="K662" s="299">
        <f t="shared" si="167"/>
        <v>0</v>
      </c>
      <c r="L662" s="52">
        <v>350</v>
      </c>
      <c r="M662" s="299">
        <f t="shared" si="157"/>
        <v>0</v>
      </c>
      <c r="N662" s="52">
        <v>350</v>
      </c>
      <c r="O662" s="52">
        <v>350</v>
      </c>
      <c r="P662" s="299">
        <f t="shared" si="158"/>
        <v>0</v>
      </c>
    </row>
    <row r="663" spans="1:16" s="51" customFormat="1" ht="24.75" customHeight="1" x14ac:dyDescent="0.2">
      <c r="A663" s="76" t="s">
        <v>101</v>
      </c>
      <c r="B663" s="53" t="s">
        <v>97</v>
      </c>
      <c r="C663" s="53" t="s">
        <v>111</v>
      </c>
      <c r="D663" s="74" t="s">
        <v>95</v>
      </c>
      <c r="E663" s="53"/>
      <c r="F663" s="52">
        <f>F664</f>
        <v>4860</v>
      </c>
      <c r="G663" s="52">
        <f>G664</f>
        <v>4860</v>
      </c>
      <c r="H663" s="299">
        <f t="shared" si="155"/>
        <v>0</v>
      </c>
      <c r="I663" s="52">
        <f>I664</f>
        <v>0</v>
      </c>
      <c r="J663" s="52">
        <f>J664</f>
        <v>4860</v>
      </c>
      <c r="K663" s="299">
        <f t="shared" si="167"/>
        <v>0</v>
      </c>
      <c r="L663" s="52">
        <f>L664</f>
        <v>0</v>
      </c>
      <c r="M663" s="299">
        <f t="shared" si="157"/>
        <v>0</v>
      </c>
      <c r="N663" s="52">
        <f>N664</f>
        <v>0</v>
      </c>
      <c r="O663" s="52">
        <f>O664</f>
        <v>0</v>
      </c>
      <c r="P663" s="299">
        <f t="shared" si="158"/>
        <v>0</v>
      </c>
    </row>
    <row r="664" spans="1:16" s="51" customFormat="1" ht="17.25" customHeight="1" x14ac:dyDescent="0.2">
      <c r="A664" s="75" t="s">
        <v>129</v>
      </c>
      <c r="B664" s="53" t="s">
        <v>97</v>
      </c>
      <c r="C664" s="53" t="s">
        <v>111</v>
      </c>
      <c r="D664" s="74" t="s">
        <v>95</v>
      </c>
      <c r="E664" s="73" t="s">
        <v>127</v>
      </c>
      <c r="F664" s="52">
        <v>4860</v>
      </c>
      <c r="G664" s="52">
        <v>4860</v>
      </c>
      <c r="H664" s="299">
        <f t="shared" si="155"/>
        <v>0</v>
      </c>
      <c r="I664" s="52">
        <v>0</v>
      </c>
      <c r="J664" s="52">
        <v>4860</v>
      </c>
      <c r="K664" s="299">
        <f t="shared" si="167"/>
        <v>0</v>
      </c>
      <c r="L664" s="52">
        <v>0</v>
      </c>
      <c r="M664" s="299">
        <f t="shared" si="157"/>
        <v>0</v>
      </c>
      <c r="N664" s="52">
        <v>0</v>
      </c>
      <c r="O664" s="52">
        <v>0</v>
      </c>
      <c r="P664" s="299">
        <f t="shared" si="158"/>
        <v>0</v>
      </c>
    </row>
    <row r="665" spans="1:16" s="51" customFormat="1" ht="24.75" customHeight="1" x14ac:dyDescent="0.2">
      <c r="A665" s="64" t="s">
        <v>142</v>
      </c>
      <c r="B665" s="53" t="s">
        <v>97</v>
      </c>
      <c r="C665" s="53" t="s">
        <v>111</v>
      </c>
      <c r="D665" s="54" t="s">
        <v>141</v>
      </c>
      <c r="E665" s="53"/>
      <c r="F665" s="52">
        <f t="shared" ref="F665:G668" si="168">F666</f>
        <v>1461.6</v>
      </c>
      <c r="G665" s="52">
        <f t="shared" si="168"/>
        <v>1461.6</v>
      </c>
      <c r="H665" s="299">
        <f t="shared" si="155"/>
        <v>0</v>
      </c>
      <c r="I665" s="52">
        <f t="shared" ref="I665:L668" si="169">I666</f>
        <v>1461.6</v>
      </c>
      <c r="J665" s="52">
        <f t="shared" si="169"/>
        <v>1461.6</v>
      </c>
      <c r="K665" s="299">
        <f t="shared" si="167"/>
        <v>0</v>
      </c>
      <c r="L665" s="52">
        <f t="shared" si="169"/>
        <v>1461.6</v>
      </c>
      <c r="M665" s="299">
        <f t="shared" si="157"/>
        <v>0</v>
      </c>
      <c r="N665" s="52">
        <f t="shared" ref="N665:O668" si="170">N666</f>
        <v>1461.6</v>
      </c>
      <c r="O665" s="52">
        <f t="shared" si="170"/>
        <v>1461.6</v>
      </c>
      <c r="P665" s="299">
        <f t="shared" si="158"/>
        <v>0</v>
      </c>
    </row>
    <row r="666" spans="1:16" s="51" customFormat="1" ht="14.25" customHeight="1" x14ac:dyDescent="0.2">
      <c r="A666" s="56" t="s">
        <v>52</v>
      </c>
      <c r="B666" s="53" t="s">
        <v>97</v>
      </c>
      <c r="C666" s="53" t="s">
        <v>111</v>
      </c>
      <c r="D666" s="54" t="s">
        <v>140</v>
      </c>
      <c r="E666" s="53"/>
      <c r="F666" s="52">
        <f t="shared" si="168"/>
        <v>1461.6</v>
      </c>
      <c r="G666" s="52">
        <f t="shared" si="168"/>
        <v>1461.6</v>
      </c>
      <c r="H666" s="299">
        <f t="shared" si="155"/>
        <v>0</v>
      </c>
      <c r="I666" s="52">
        <f t="shared" si="169"/>
        <v>1461.6</v>
      </c>
      <c r="J666" s="52">
        <f t="shared" si="169"/>
        <v>1461.6</v>
      </c>
      <c r="K666" s="299">
        <f t="shared" si="167"/>
        <v>0</v>
      </c>
      <c r="L666" s="52">
        <f t="shared" si="169"/>
        <v>1461.6</v>
      </c>
      <c r="M666" s="299">
        <f t="shared" si="157"/>
        <v>0</v>
      </c>
      <c r="N666" s="52">
        <f t="shared" si="170"/>
        <v>1461.6</v>
      </c>
      <c r="O666" s="52">
        <f t="shared" si="170"/>
        <v>1461.6</v>
      </c>
      <c r="P666" s="299">
        <f t="shared" si="158"/>
        <v>0</v>
      </c>
    </row>
    <row r="667" spans="1:16" s="51" customFormat="1" ht="26.25" customHeight="1" x14ac:dyDescent="0.2">
      <c r="A667" s="84" t="s">
        <v>139</v>
      </c>
      <c r="B667" s="53" t="s">
        <v>97</v>
      </c>
      <c r="C667" s="53" t="s">
        <v>111</v>
      </c>
      <c r="D667" s="83" t="s">
        <v>138</v>
      </c>
      <c r="E667" s="53"/>
      <c r="F667" s="52">
        <f t="shared" si="168"/>
        <v>1461.6</v>
      </c>
      <c r="G667" s="52">
        <f t="shared" si="168"/>
        <v>1461.6</v>
      </c>
      <c r="H667" s="299">
        <f t="shared" si="155"/>
        <v>0</v>
      </c>
      <c r="I667" s="52">
        <f t="shared" si="169"/>
        <v>1461.6</v>
      </c>
      <c r="J667" s="52">
        <f t="shared" si="169"/>
        <v>1461.6</v>
      </c>
      <c r="K667" s="299">
        <f t="shared" si="167"/>
        <v>0</v>
      </c>
      <c r="L667" s="52">
        <f t="shared" si="169"/>
        <v>1461.6</v>
      </c>
      <c r="M667" s="299">
        <f t="shared" si="157"/>
        <v>0</v>
      </c>
      <c r="N667" s="52">
        <f t="shared" si="170"/>
        <v>1461.6</v>
      </c>
      <c r="O667" s="52">
        <f t="shared" si="170"/>
        <v>1461.6</v>
      </c>
      <c r="P667" s="299">
        <f t="shared" si="158"/>
        <v>0</v>
      </c>
    </row>
    <row r="668" spans="1:16" s="51" customFormat="1" ht="38.25" customHeight="1" x14ac:dyDescent="0.2">
      <c r="A668" s="82" t="s">
        <v>137</v>
      </c>
      <c r="B668" s="53" t="s">
        <v>97</v>
      </c>
      <c r="C668" s="53" t="s">
        <v>111</v>
      </c>
      <c r="D668" s="54" t="s">
        <v>136</v>
      </c>
      <c r="E668" s="53"/>
      <c r="F668" s="52">
        <f t="shared" si="168"/>
        <v>1461.6</v>
      </c>
      <c r="G668" s="52">
        <f t="shared" si="168"/>
        <v>1461.6</v>
      </c>
      <c r="H668" s="299">
        <f t="shared" si="155"/>
        <v>0</v>
      </c>
      <c r="I668" s="52">
        <f t="shared" si="169"/>
        <v>1461.6</v>
      </c>
      <c r="J668" s="52">
        <f t="shared" si="169"/>
        <v>1461.6</v>
      </c>
      <c r="K668" s="299">
        <f t="shared" si="167"/>
        <v>0</v>
      </c>
      <c r="L668" s="52">
        <f t="shared" si="169"/>
        <v>1461.6</v>
      </c>
      <c r="M668" s="299">
        <f t="shared" si="157"/>
        <v>0</v>
      </c>
      <c r="N668" s="52">
        <f t="shared" si="170"/>
        <v>1461.6</v>
      </c>
      <c r="O668" s="52">
        <f t="shared" si="170"/>
        <v>1461.6</v>
      </c>
      <c r="P668" s="299">
        <f t="shared" si="158"/>
        <v>0</v>
      </c>
    </row>
    <row r="669" spans="1:16" s="51" customFormat="1" ht="18" customHeight="1" x14ac:dyDescent="0.2">
      <c r="A669" s="64" t="s">
        <v>129</v>
      </c>
      <c r="B669" s="53" t="s">
        <v>97</v>
      </c>
      <c r="C669" s="53" t="s">
        <v>111</v>
      </c>
      <c r="D669" s="54" t="s">
        <v>136</v>
      </c>
      <c r="E669" s="53" t="s">
        <v>127</v>
      </c>
      <c r="F669" s="52">
        <v>1461.6</v>
      </c>
      <c r="G669" s="52">
        <v>1461.6</v>
      </c>
      <c r="H669" s="299">
        <f t="shared" si="155"/>
        <v>0</v>
      </c>
      <c r="I669" s="52">
        <v>1461.6</v>
      </c>
      <c r="J669" s="52">
        <v>1461.6</v>
      </c>
      <c r="K669" s="299">
        <f t="shared" si="167"/>
        <v>0</v>
      </c>
      <c r="L669" s="52">
        <v>1461.6</v>
      </c>
      <c r="M669" s="299">
        <f t="shared" si="157"/>
        <v>0</v>
      </c>
      <c r="N669" s="52">
        <v>1461.6</v>
      </c>
      <c r="O669" s="52">
        <v>1461.6</v>
      </c>
      <c r="P669" s="299">
        <f t="shared" si="158"/>
        <v>0</v>
      </c>
    </row>
    <row r="670" spans="1:16" s="51" customFormat="1" ht="40.5" customHeight="1" x14ac:dyDescent="0.2">
      <c r="A670" s="64" t="s">
        <v>135</v>
      </c>
      <c r="B670" s="53" t="s">
        <v>97</v>
      </c>
      <c r="C670" s="53" t="s">
        <v>111</v>
      </c>
      <c r="D670" s="54" t="s">
        <v>134</v>
      </c>
      <c r="E670" s="53"/>
      <c r="F670" s="52">
        <f t="shared" ref="F670:G673" si="171">F671</f>
        <v>2925.4</v>
      </c>
      <c r="G670" s="52">
        <f t="shared" si="171"/>
        <v>2925.4</v>
      </c>
      <c r="H670" s="299">
        <f t="shared" si="155"/>
        <v>0</v>
      </c>
      <c r="I670" s="52">
        <f t="shared" ref="I670:L673" si="172">I671</f>
        <v>1116.8</v>
      </c>
      <c r="J670" s="52">
        <f t="shared" si="172"/>
        <v>2925.4</v>
      </c>
      <c r="K670" s="299">
        <f t="shared" si="167"/>
        <v>0</v>
      </c>
      <c r="L670" s="52">
        <f t="shared" si="172"/>
        <v>1116.8</v>
      </c>
      <c r="M670" s="299">
        <f t="shared" si="157"/>
        <v>0</v>
      </c>
      <c r="N670" s="52">
        <f t="shared" ref="N670:O673" si="173">N671</f>
        <v>1116.8</v>
      </c>
      <c r="O670" s="52">
        <f t="shared" si="173"/>
        <v>1116.8</v>
      </c>
      <c r="P670" s="299">
        <f t="shared" si="158"/>
        <v>0</v>
      </c>
    </row>
    <row r="671" spans="1:16" s="51" customFormat="1" ht="18" customHeight="1" x14ac:dyDescent="0.2">
      <c r="A671" s="56" t="s">
        <v>52</v>
      </c>
      <c r="B671" s="53" t="s">
        <v>97</v>
      </c>
      <c r="C671" s="53" t="s">
        <v>111</v>
      </c>
      <c r="D671" s="54" t="s">
        <v>133</v>
      </c>
      <c r="E671" s="53"/>
      <c r="F671" s="52">
        <f t="shared" si="171"/>
        <v>2925.4</v>
      </c>
      <c r="G671" s="52">
        <f t="shared" si="171"/>
        <v>2925.4</v>
      </c>
      <c r="H671" s="299">
        <f t="shared" si="155"/>
        <v>0</v>
      </c>
      <c r="I671" s="52">
        <f t="shared" si="172"/>
        <v>1116.8</v>
      </c>
      <c r="J671" s="52">
        <f t="shared" si="172"/>
        <v>2925.4</v>
      </c>
      <c r="K671" s="299">
        <f t="shared" si="167"/>
        <v>0</v>
      </c>
      <c r="L671" s="52">
        <f t="shared" si="172"/>
        <v>1116.8</v>
      </c>
      <c r="M671" s="299">
        <f t="shared" si="157"/>
        <v>0</v>
      </c>
      <c r="N671" s="52">
        <f t="shared" si="173"/>
        <v>1116.8</v>
      </c>
      <c r="O671" s="52">
        <f t="shared" si="173"/>
        <v>1116.8</v>
      </c>
      <c r="P671" s="299">
        <f t="shared" si="158"/>
        <v>0</v>
      </c>
    </row>
    <row r="672" spans="1:16" s="51" customFormat="1" ht="53.25" customHeight="1" x14ac:dyDescent="0.2">
      <c r="A672" s="56" t="s">
        <v>132</v>
      </c>
      <c r="B672" s="53" t="s">
        <v>97</v>
      </c>
      <c r="C672" s="53" t="s">
        <v>111</v>
      </c>
      <c r="D672" s="54" t="s">
        <v>131</v>
      </c>
      <c r="E672" s="53"/>
      <c r="F672" s="52">
        <f t="shared" si="171"/>
        <v>2925.4</v>
      </c>
      <c r="G672" s="52">
        <f t="shared" si="171"/>
        <v>2925.4</v>
      </c>
      <c r="H672" s="299">
        <f t="shared" si="155"/>
        <v>0</v>
      </c>
      <c r="I672" s="52">
        <f t="shared" si="172"/>
        <v>1116.8</v>
      </c>
      <c r="J672" s="52">
        <f t="shared" si="172"/>
        <v>2925.4</v>
      </c>
      <c r="K672" s="299">
        <f t="shared" si="167"/>
        <v>0</v>
      </c>
      <c r="L672" s="52">
        <f t="shared" si="172"/>
        <v>1116.8</v>
      </c>
      <c r="M672" s="299">
        <f t="shared" si="157"/>
        <v>0</v>
      </c>
      <c r="N672" s="52">
        <f t="shared" si="173"/>
        <v>1116.8</v>
      </c>
      <c r="O672" s="52">
        <f t="shared" si="173"/>
        <v>1116.8</v>
      </c>
      <c r="P672" s="299">
        <f t="shared" si="158"/>
        <v>0</v>
      </c>
    </row>
    <row r="673" spans="1:16" s="51" customFormat="1" ht="66" customHeight="1" x14ac:dyDescent="0.2">
      <c r="A673" s="56" t="s">
        <v>130</v>
      </c>
      <c r="B673" s="53" t="s">
        <v>97</v>
      </c>
      <c r="C673" s="53" t="s">
        <v>111</v>
      </c>
      <c r="D673" s="54" t="s">
        <v>128</v>
      </c>
      <c r="E673" s="53"/>
      <c r="F673" s="52">
        <f t="shared" si="171"/>
        <v>2925.4</v>
      </c>
      <c r="G673" s="52">
        <f t="shared" si="171"/>
        <v>2925.4</v>
      </c>
      <c r="H673" s="299">
        <f t="shared" si="155"/>
        <v>0</v>
      </c>
      <c r="I673" s="52">
        <f t="shared" si="172"/>
        <v>1116.8</v>
      </c>
      <c r="J673" s="52">
        <f t="shared" si="172"/>
        <v>2925.4</v>
      </c>
      <c r="K673" s="299">
        <f t="shared" si="167"/>
        <v>0</v>
      </c>
      <c r="L673" s="52">
        <f t="shared" si="172"/>
        <v>1116.8</v>
      </c>
      <c r="M673" s="299">
        <f t="shared" si="157"/>
        <v>0</v>
      </c>
      <c r="N673" s="52">
        <f t="shared" si="173"/>
        <v>1116.8</v>
      </c>
      <c r="O673" s="52">
        <f t="shared" si="173"/>
        <v>1116.8</v>
      </c>
      <c r="P673" s="299">
        <f t="shared" si="158"/>
        <v>0</v>
      </c>
    </row>
    <row r="674" spans="1:16" s="51" customFormat="1" ht="15.75" customHeight="1" x14ac:dyDescent="0.2">
      <c r="A674" s="64" t="s">
        <v>129</v>
      </c>
      <c r="B674" s="53" t="s">
        <v>97</v>
      </c>
      <c r="C674" s="53" t="s">
        <v>111</v>
      </c>
      <c r="D674" s="54" t="s">
        <v>128</v>
      </c>
      <c r="E674" s="53" t="s">
        <v>127</v>
      </c>
      <c r="F674" s="52">
        <v>2925.4</v>
      </c>
      <c r="G674" s="52">
        <v>2925.4</v>
      </c>
      <c r="H674" s="299">
        <f t="shared" si="155"/>
        <v>0</v>
      </c>
      <c r="I674" s="52">
        <v>1116.8</v>
      </c>
      <c r="J674" s="52">
        <v>2925.4</v>
      </c>
      <c r="K674" s="299">
        <f t="shared" si="167"/>
        <v>0</v>
      </c>
      <c r="L674" s="52">
        <v>1116.8</v>
      </c>
      <c r="M674" s="299">
        <f t="shared" si="157"/>
        <v>0</v>
      </c>
      <c r="N674" s="52">
        <v>1116.8</v>
      </c>
      <c r="O674" s="52">
        <v>1116.8</v>
      </c>
      <c r="P674" s="299">
        <f t="shared" si="158"/>
        <v>0</v>
      </c>
    </row>
    <row r="675" spans="1:16" s="51" customFormat="1" ht="38.25" customHeight="1" x14ac:dyDescent="0.2">
      <c r="A675" s="64" t="s">
        <v>126</v>
      </c>
      <c r="B675" s="53" t="s">
        <v>97</v>
      </c>
      <c r="C675" s="53" t="s">
        <v>111</v>
      </c>
      <c r="D675" s="54" t="s">
        <v>125</v>
      </c>
      <c r="E675" s="53"/>
      <c r="F675" s="52">
        <f>F676+F683</f>
        <v>7594.7</v>
      </c>
      <c r="G675" s="52">
        <f>G676+G683</f>
        <v>7632.5</v>
      </c>
      <c r="H675" s="299">
        <f t="shared" si="155"/>
        <v>37.800000000000182</v>
      </c>
      <c r="I675" s="52">
        <f>I676+I683</f>
        <v>1461.3</v>
      </c>
      <c r="J675" s="52">
        <f>J676+J683</f>
        <v>7861.5</v>
      </c>
      <c r="K675" s="299">
        <f t="shared" si="167"/>
        <v>229</v>
      </c>
      <c r="L675" s="52">
        <f>L676+L683</f>
        <v>1461.3</v>
      </c>
      <c r="M675" s="299">
        <f t="shared" si="157"/>
        <v>0</v>
      </c>
      <c r="N675" s="52">
        <f>N676+N683</f>
        <v>1461.3</v>
      </c>
      <c r="O675" s="52">
        <f>O676+O683</f>
        <v>1461.3</v>
      </c>
      <c r="P675" s="299">
        <f t="shared" si="158"/>
        <v>0</v>
      </c>
    </row>
    <row r="676" spans="1:16" s="51" customFormat="1" ht="20.25" customHeight="1" x14ac:dyDescent="0.2">
      <c r="A676" s="56" t="s">
        <v>66</v>
      </c>
      <c r="B676" s="53" t="s">
        <v>97</v>
      </c>
      <c r="C676" s="53" t="s">
        <v>111</v>
      </c>
      <c r="D676" s="54" t="s">
        <v>124</v>
      </c>
      <c r="E676" s="53"/>
      <c r="F676" s="52">
        <f>F677+F680</f>
        <v>7594.7</v>
      </c>
      <c r="G676" s="52">
        <f>G677+G680</f>
        <v>7632.5</v>
      </c>
      <c r="H676" s="299">
        <f t="shared" si="155"/>
        <v>37.800000000000182</v>
      </c>
      <c r="I676" s="52">
        <f>I677+I680</f>
        <v>1461.3</v>
      </c>
      <c r="J676" s="52">
        <f>J677+J680</f>
        <v>7861.5</v>
      </c>
      <c r="K676" s="299">
        <f t="shared" si="167"/>
        <v>229</v>
      </c>
      <c r="L676" s="52">
        <f>L677+L680</f>
        <v>1461.3</v>
      </c>
      <c r="M676" s="299">
        <f t="shared" si="157"/>
        <v>0</v>
      </c>
      <c r="N676" s="52">
        <f>N677+N680</f>
        <v>1461.3</v>
      </c>
      <c r="O676" s="52">
        <f>O677+O680</f>
        <v>1461.3</v>
      </c>
      <c r="P676" s="299">
        <f t="shared" si="158"/>
        <v>0</v>
      </c>
    </row>
    <row r="677" spans="1:16" s="51" customFormat="1" ht="38.25" customHeight="1" x14ac:dyDescent="0.2">
      <c r="A677" s="62" t="s">
        <v>123</v>
      </c>
      <c r="B677" s="60" t="s">
        <v>97</v>
      </c>
      <c r="C677" s="60" t="s">
        <v>111</v>
      </c>
      <c r="D677" s="54" t="s">
        <v>122</v>
      </c>
      <c r="E677" s="60"/>
      <c r="F677" s="52">
        <f>F678</f>
        <v>567</v>
      </c>
      <c r="G677" s="52">
        <f>G678</f>
        <v>604.79999999999995</v>
      </c>
      <c r="H677" s="299">
        <f t="shared" si="155"/>
        <v>37.799999999999955</v>
      </c>
      <c r="I677" s="52">
        <f>I678</f>
        <v>1461.3</v>
      </c>
      <c r="J677" s="52">
        <f>J678</f>
        <v>661.5</v>
      </c>
      <c r="K677" s="299">
        <f t="shared" si="167"/>
        <v>56.700000000000045</v>
      </c>
      <c r="L677" s="52">
        <f>L678</f>
        <v>1461.3</v>
      </c>
      <c r="M677" s="299">
        <f t="shared" si="157"/>
        <v>0</v>
      </c>
      <c r="N677" s="52">
        <f>N678</f>
        <v>1461.3</v>
      </c>
      <c r="O677" s="52">
        <f>O678</f>
        <v>1461.3</v>
      </c>
      <c r="P677" s="299">
        <f t="shared" si="158"/>
        <v>0</v>
      </c>
    </row>
    <row r="678" spans="1:16" s="51" customFormat="1" ht="14.25" customHeight="1" x14ac:dyDescent="0.2">
      <c r="A678" s="68" t="s">
        <v>121</v>
      </c>
      <c r="B678" s="60" t="s">
        <v>97</v>
      </c>
      <c r="C678" s="60" t="s">
        <v>111</v>
      </c>
      <c r="D678" s="54" t="s">
        <v>120</v>
      </c>
      <c r="E678" s="60"/>
      <c r="F678" s="52">
        <f>F679</f>
        <v>567</v>
      </c>
      <c r="G678" s="52">
        <f>G679</f>
        <v>604.79999999999995</v>
      </c>
      <c r="H678" s="299">
        <f t="shared" si="155"/>
        <v>37.799999999999955</v>
      </c>
      <c r="I678" s="52">
        <f>I679</f>
        <v>1461.3</v>
      </c>
      <c r="J678" s="52">
        <f>J679</f>
        <v>661.5</v>
      </c>
      <c r="K678" s="299">
        <f t="shared" si="167"/>
        <v>56.700000000000045</v>
      </c>
      <c r="L678" s="52">
        <f>L679</f>
        <v>1461.3</v>
      </c>
      <c r="M678" s="299">
        <f t="shared" si="157"/>
        <v>0</v>
      </c>
      <c r="N678" s="52">
        <f>N679</f>
        <v>1461.3</v>
      </c>
      <c r="O678" s="52">
        <f>O679</f>
        <v>1461.3</v>
      </c>
      <c r="P678" s="299">
        <f t="shared" si="158"/>
        <v>0</v>
      </c>
    </row>
    <row r="679" spans="1:16" s="51" customFormat="1" ht="27" customHeight="1" x14ac:dyDescent="0.2">
      <c r="A679" s="64" t="s">
        <v>100</v>
      </c>
      <c r="B679" s="60" t="s">
        <v>97</v>
      </c>
      <c r="C679" s="60" t="s">
        <v>111</v>
      </c>
      <c r="D679" s="54" t="s">
        <v>120</v>
      </c>
      <c r="E679" s="60" t="s">
        <v>99</v>
      </c>
      <c r="F679" s="52">
        <f>174+566.8+166.2-340</f>
        <v>567</v>
      </c>
      <c r="G679" s="52">
        <f>567+37.8</f>
        <v>604.79999999999995</v>
      </c>
      <c r="H679" s="299">
        <f t="shared" si="155"/>
        <v>37.799999999999955</v>
      </c>
      <c r="I679" s="52">
        <f>519.6+566.5+375.2</f>
        <v>1461.3</v>
      </c>
      <c r="J679" s="52">
        <f>604.8+56.7</f>
        <v>661.5</v>
      </c>
      <c r="K679" s="299">
        <f t="shared" si="167"/>
        <v>56.700000000000045</v>
      </c>
      <c r="L679" s="52">
        <f>519.6+566.5+375.2</f>
        <v>1461.3</v>
      </c>
      <c r="M679" s="299">
        <f t="shared" si="157"/>
        <v>0</v>
      </c>
      <c r="N679" s="65">
        <f>519.6+566.5+375.2</f>
        <v>1461.3</v>
      </c>
      <c r="O679" s="65">
        <f>519.6+566.5+375.2</f>
        <v>1461.3</v>
      </c>
      <c r="P679" s="299">
        <f t="shared" si="158"/>
        <v>0</v>
      </c>
    </row>
    <row r="680" spans="1:16" s="51" customFormat="1" ht="25.5" customHeight="1" x14ac:dyDescent="0.2">
      <c r="A680" s="62" t="s">
        <v>119</v>
      </c>
      <c r="B680" s="60" t="s">
        <v>97</v>
      </c>
      <c r="C680" s="60" t="s">
        <v>111</v>
      </c>
      <c r="D680" s="54" t="s">
        <v>118</v>
      </c>
      <c r="E680" s="60"/>
      <c r="F680" s="52">
        <f>F681</f>
        <v>7027.7</v>
      </c>
      <c r="G680" s="52">
        <f>G681</f>
        <v>7027.7</v>
      </c>
      <c r="H680" s="299">
        <f t="shared" si="155"/>
        <v>0</v>
      </c>
      <c r="I680" s="52">
        <f>I681</f>
        <v>0</v>
      </c>
      <c r="J680" s="52">
        <f>J681</f>
        <v>7200</v>
      </c>
      <c r="K680" s="299">
        <f t="shared" si="167"/>
        <v>172.30000000000018</v>
      </c>
      <c r="L680" s="52">
        <f>L681</f>
        <v>0</v>
      </c>
      <c r="M680" s="299">
        <f t="shared" si="157"/>
        <v>0</v>
      </c>
      <c r="N680" s="52">
        <f>N681</f>
        <v>0</v>
      </c>
      <c r="O680" s="52">
        <f>O681</f>
        <v>0</v>
      </c>
      <c r="P680" s="299">
        <f t="shared" si="158"/>
        <v>0</v>
      </c>
    </row>
    <row r="681" spans="1:16" s="51" customFormat="1" ht="26.25" customHeight="1" x14ac:dyDescent="0.2">
      <c r="A681" s="81" t="s">
        <v>117</v>
      </c>
      <c r="B681" s="60" t="s">
        <v>97</v>
      </c>
      <c r="C681" s="60" t="s">
        <v>111</v>
      </c>
      <c r="D681" s="54" t="s">
        <v>116</v>
      </c>
      <c r="E681" s="60"/>
      <c r="F681" s="52">
        <f>F682</f>
        <v>7027.7</v>
      </c>
      <c r="G681" s="52">
        <f>G682</f>
        <v>7027.7</v>
      </c>
      <c r="H681" s="299">
        <f t="shared" si="155"/>
        <v>0</v>
      </c>
      <c r="I681" s="52">
        <f>I682</f>
        <v>0</v>
      </c>
      <c r="J681" s="52">
        <f>J682</f>
        <v>7200</v>
      </c>
      <c r="K681" s="299">
        <f t="shared" si="167"/>
        <v>172.30000000000018</v>
      </c>
      <c r="L681" s="52">
        <f>L682</f>
        <v>0</v>
      </c>
      <c r="M681" s="299">
        <f t="shared" si="157"/>
        <v>0</v>
      </c>
      <c r="N681" s="52">
        <f>N682</f>
        <v>0</v>
      </c>
      <c r="O681" s="52">
        <f>O682</f>
        <v>0</v>
      </c>
      <c r="P681" s="299">
        <f t="shared" si="158"/>
        <v>0</v>
      </c>
    </row>
    <row r="682" spans="1:16" s="51" customFormat="1" ht="26.25" customHeight="1" x14ac:dyDescent="0.2">
      <c r="A682" s="64" t="s">
        <v>100</v>
      </c>
      <c r="B682" s="60" t="s">
        <v>97</v>
      </c>
      <c r="C682" s="60" t="s">
        <v>111</v>
      </c>
      <c r="D682" s="54" t="s">
        <v>116</v>
      </c>
      <c r="E682" s="60" t="s">
        <v>99</v>
      </c>
      <c r="F682" s="52">
        <f>6676.3+351.4</f>
        <v>7027.7</v>
      </c>
      <c r="G682" s="52">
        <f>6676.3+351.4</f>
        <v>7027.7</v>
      </c>
      <c r="H682" s="299">
        <f t="shared" si="155"/>
        <v>0</v>
      </c>
      <c r="I682" s="52">
        <v>0</v>
      </c>
      <c r="J682" s="52">
        <f>7027.7+163.7+8.6</f>
        <v>7200</v>
      </c>
      <c r="K682" s="299">
        <f t="shared" si="167"/>
        <v>172.30000000000018</v>
      </c>
      <c r="L682" s="52">
        <v>0</v>
      </c>
      <c r="M682" s="299">
        <f t="shared" si="157"/>
        <v>0</v>
      </c>
      <c r="N682" s="52">
        <v>0</v>
      </c>
      <c r="O682" s="52">
        <v>0</v>
      </c>
      <c r="P682" s="299">
        <f t="shared" si="158"/>
        <v>0</v>
      </c>
    </row>
    <row r="683" spans="1:16" s="51" customFormat="1" ht="16.5" hidden="1" customHeight="1" x14ac:dyDescent="0.2">
      <c r="A683" s="62" t="s">
        <v>52</v>
      </c>
      <c r="B683" s="60" t="s">
        <v>97</v>
      </c>
      <c r="C683" s="60" t="s">
        <v>111</v>
      </c>
      <c r="D683" s="54" t="s">
        <v>115</v>
      </c>
      <c r="E683" s="60"/>
      <c r="F683" s="52">
        <f t="shared" ref="F683:G685" si="174">F684</f>
        <v>0</v>
      </c>
      <c r="G683" s="52">
        <f t="shared" si="174"/>
        <v>0</v>
      </c>
      <c r="H683" s="299">
        <f t="shared" si="155"/>
        <v>0</v>
      </c>
      <c r="I683" s="52">
        <f t="shared" ref="I683:L685" si="175">I684</f>
        <v>0</v>
      </c>
      <c r="J683" s="52">
        <f t="shared" si="175"/>
        <v>0</v>
      </c>
      <c r="K683" s="299">
        <f t="shared" si="167"/>
        <v>0</v>
      </c>
      <c r="L683" s="52">
        <f t="shared" si="175"/>
        <v>0</v>
      </c>
      <c r="M683" s="299">
        <f t="shared" si="157"/>
        <v>0</v>
      </c>
      <c r="N683" s="52">
        <f t="shared" ref="N683:O685" si="176">N684</f>
        <v>0</v>
      </c>
      <c r="O683" s="52">
        <f t="shared" si="176"/>
        <v>0</v>
      </c>
      <c r="P683" s="299">
        <f t="shared" si="158"/>
        <v>0</v>
      </c>
    </row>
    <row r="684" spans="1:16" s="51" customFormat="1" ht="57.75" hidden="1" customHeight="1" x14ac:dyDescent="0.2">
      <c r="A684" s="62" t="s">
        <v>114</v>
      </c>
      <c r="B684" s="60" t="s">
        <v>97</v>
      </c>
      <c r="C684" s="60" t="s">
        <v>111</v>
      </c>
      <c r="D684" s="54" t="s">
        <v>113</v>
      </c>
      <c r="E684" s="60"/>
      <c r="F684" s="52">
        <f t="shared" si="174"/>
        <v>0</v>
      </c>
      <c r="G684" s="52">
        <f t="shared" si="174"/>
        <v>0</v>
      </c>
      <c r="H684" s="299">
        <f t="shared" si="155"/>
        <v>0</v>
      </c>
      <c r="I684" s="52">
        <f t="shared" si="175"/>
        <v>0</v>
      </c>
      <c r="J684" s="52">
        <f t="shared" si="175"/>
        <v>0</v>
      </c>
      <c r="K684" s="299">
        <f t="shared" si="167"/>
        <v>0</v>
      </c>
      <c r="L684" s="52">
        <f t="shared" si="175"/>
        <v>0</v>
      </c>
      <c r="M684" s="299">
        <f t="shared" si="157"/>
        <v>0</v>
      </c>
      <c r="N684" s="52">
        <f t="shared" si="176"/>
        <v>0</v>
      </c>
      <c r="O684" s="52">
        <f t="shared" si="176"/>
        <v>0</v>
      </c>
      <c r="P684" s="299">
        <f t="shared" si="158"/>
        <v>0</v>
      </c>
    </row>
    <row r="685" spans="1:16" s="51" customFormat="1" ht="51" hidden="1" customHeight="1" x14ac:dyDescent="0.2">
      <c r="A685" s="56" t="s">
        <v>112</v>
      </c>
      <c r="B685" s="60" t="s">
        <v>97</v>
      </c>
      <c r="C685" s="60" t="s">
        <v>111</v>
      </c>
      <c r="D685" s="54" t="s">
        <v>110</v>
      </c>
      <c r="E685" s="60"/>
      <c r="F685" s="52">
        <f t="shared" si="174"/>
        <v>0</v>
      </c>
      <c r="G685" s="52">
        <f t="shared" si="174"/>
        <v>0</v>
      </c>
      <c r="H685" s="299">
        <f t="shared" si="155"/>
        <v>0</v>
      </c>
      <c r="I685" s="52">
        <f t="shared" si="175"/>
        <v>0</v>
      </c>
      <c r="J685" s="52">
        <f t="shared" si="175"/>
        <v>0</v>
      </c>
      <c r="K685" s="299">
        <f t="shared" si="167"/>
        <v>0</v>
      </c>
      <c r="L685" s="52">
        <f t="shared" si="175"/>
        <v>0</v>
      </c>
      <c r="M685" s="299">
        <f t="shared" si="157"/>
        <v>0</v>
      </c>
      <c r="N685" s="52">
        <f t="shared" si="176"/>
        <v>0</v>
      </c>
      <c r="O685" s="52">
        <f t="shared" si="176"/>
        <v>0</v>
      </c>
      <c r="P685" s="299">
        <f t="shared" si="158"/>
        <v>0</v>
      </c>
    </row>
    <row r="686" spans="1:16" s="51" customFormat="1" ht="26.25" hidden="1" customHeight="1" x14ac:dyDescent="0.2">
      <c r="A686" s="64" t="s">
        <v>100</v>
      </c>
      <c r="B686" s="60" t="s">
        <v>97</v>
      </c>
      <c r="C686" s="60" t="s">
        <v>111</v>
      </c>
      <c r="D686" s="54" t="s">
        <v>110</v>
      </c>
      <c r="E686" s="60" t="s">
        <v>99</v>
      </c>
      <c r="F686" s="52"/>
      <c r="G686" s="52"/>
      <c r="H686" s="299">
        <f t="shared" si="155"/>
        <v>0</v>
      </c>
      <c r="I686" s="52">
        <v>0</v>
      </c>
      <c r="J686" s="52"/>
      <c r="K686" s="299">
        <f t="shared" si="167"/>
        <v>0</v>
      </c>
      <c r="L686" s="52">
        <v>0</v>
      </c>
      <c r="M686" s="299">
        <f t="shared" si="157"/>
        <v>0</v>
      </c>
      <c r="N686" s="52">
        <v>0</v>
      </c>
      <c r="O686" s="52">
        <v>0</v>
      </c>
      <c r="P686" s="299">
        <f t="shared" si="158"/>
        <v>0</v>
      </c>
    </row>
    <row r="687" spans="1:16" s="51" customFormat="1" ht="17.25" customHeight="1" x14ac:dyDescent="0.2">
      <c r="A687" s="406" t="s">
        <v>1125</v>
      </c>
      <c r="B687" s="94" t="s">
        <v>97</v>
      </c>
      <c r="C687" s="94" t="s">
        <v>108</v>
      </c>
      <c r="D687" s="54"/>
      <c r="E687" s="53"/>
      <c r="F687" s="52"/>
      <c r="G687" s="44">
        <f>G688</f>
        <v>0</v>
      </c>
      <c r="H687" s="44">
        <f t="shared" ref="H687:O691" si="177">H688</f>
        <v>0</v>
      </c>
      <c r="I687" s="44">
        <f t="shared" si="177"/>
        <v>0</v>
      </c>
      <c r="J687" s="44">
        <f t="shared" si="177"/>
        <v>71.400000000000006</v>
      </c>
      <c r="K687" s="300">
        <f t="shared" si="167"/>
        <v>71.400000000000006</v>
      </c>
      <c r="L687" s="44">
        <f t="shared" si="177"/>
        <v>0</v>
      </c>
      <c r="M687" s="44">
        <f t="shared" si="177"/>
        <v>0</v>
      </c>
      <c r="N687" s="44">
        <f t="shared" si="177"/>
        <v>0</v>
      </c>
      <c r="O687" s="44">
        <f t="shared" si="177"/>
        <v>0</v>
      </c>
      <c r="P687" s="299"/>
    </row>
    <row r="688" spans="1:16" s="51" customFormat="1" ht="26.25" customHeight="1" x14ac:dyDescent="0.2">
      <c r="A688" s="64" t="s">
        <v>142</v>
      </c>
      <c r="B688" s="60" t="s">
        <v>97</v>
      </c>
      <c r="C688" s="60" t="s">
        <v>108</v>
      </c>
      <c r="D688" s="54" t="s">
        <v>141</v>
      </c>
      <c r="E688" s="53"/>
      <c r="F688" s="52"/>
      <c r="G688" s="52">
        <f>G689</f>
        <v>0</v>
      </c>
      <c r="H688" s="52">
        <f t="shared" si="177"/>
        <v>0</v>
      </c>
      <c r="I688" s="52">
        <f t="shared" si="177"/>
        <v>0</v>
      </c>
      <c r="J688" s="52">
        <f t="shared" si="177"/>
        <v>71.400000000000006</v>
      </c>
      <c r="K688" s="300">
        <f t="shared" si="167"/>
        <v>71.400000000000006</v>
      </c>
      <c r="L688" s="52">
        <f t="shared" si="177"/>
        <v>0</v>
      </c>
      <c r="M688" s="52">
        <f t="shared" si="177"/>
        <v>0</v>
      </c>
      <c r="N688" s="52">
        <f t="shared" si="177"/>
        <v>0</v>
      </c>
      <c r="O688" s="52">
        <f t="shared" si="177"/>
        <v>0</v>
      </c>
      <c r="P688" s="299"/>
    </row>
    <row r="689" spans="1:16" s="51" customFormat="1" ht="17.25" customHeight="1" x14ac:dyDescent="0.2">
      <c r="A689" s="56" t="s">
        <v>52</v>
      </c>
      <c r="B689" s="60" t="s">
        <v>97</v>
      </c>
      <c r="C689" s="60" t="s">
        <v>108</v>
      </c>
      <c r="D689" s="54" t="s">
        <v>140</v>
      </c>
      <c r="E689" s="53"/>
      <c r="F689" s="52"/>
      <c r="G689" s="52">
        <f>G690</f>
        <v>0</v>
      </c>
      <c r="H689" s="52">
        <f t="shared" si="177"/>
        <v>0</v>
      </c>
      <c r="I689" s="52">
        <f t="shared" si="177"/>
        <v>0</v>
      </c>
      <c r="J689" s="52">
        <f t="shared" si="177"/>
        <v>71.400000000000006</v>
      </c>
      <c r="K689" s="300">
        <f t="shared" si="167"/>
        <v>71.400000000000006</v>
      </c>
      <c r="L689" s="52">
        <f t="shared" si="177"/>
        <v>0</v>
      </c>
      <c r="M689" s="52">
        <f t="shared" si="177"/>
        <v>0</v>
      </c>
      <c r="N689" s="52">
        <f t="shared" si="177"/>
        <v>0</v>
      </c>
      <c r="O689" s="52">
        <f t="shared" si="177"/>
        <v>0</v>
      </c>
      <c r="P689" s="299"/>
    </row>
    <row r="690" spans="1:16" s="51" customFormat="1" ht="26.25" customHeight="1" x14ac:dyDescent="0.2">
      <c r="A690" s="56" t="s">
        <v>139</v>
      </c>
      <c r="B690" s="60" t="s">
        <v>97</v>
      </c>
      <c r="C690" s="60" t="s">
        <v>108</v>
      </c>
      <c r="D690" s="54" t="s">
        <v>138</v>
      </c>
      <c r="E690" s="53"/>
      <c r="F690" s="52"/>
      <c r="G690" s="52">
        <f>G691</f>
        <v>0</v>
      </c>
      <c r="H690" s="52">
        <f t="shared" si="177"/>
        <v>0</v>
      </c>
      <c r="I690" s="52">
        <f t="shared" si="177"/>
        <v>0</v>
      </c>
      <c r="J690" s="52">
        <f t="shared" si="177"/>
        <v>71.400000000000006</v>
      </c>
      <c r="K690" s="300">
        <f t="shared" si="167"/>
        <v>71.400000000000006</v>
      </c>
      <c r="L690" s="52">
        <f t="shared" si="177"/>
        <v>0</v>
      </c>
      <c r="M690" s="52">
        <f t="shared" si="177"/>
        <v>0</v>
      </c>
      <c r="N690" s="52">
        <f t="shared" si="177"/>
        <v>0</v>
      </c>
      <c r="O690" s="52">
        <f t="shared" si="177"/>
        <v>0</v>
      </c>
      <c r="P690" s="299"/>
    </row>
    <row r="691" spans="1:16" s="51" customFormat="1" ht="41.25" customHeight="1" x14ac:dyDescent="0.2">
      <c r="A691" s="64" t="s">
        <v>137</v>
      </c>
      <c r="B691" s="60" t="s">
        <v>97</v>
      </c>
      <c r="C691" s="60" t="s">
        <v>108</v>
      </c>
      <c r="D691" s="54" t="s">
        <v>136</v>
      </c>
      <c r="E691" s="53"/>
      <c r="F691" s="52"/>
      <c r="G691" s="52">
        <f>G692</f>
        <v>0</v>
      </c>
      <c r="H691" s="52">
        <f t="shared" si="177"/>
        <v>0</v>
      </c>
      <c r="I691" s="52">
        <f t="shared" si="177"/>
        <v>0</v>
      </c>
      <c r="J691" s="52">
        <f t="shared" si="177"/>
        <v>71.400000000000006</v>
      </c>
      <c r="K691" s="300">
        <f t="shared" si="167"/>
        <v>71.400000000000006</v>
      </c>
      <c r="L691" s="52">
        <f t="shared" si="177"/>
        <v>0</v>
      </c>
      <c r="M691" s="52">
        <f t="shared" si="177"/>
        <v>0</v>
      </c>
      <c r="N691" s="52">
        <f t="shared" si="177"/>
        <v>0</v>
      </c>
      <c r="O691" s="52">
        <f t="shared" si="177"/>
        <v>0</v>
      </c>
      <c r="P691" s="299"/>
    </row>
    <row r="692" spans="1:16" s="51" customFormat="1" ht="15" customHeight="1" x14ac:dyDescent="0.2">
      <c r="A692" s="95" t="s">
        <v>98</v>
      </c>
      <c r="B692" s="60" t="s">
        <v>97</v>
      </c>
      <c r="C692" s="60" t="s">
        <v>108</v>
      </c>
      <c r="D692" s="54" t="s">
        <v>136</v>
      </c>
      <c r="E692" s="53" t="s">
        <v>81</v>
      </c>
      <c r="F692" s="52"/>
      <c r="G692" s="52">
        <v>0</v>
      </c>
      <c r="H692" s="300"/>
      <c r="I692" s="52"/>
      <c r="J692" s="52">
        <v>71.400000000000006</v>
      </c>
      <c r="K692" s="300">
        <f t="shared" si="167"/>
        <v>71.400000000000006</v>
      </c>
      <c r="L692" s="52">
        <v>0</v>
      </c>
      <c r="M692" s="300"/>
      <c r="N692" s="52"/>
      <c r="O692" s="52">
        <v>0</v>
      </c>
      <c r="P692" s="299"/>
    </row>
    <row r="693" spans="1:16" s="43" customFormat="1" ht="15" customHeight="1" x14ac:dyDescent="0.2">
      <c r="A693" s="80" t="s">
        <v>107</v>
      </c>
      <c r="B693" s="71">
        <v>10</v>
      </c>
      <c r="C693" s="71" t="s">
        <v>96</v>
      </c>
      <c r="D693" s="71"/>
      <c r="E693" s="71"/>
      <c r="F693" s="44">
        <f>F694</f>
        <v>1143.7</v>
      </c>
      <c r="G693" s="44">
        <f>G694</f>
        <v>1143.7</v>
      </c>
      <c r="H693" s="299">
        <f t="shared" si="155"/>
        <v>0</v>
      </c>
      <c r="I693" s="44">
        <f>I694</f>
        <v>0</v>
      </c>
      <c r="J693" s="44">
        <f>J694</f>
        <v>1143.7</v>
      </c>
      <c r="K693" s="299">
        <f t="shared" si="167"/>
        <v>0</v>
      </c>
      <c r="L693" s="44">
        <f>L694</f>
        <v>0</v>
      </c>
      <c r="M693" s="299">
        <f t="shared" si="157"/>
        <v>0</v>
      </c>
      <c r="N693" s="44">
        <f>N694</f>
        <v>0</v>
      </c>
      <c r="O693" s="44">
        <f>O694</f>
        <v>0</v>
      </c>
      <c r="P693" s="299">
        <f t="shared" si="158"/>
        <v>0</v>
      </c>
    </row>
    <row r="694" spans="1:16" s="47" customFormat="1" ht="27.75" customHeight="1" x14ac:dyDescent="0.2">
      <c r="A694" s="79" t="s">
        <v>106</v>
      </c>
      <c r="B694" s="78" t="s">
        <v>97</v>
      </c>
      <c r="C694" s="78" t="s">
        <v>96</v>
      </c>
      <c r="D694" s="78" t="s">
        <v>105</v>
      </c>
      <c r="E694" s="78"/>
      <c r="F694" s="52">
        <f>F695</f>
        <v>1143.7</v>
      </c>
      <c r="G694" s="52">
        <f>G695</f>
        <v>1143.7</v>
      </c>
      <c r="H694" s="299">
        <f t="shared" si="155"/>
        <v>0</v>
      </c>
      <c r="I694" s="52">
        <f>I695</f>
        <v>0</v>
      </c>
      <c r="J694" s="52">
        <f>J695</f>
        <v>1143.7</v>
      </c>
      <c r="K694" s="299">
        <f t="shared" si="167"/>
        <v>0</v>
      </c>
      <c r="L694" s="52">
        <f>L695</f>
        <v>0</v>
      </c>
      <c r="M694" s="299">
        <f t="shared" si="157"/>
        <v>0</v>
      </c>
      <c r="N694" s="52">
        <f>N695</f>
        <v>0</v>
      </c>
      <c r="O694" s="52">
        <f>O695</f>
        <v>0</v>
      </c>
      <c r="P694" s="299">
        <f t="shared" si="158"/>
        <v>0</v>
      </c>
    </row>
    <row r="695" spans="1:16" s="51" customFormat="1" ht="15.75" customHeight="1" x14ac:dyDescent="0.2">
      <c r="A695" s="77" t="s">
        <v>52</v>
      </c>
      <c r="B695" s="53" t="s">
        <v>97</v>
      </c>
      <c r="C695" s="53" t="s">
        <v>96</v>
      </c>
      <c r="D695" s="74" t="s">
        <v>104</v>
      </c>
      <c r="E695" s="53"/>
      <c r="F695" s="52">
        <f>F697</f>
        <v>1143.7</v>
      </c>
      <c r="G695" s="52">
        <f>G697</f>
        <v>1143.7</v>
      </c>
      <c r="H695" s="299">
        <f t="shared" si="155"/>
        <v>0</v>
      </c>
      <c r="I695" s="52">
        <f>I697</f>
        <v>0</v>
      </c>
      <c r="J695" s="52">
        <f>J697</f>
        <v>1143.7</v>
      </c>
      <c r="K695" s="299">
        <f t="shared" si="167"/>
        <v>0</v>
      </c>
      <c r="L695" s="52">
        <f>L697</f>
        <v>0</v>
      </c>
      <c r="M695" s="299">
        <f t="shared" si="157"/>
        <v>0</v>
      </c>
      <c r="N695" s="52">
        <f>N697</f>
        <v>0</v>
      </c>
      <c r="O695" s="52">
        <f>O697</f>
        <v>0</v>
      </c>
      <c r="P695" s="299">
        <f t="shared" si="158"/>
        <v>0</v>
      </c>
    </row>
    <row r="696" spans="1:16" s="51" customFormat="1" ht="25.5" customHeight="1" x14ac:dyDescent="0.2">
      <c r="A696" s="77" t="s">
        <v>103</v>
      </c>
      <c r="B696" s="53" t="s">
        <v>97</v>
      </c>
      <c r="C696" s="53" t="s">
        <v>96</v>
      </c>
      <c r="D696" s="74" t="s">
        <v>102</v>
      </c>
      <c r="E696" s="53"/>
      <c r="F696" s="52">
        <f>F697</f>
        <v>1143.7</v>
      </c>
      <c r="G696" s="52">
        <f>G697</f>
        <v>1143.7</v>
      </c>
      <c r="H696" s="299">
        <f t="shared" si="155"/>
        <v>0</v>
      </c>
      <c r="I696" s="52">
        <f>I697</f>
        <v>0</v>
      </c>
      <c r="J696" s="52">
        <f>J697</f>
        <v>1143.7</v>
      </c>
      <c r="K696" s="299">
        <f t="shared" si="167"/>
        <v>0</v>
      </c>
      <c r="L696" s="52">
        <f>L697</f>
        <v>0</v>
      </c>
      <c r="M696" s="299">
        <f t="shared" si="157"/>
        <v>0</v>
      </c>
      <c r="N696" s="52">
        <f>N697</f>
        <v>0</v>
      </c>
      <c r="O696" s="52">
        <f>O697</f>
        <v>0</v>
      </c>
      <c r="P696" s="299">
        <f t="shared" si="158"/>
        <v>0</v>
      </c>
    </row>
    <row r="697" spans="1:16" s="51" customFormat="1" ht="26.25" customHeight="1" x14ac:dyDescent="0.2">
      <c r="A697" s="76" t="s">
        <v>101</v>
      </c>
      <c r="B697" s="53" t="s">
        <v>97</v>
      </c>
      <c r="C697" s="53" t="s">
        <v>96</v>
      </c>
      <c r="D697" s="74" t="s">
        <v>95</v>
      </c>
      <c r="E697" s="53"/>
      <c r="F697" s="52">
        <f>F700+F699+F698</f>
        <v>1143.7</v>
      </c>
      <c r="G697" s="52">
        <f>G700+G699+G698</f>
        <v>1143.7</v>
      </c>
      <c r="H697" s="299">
        <f t="shared" si="155"/>
        <v>0</v>
      </c>
      <c r="I697" s="52">
        <f>I700+I699+I698</f>
        <v>0</v>
      </c>
      <c r="J697" s="52">
        <f>J700+J699+J698</f>
        <v>1143.7</v>
      </c>
      <c r="K697" s="299">
        <f t="shared" si="167"/>
        <v>0</v>
      </c>
      <c r="L697" s="52">
        <f>L700+L699+L698</f>
        <v>0</v>
      </c>
      <c r="M697" s="299">
        <f t="shared" si="157"/>
        <v>0</v>
      </c>
      <c r="N697" s="52">
        <f>N700+N699+N698</f>
        <v>0</v>
      </c>
      <c r="O697" s="52">
        <f>O700+O699+O698</f>
        <v>0</v>
      </c>
      <c r="P697" s="299">
        <f t="shared" si="158"/>
        <v>0</v>
      </c>
    </row>
    <row r="698" spans="1:16" s="51" customFormat="1" ht="29.25" customHeight="1" x14ac:dyDescent="0.2">
      <c r="A698" s="56" t="s">
        <v>73</v>
      </c>
      <c r="B698" s="53" t="s">
        <v>97</v>
      </c>
      <c r="C698" s="53" t="s">
        <v>96</v>
      </c>
      <c r="D698" s="74" t="s">
        <v>95</v>
      </c>
      <c r="E698" s="53" t="s">
        <v>70</v>
      </c>
      <c r="F698" s="52">
        <v>150</v>
      </c>
      <c r="G698" s="52">
        <v>150</v>
      </c>
      <c r="H698" s="299">
        <f t="shared" si="155"/>
        <v>0</v>
      </c>
      <c r="I698" s="52">
        <v>0</v>
      </c>
      <c r="J698" s="52">
        <v>150</v>
      </c>
      <c r="K698" s="299">
        <f t="shared" si="167"/>
        <v>0</v>
      </c>
      <c r="L698" s="52">
        <v>0</v>
      </c>
      <c r="M698" s="299">
        <f t="shared" si="157"/>
        <v>0</v>
      </c>
      <c r="N698" s="52">
        <v>0</v>
      </c>
      <c r="O698" s="52">
        <v>0</v>
      </c>
      <c r="P698" s="299">
        <f t="shared" si="158"/>
        <v>0</v>
      </c>
    </row>
    <row r="699" spans="1:16" s="51" customFormat="1" ht="26.25" customHeight="1" x14ac:dyDescent="0.2">
      <c r="A699" s="64" t="s">
        <v>100</v>
      </c>
      <c r="B699" s="53" t="s">
        <v>97</v>
      </c>
      <c r="C699" s="53" t="s">
        <v>96</v>
      </c>
      <c r="D699" s="74" t="s">
        <v>95</v>
      </c>
      <c r="E699" s="73" t="s">
        <v>99</v>
      </c>
      <c r="F699" s="52">
        <v>420</v>
      </c>
      <c r="G699" s="52">
        <v>420</v>
      </c>
      <c r="H699" s="299">
        <f t="shared" si="155"/>
        <v>0</v>
      </c>
      <c r="I699" s="52">
        <v>0</v>
      </c>
      <c r="J699" s="52">
        <v>420</v>
      </c>
      <c r="K699" s="299">
        <f t="shared" si="167"/>
        <v>0</v>
      </c>
      <c r="L699" s="52">
        <v>0</v>
      </c>
      <c r="M699" s="299">
        <f t="shared" si="157"/>
        <v>0</v>
      </c>
      <c r="N699" s="52">
        <v>0</v>
      </c>
      <c r="O699" s="52">
        <v>0</v>
      </c>
      <c r="P699" s="299">
        <f t="shared" si="158"/>
        <v>0</v>
      </c>
    </row>
    <row r="700" spans="1:16" s="51" customFormat="1" ht="17.25" customHeight="1" x14ac:dyDescent="0.2">
      <c r="A700" s="75" t="s">
        <v>98</v>
      </c>
      <c r="B700" s="53" t="s">
        <v>97</v>
      </c>
      <c r="C700" s="53" t="s">
        <v>96</v>
      </c>
      <c r="D700" s="74" t="s">
        <v>95</v>
      </c>
      <c r="E700" s="73" t="s">
        <v>81</v>
      </c>
      <c r="F700" s="52">
        <v>573.70000000000005</v>
      </c>
      <c r="G700" s="52">
        <v>573.70000000000005</v>
      </c>
      <c r="H700" s="299">
        <f t="shared" si="155"/>
        <v>0</v>
      </c>
      <c r="I700" s="52">
        <v>0</v>
      </c>
      <c r="J700" s="52">
        <v>573.70000000000005</v>
      </c>
      <c r="K700" s="299">
        <f t="shared" si="167"/>
        <v>0</v>
      </c>
      <c r="L700" s="52">
        <v>0</v>
      </c>
      <c r="M700" s="299">
        <f t="shared" si="157"/>
        <v>0</v>
      </c>
      <c r="N700" s="52">
        <v>0</v>
      </c>
      <c r="O700" s="52">
        <v>0</v>
      </c>
      <c r="P700" s="299">
        <f t="shared" si="158"/>
        <v>0</v>
      </c>
    </row>
    <row r="701" spans="1:16" s="43" customFormat="1" ht="12.75" customHeight="1" x14ac:dyDescent="0.2">
      <c r="A701" s="50" t="s">
        <v>94</v>
      </c>
      <c r="B701" s="48" t="s">
        <v>60</v>
      </c>
      <c r="C701" s="48"/>
      <c r="D701" s="48"/>
      <c r="E701" s="48"/>
      <c r="F701" s="44">
        <f>F702+F729+F721</f>
        <v>17488.399999999998</v>
      </c>
      <c r="G701" s="44">
        <f>G702+G729+G721</f>
        <v>43520.399999999994</v>
      </c>
      <c r="H701" s="299">
        <f t="shared" si="155"/>
        <v>26031.999999999996</v>
      </c>
      <c r="I701" s="44">
        <f>I702+I729+I721</f>
        <v>17508.399999999998</v>
      </c>
      <c r="J701" s="44">
        <f>J702+J729+J721</f>
        <v>43520.4</v>
      </c>
      <c r="K701" s="299">
        <f t="shared" si="167"/>
        <v>0</v>
      </c>
      <c r="L701" s="44">
        <f>L702+L729+L721</f>
        <v>17508.399999999998</v>
      </c>
      <c r="M701" s="299">
        <f t="shared" si="157"/>
        <v>0</v>
      </c>
      <c r="N701" s="44">
        <f>N702+N729+N721</f>
        <v>17508.399999999998</v>
      </c>
      <c r="O701" s="44">
        <f>O702+O729+O721</f>
        <v>17508.399999999998</v>
      </c>
      <c r="P701" s="299">
        <f t="shared" si="158"/>
        <v>0</v>
      </c>
    </row>
    <row r="702" spans="1:16" s="32" customFormat="1" ht="15.75" customHeight="1" x14ac:dyDescent="0.2">
      <c r="A702" s="72" t="s">
        <v>93</v>
      </c>
      <c r="B702" s="71" t="s">
        <v>60</v>
      </c>
      <c r="C702" s="71" t="s">
        <v>45</v>
      </c>
      <c r="D702" s="71"/>
      <c r="E702" s="71"/>
      <c r="F702" s="44">
        <f t="shared" ref="F702:G708" si="178">F703</f>
        <v>15501.8</v>
      </c>
      <c r="G702" s="44">
        <f t="shared" si="178"/>
        <v>33367.699999999997</v>
      </c>
      <c r="H702" s="299">
        <f t="shared" ref="H702:H746" si="179">G702-F702</f>
        <v>17865.899999999998</v>
      </c>
      <c r="I702" s="44">
        <f t="shared" ref="I702:L708" si="180">I703</f>
        <v>15521.8</v>
      </c>
      <c r="J702" s="44">
        <f t="shared" si="180"/>
        <v>33374.800000000003</v>
      </c>
      <c r="K702" s="299">
        <f t="shared" si="167"/>
        <v>7.1000000000058208</v>
      </c>
      <c r="L702" s="44">
        <f t="shared" si="180"/>
        <v>15521.8</v>
      </c>
      <c r="M702" s="299">
        <f t="shared" ref="M702:M746" si="181">L702-I702</f>
        <v>0</v>
      </c>
      <c r="N702" s="44">
        <f t="shared" ref="N702:O708" si="182">N703</f>
        <v>15521.8</v>
      </c>
      <c r="O702" s="44">
        <f t="shared" si="182"/>
        <v>15521.8</v>
      </c>
      <c r="P702" s="299">
        <f t="shared" si="158"/>
        <v>0</v>
      </c>
    </row>
    <row r="703" spans="1:16" s="51" customFormat="1" ht="40.5" customHeight="1" x14ac:dyDescent="0.2">
      <c r="A703" s="62" t="s">
        <v>68</v>
      </c>
      <c r="B703" s="53" t="s">
        <v>60</v>
      </c>
      <c r="C703" s="53" t="s">
        <v>45</v>
      </c>
      <c r="D703" s="54" t="s">
        <v>67</v>
      </c>
      <c r="E703" s="53"/>
      <c r="F703" s="70">
        <f>F708+F704</f>
        <v>15501.8</v>
      </c>
      <c r="G703" s="70">
        <f t="shared" ref="G703:O703" si="183">G708+G704</f>
        <v>33367.699999999997</v>
      </c>
      <c r="H703" s="299">
        <f t="shared" si="179"/>
        <v>17865.899999999998</v>
      </c>
      <c r="I703" s="70">
        <f t="shared" si="183"/>
        <v>15521.8</v>
      </c>
      <c r="J703" s="70">
        <f t="shared" si="183"/>
        <v>33374.800000000003</v>
      </c>
      <c r="K703" s="299">
        <f t="shared" si="167"/>
        <v>7.1000000000058208</v>
      </c>
      <c r="L703" s="70">
        <f t="shared" si="183"/>
        <v>15521.8</v>
      </c>
      <c r="M703" s="299">
        <f t="shared" si="181"/>
        <v>0</v>
      </c>
      <c r="N703" s="70">
        <f t="shared" si="183"/>
        <v>15521.8</v>
      </c>
      <c r="O703" s="70">
        <f t="shared" si="183"/>
        <v>15521.8</v>
      </c>
      <c r="P703" s="299">
        <f t="shared" ref="P703:P746" si="184">O703-N703</f>
        <v>0</v>
      </c>
    </row>
    <row r="704" spans="1:16" s="51" customFormat="1" ht="16.5" customHeight="1" x14ac:dyDescent="0.2">
      <c r="A704" s="62" t="s">
        <v>66</v>
      </c>
      <c r="B704" s="53" t="s">
        <v>60</v>
      </c>
      <c r="C704" s="53" t="s">
        <v>45</v>
      </c>
      <c r="D704" s="54" t="s">
        <v>65</v>
      </c>
      <c r="E704" s="53"/>
      <c r="F704" s="70">
        <f>F705</f>
        <v>0</v>
      </c>
      <c r="G704" s="70">
        <f t="shared" ref="G704:O706" si="185">G705</f>
        <v>13365.9</v>
      </c>
      <c r="H704" s="299">
        <f t="shared" si="179"/>
        <v>13365.9</v>
      </c>
      <c r="I704" s="70">
        <f t="shared" si="185"/>
        <v>0</v>
      </c>
      <c r="J704" s="70">
        <f t="shared" si="185"/>
        <v>13365.9</v>
      </c>
      <c r="K704" s="299">
        <f t="shared" si="167"/>
        <v>0</v>
      </c>
      <c r="L704" s="70">
        <f t="shared" si="185"/>
        <v>0</v>
      </c>
      <c r="M704" s="299">
        <f t="shared" si="181"/>
        <v>0</v>
      </c>
      <c r="N704" s="70">
        <f t="shared" si="185"/>
        <v>0</v>
      </c>
      <c r="O704" s="70">
        <f t="shared" si="185"/>
        <v>0</v>
      </c>
      <c r="P704" s="299">
        <f t="shared" si="184"/>
        <v>0</v>
      </c>
    </row>
    <row r="705" spans="1:16" s="51" customFormat="1" ht="25.5" customHeight="1" x14ac:dyDescent="0.2">
      <c r="A705" s="56" t="s">
        <v>64</v>
      </c>
      <c r="B705" s="53" t="s">
        <v>60</v>
      </c>
      <c r="C705" s="53" t="s">
        <v>45</v>
      </c>
      <c r="D705" s="54" t="s">
        <v>63</v>
      </c>
      <c r="E705" s="53"/>
      <c r="F705" s="70">
        <f>F706</f>
        <v>0</v>
      </c>
      <c r="G705" s="70">
        <f t="shared" si="185"/>
        <v>13365.9</v>
      </c>
      <c r="H705" s="299">
        <f t="shared" si="179"/>
        <v>13365.9</v>
      </c>
      <c r="I705" s="70">
        <f t="shared" si="185"/>
        <v>0</v>
      </c>
      <c r="J705" s="70">
        <f t="shared" si="185"/>
        <v>13365.9</v>
      </c>
      <c r="K705" s="299">
        <f t="shared" si="167"/>
        <v>0</v>
      </c>
      <c r="L705" s="70">
        <f t="shared" si="185"/>
        <v>0</v>
      </c>
      <c r="M705" s="299">
        <f t="shared" si="181"/>
        <v>0</v>
      </c>
      <c r="N705" s="70">
        <f t="shared" si="185"/>
        <v>0</v>
      </c>
      <c r="O705" s="70">
        <f t="shared" si="185"/>
        <v>0</v>
      </c>
      <c r="P705" s="299">
        <f t="shared" si="184"/>
        <v>0</v>
      </c>
    </row>
    <row r="706" spans="1:16" s="51" customFormat="1" ht="29.25" customHeight="1" x14ac:dyDescent="0.2">
      <c r="A706" s="62" t="s">
        <v>1073</v>
      </c>
      <c r="B706" s="53" t="s">
        <v>60</v>
      </c>
      <c r="C706" s="53" t="s">
        <v>45</v>
      </c>
      <c r="D706" s="54" t="s">
        <v>1074</v>
      </c>
      <c r="E706" s="53"/>
      <c r="F706" s="70">
        <f>F707</f>
        <v>0</v>
      </c>
      <c r="G706" s="70">
        <f t="shared" si="185"/>
        <v>13365.9</v>
      </c>
      <c r="H706" s="299">
        <f t="shared" si="179"/>
        <v>13365.9</v>
      </c>
      <c r="I706" s="70">
        <f t="shared" si="185"/>
        <v>0</v>
      </c>
      <c r="J706" s="70">
        <f t="shared" si="185"/>
        <v>13365.9</v>
      </c>
      <c r="K706" s="299">
        <f t="shared" si="167"/>
        <v>0</v>
      </c>
      <c r="L706" s="70">
        <f t="shared" si="185"/>
        <v>0</v>
      </c>
      <c r="M706" s="299">
        <f t="shared" si="181"/>
        <v>0</v>
      </c>
      <c r="N706" s="70">
        <f t="shared" si="185"/>
        <v>0</v>
      </c>
      <c r="O706" s="70">
        <f t="shared" si="185"/>
        <v>0</v>
      </c>
      <c r="P706" s="299">
        <f t="shared" si="184"/>
        <v>0</v>
      </c>
    </row>
    <row r="707" spans="1:16" s="51" customFormat="1" ht="30" customHeight="1" x14ac:dyDescent="0.2">
      <c r="A707" s="56" t="s">
        <v>73</v>
      </c>
      <c r="B707" s="53" t="s">
        <v>60</v>
      </c>
      <c r="C707" s="53" t="s">
        <v>45</v>
      </c>
      <c r="D707" s="54" t="s">
        <v>1074</v>
      </c>
      <c r="E707" s="53" t="s">
        <v>70</v>
      </c>
      <c r="F707" s="70">
        <v>0</v>
      </c>
      <c r="G707" s="70">
        <f>12587.9+778</f>
        <v>13365.9</v>
      </c>
      <c r="H707" s="299">
        <f t="shared" si="179"/>
        <v>13365.9</v>
      </c>
      <c r="I707" s="70">
        <v>0</v>
      </c>
      <c r="J707" s="70">
        <f>12587.9+778</f>
        <v>13365.9</v>
      </c>
      <c r="K707" s="299">
        <f t="shared" si="167"/>
        <v>0</v>
      </c>
      <c r="L707" s="70">
        <v>0</v>
      </c>
      <c r="M707" s="299">
        <f t="shared" si="181"/>
        <v>0</v>
      </c>
      <c r="N707" s="70">
        <v>0</v>
      </c>
      <c r="O707" s="70">
        <v>0</v>
      </c>
      <c r="P707" s="299">
        <f t="shared" si="184"/>
        <v>0</v>
      </c>
    </row>
    <row r="708" spans="1:16" s="51" customFormat="1" ht="16.5" customHeight="1" x14ac:dyDescent="0.2">
      <c r="A708" s="64" t="s">
        <v>52</v>
      </c>
      <c r="B708" s="53" t="s">
        <v>60</v>
      </c>
      <c r="C708" s="53" t="s">
        <v>45</v>
      </c>
      <c r="D708" s="54" t="s">
        <v>92</v>
      </c>
      <c r="E708" s="53"/>
      <c r="F708" s="70">
        <f t="shared" si="178"/>
        <v>15501.8</v>
      </c>
      <c r="G708" s="70">
        <f t="shared" si="178"/>
        <v>20001.8</v>
      </c>
      <c r="H708" s="299">
        <f t="shared" si="179"/>
        <v>4500</v>
      </c>
      <c r="I708" s="70">
        <f t="shared" si="180"/>
        <v>15521.8</v>
      </c>
      <c r="J708" s="70">
        <f t="shared" si="180"/>
        <v>20008.900000000001</v>
      </c>
      <c r="K708" s="299">
        <f t="shared" si="167"/>
        <v>7.1000000000021828</v>
      </c>
      <c r="L708" s="70">
        <f t="shared" si="180"/>
        <v>15521.8</v>
      </c>
      <c r="M708" s="299">
        <f t="shared" si="181"/>
        <v>0</v>
      </c>
      <c r="N708" s="70">
        <f t="shared" si="182"/>
        <v>15521.8</v>
      </c>
      <c r="O708" s="70">
        <f t="shared" si="182"/>
        <v>15521.8</v>
      </c>
      <c r="P708" s="299">
        <f t="shared" si="184"/>
        <v>0</v>
      </c>
    </row>
    <row r="709" spans="1:16" s="51" customFormat="1" ht="29.25" customHeight="1" x14ac:dyDescent="0.2">
      <c r="A709" s="64" t="s">
        <v>91</v>
      </c>
      <c r="B709" s="53" t="s">
        <v>60</v>
      </c>
      <c r="C709" s="53" t="s">
        <v>45</v>
      </c>
      <c r="D709" s="54" t="s">
        <v>90</v>
      </c>
      <c r="E709" s="60"/>
      <c r="F709" s="52">
        <f>F710+F716+F713</f>
        <v>15501.8</v>
      </c>
      <c r="G709" s="52">
        <f>G710+G716+G713</f>
        <v>20001.8</v>
      </c>
      <c r="H709" s="299">
        <f t="shared" si="179"/>
        <v>4500</v>
      </c>
      <c r="I709" s="52">
        <f>I710+I716+I713</f>
        <v>15521.8</v>
      </c>
      <c r="J709" s="52">
        <f>J710+J716+J713</f>
        <v>20008.900000000001</v>
      </c>
      <c r="K709" s="299">
        <f t="shared" si="167"/>
        <v>7.1000000000021828</v>
      </c>
      <c r="L709" s="52">
        <f>L710+L716+L713</f>
        <v>15521.8</v>
      </c>
      <c r="M709" s="299">
        <f t="shared" si="181"/>
        <v>0</v>
      </c>
      <c r="N709" s="52">
        <f>N710+N716+N713</f>
        <v>15521.8</v>
      </c>
      <c r="O709" s="52">
        <f>O710+O716+O713</f>
        <v>15521.8</v>
      </c>
      <c r="P709" s="299">
        <f t="shared" si="184"/>
        <v>0</v>
      </c>
    </row>
    <row r="710" spans="1:16" s="51" customFormat="1" ht="26.25" customHeight="1" x14ac:dyDescent="0.2">
      <c r="A710" s="62" t="s">
        <v>174</v>
      </c>
      <c r="B710" s="53" t="s">
        <v>60</v>
      </c>
      <c r="C710" s="53" t="s">
        <v>45</v>
      </c>
      <c r="D710" s="54" t="s">
        <v>89</v>
      </c>
      <c r="E710" s="60"/>
      <c r="F710" s="52">
        <f>F712+F711</f>
        <v>5134.5</v>
      </c>
      <c r="G710" s="52">
        <f t="shared" ref="G710:O710" si="186">G712+G711</f>
        <v>9634.5</v>
      </c>
      <c r="H710" s="300">
        <f t="shared" si="179"/>
        <v>4500</v>
      </c>
      <c r="I710" s="52">
        <f t="shared" si="186"/>
        <v>5134.5</v>
      </c>
      <c r="J710" s="52">
        <f t="shared" si="186"/>
        <v>9634.5</v>
      </c>
      <c r="K710" s="299">
        <f t="shared" si="167"/>
        <v>0</v>
      </c>
      <c r="L710" s="52">
        <f t="shared" si="186"/>
        <v>5134.5</v>
      </c>
      <c r="M710" s="300">
        <f t="shared" si="181"/>
        <v>0</v>
      </c>
      <c r="N710" s="52">
        <f t="shared" si="186"/>
        <v>5134.5</v>
      </c>
      <c r="O710" s="52">
        <f t="shared" si="186"/>
        <v>5134.5</v>
      </c>
      <c r="P710" s="333">
        <f t="shared" si="184"/>
        <v>0</v>
      </c>
    </row>
    <row r="711" spans="1:16" s="51" customFormat="1" ht="15.75" customHeight="1" x14ac:dyDescent="0.2">
      <c r="A711" s="75" t="s">
        <v>98</v>
      </c>
      <c r="B711" s="53" t="s">
        <v>60</v>
      </c>
      <c r="C711" s="53" t="s">
        <v>45</v>
      </c>
      <c r="D711" s="54" t="s">
        <v>89</v>
      </c>
      <c r="E711" s="60" t="s">
        <v>81</v>
      </c>
      <c r="F711" s="52">
        <v>0</v>
      </c>
      <c r="G711" s="52">
        <f>4500+2500</f>
        <v>7000</v>
      </c>
      <c r="H711" s="300">
        <f t="shared" si="179"/>
        <v>7000</v>
      </c>
      <c r="I711" s="52">
        <v>0</v>
      </c>
      <c r="J711" s="52">
        <f>4500+2500</f>
        <v>7000</v>
      </c>
      <c r="K711" s="299">
        <f t="shared" si="167"/>
        <v>0</v>
      </c>
      <c r="L711" s="52">
        <f>5134.5</f>
        <v>5134.5</v>
      </c>
      <c r="M711" s="300">
        <f t="shared" si="181"/>
        <v>5134.5</v>
      </c>
      <c r="N711" s="65">
        <v>0</v>
      </c>
      <c r="O711" s="52">
        <v>5134.5</v>
      </c>
      <c r="P711" s="333">
        <f t="shared" si="184"/>
        <v>5134.5</v>
      </c>
    </row>
    <row r="712" spans="1:16" s="51" customFormat="1" ht="15.75" customHeight="1" x14ac:dyDescent="0.2">
      <c r="A712" s="68" t="s">
        <v>87</v>
      </c>
      <c r="B712" s="53" t="s">
        <v>60</v>
      </c>
      <c r="C712" s="53" t="s">
        <v>45</v>
      </c>
      <c r="D712" s="54" t="s">
        <v>89</v>
      </c>
      <c r="E712" s="60" t="s">
        <v>57</v>
      </c>
      <c r="F712" s="52">
        <v>5134.5</v>
      </c>
      <c r="G712" s="52">
        <f>5134.5-2500</f>
        <v>2634.5</v>
      </c>
      <c r="H712" s="300">
        <f t="shared" si="179"/>
        <v>-2500</v>
      </c>
      <c r="I712" s="52">
        <v>5134.5</v>
      </c>
      <c r="J712" s="52">
        <f>5134.5-2500</f>
        <v>2634.5</v>
      </c>
      <c r="K712" s="299">
        <f t="shared" si="167"/>
        <v>0</v>
      </c>
      <c r="L712" s="52">
        <f>5134.5-5134.5</f>
        <v>0</v>
      </c>
      <c r="M712" s="300">
        <f t="shared" si="181"/>
        <v>-5134.5</v>
      </c>
      <c r="N712" s="65">
        <v>5134.5</v>
      </c>
      <c r="O712" s="52">
        <f>5134.5-5134.5</f>
        <v>0</v>
      </c>
      <c r="P712" s="333">
        <f t="shared" si="184"/>
        <v>-5134.5</v>
      </c>
    </row>
    <row r="713" spans="1:16" s="51" customFormat="1" ht="30" customHeight="1" x14ac:dyDescent="0.2">
      <c r="A713" s="69" t="s">
        <v>88</v>
      </c>
      <c r="B713" s="53" t="s">
        <v>60</v>
      </c>
      <c r="C713" s="53" t="s">
        <v>45</v>
      </c>
      <c r="D713" s="54" t="s">
        <v>86</v>
      </c>
      <c r="E713" s="53"/>
      <c r="F713" s="52">
        <f>F715+F714</f>
        <v>9735.2999999999993</v>
      </c>
      <c r="G713" s="52">
        <f t="shared" ref="G713:O713" si="187">G715+G714</f>
        <v>9735.2999999999993</v>
      </c>
      <c r="H713" s="300">
        <f t="shared" si="179"/>
        <v>0</v>
      </c>
      <c r="I713" s="52">
        <f t="shared" si="187"/>
        <v>9735.2999999999993</v>
      </c>
      <c r="J713" s="52">
        <f t="shared" si="187"/>
        <v>9735.2999999999993</v>
      </c>
      <c r="K713" s="299">
        <f t="shared" si="167"/>
        <v>0</v>
      </c>
      <c r="L713" s="52">
        <f t="shared" si="187"/>
        <v>9735.2999999999993</v>
      </c>
      <c r="M713" s="300">
        <f t="shared" si="181"/>
        <v>0</v>
      </c>
      <c r="N713" s="52">
        <f t="shared" si="187"/>
        <v>9735.2999999999993</v>
      </c>
      <c r="O713" s="52">
        <f t="shared" si="187"/>
        <v>9735.2999999999993</v>
      </c>
      <c r="P713" s="333">
        <f t="shared" si="184"/>
        <v>0</v>
      </c>
    </row>
    <row r="714" spans="1:16" s="51" customFormat="1" ht="17.25" customHeight="1" x14ac:dyDescent="0.2">
      <c r="A714" s="64" t="s">
        <v>82</v>
      </c>
      <c r="B714" s="53" t="s">
        <v>60</v>
      </c>
      <c r="C714" s="53" t="s">
        <v>45</v>
      </c>
      <c r="D714" s="54" t="s">
        <v>86</v>
      </c>
      <c r="E714" s="53" t="s">
        <v>81</v>
      </c>
      <c r="F714" s="52">
        <v>0</v>
      </c>
      <c r="G714" s="52">
        <v>4800</v>
      </c>
      <c r="H714" s="300">
        <f t="shared" si="179"/>
        <v>4800</v>
      </c>
      <c r="I714" s="52">
        <v>0</v>
      </c>
      <c r="J714" s="52">
        <v>4800</v>
      </c>
      <c r="K714" s="299">
        <f t="shared" si="167"/>
        <v>0</v>
      </c>
      <c r="L714" s="52">
        <v>9735.2999999999993</v>
      </c>
      <c r="M714" s="300">
        <f t="shared" si="181"/>
        <v>9735.2999999999993</v>
      </c>
      <c r="N714" s="65">
        <v>0</v>
      </c>
      <c r="O714" s="52">
        <v>9735.2999999999993</v>
      </c>
      <c r="P714" s="333">
        <f t="shared" si="184"/>
        <v>9735.2999999999993</v>
      </c>
    </row>
    <row r="715" spans="1:16" s="51" customFormat="1" ht="15.75" customHeight="1" x14ac:dyDescent="0.2">
      <c r="A715" s="68" t="s">
        <v>87</v>
      </c>
      <c r="B715" s="53" t="s">
        <v>60</v>
      </c>
      <c r="C715" s="53" t="s">
        <v>45</v>
      </c>
      <c r="D715" s="54" t="s">
        <v>86</v>
      </c>
      <c r="E715" s="53" t="s">
        <v>57</v>
      </c>
      <c r="F715" s="52">
        <f>8966.5+50+718.8</f>
        <v>9735.2999999999993</v>
      </c>
      <c r="G715" s="52">
        <f>9735.3-4800</f>
        <v>4935.2999999999993</v>
      </c>
      <c r="H715" s="300">
        <f t="shared" si="179"/>
        <v>-4800</v>
      </c>
      <c r="I715" s="52">
        <f>8966.5+50+718.8</f>
        <v>9735.2999999999993</v>
      </c>
      <c r="J715" s="52">
        <f>9735.3-4800</f>
        <v>4935.2999999999993</v>
      </c>
      <c r="K715" s="299">
        <f t="shared" si="167"/>
        <v>0</v>
      </c>
      <c r="L715" s="52">
        <f>9735.3-9735.3</f>
        <v>0</v>
      </c>
      <c r="M715" s="300">
        <f t="shared" si="181"/>
        <v>-9735.2999999999993</v>
      </c>
      <c r="N715" s="65">
        <f>8966.5+50+718.8</f>
        <v>9735.2999999999993</v>
      </c>
      <c r="O715" s="52">
        <f>9735.3-9735.3</f>
        <v>0</v>
      </c>
      <c r="P715" s="333">
        <f t="shared" si="184"/>
        <v>-9735.2999999999993</v>
      </c>
    </row>
    <row r="716" spans="1:16" s="51" customFormat="1" ht="14.25" customHeight="1" x14ac:dyDescent="0.2">
      <c r="A716" s="67" t="s">
        <v>85</v>
      </c>
      <c r="B716" s="53" t="s">
        <v>60</v>
      </c>
      <c r="C716" s="53" t="s">
        <v>45</v>
      </c>
      <c r="D716" s="54" t="s">
        <v>80</v>
      </c>
      <c r="E716" s="60"/>
      <c r="F716" s="52">
        <f>F717+F718+F719+F720</f>
        <v>632</v>
      </c>
      <c r="G716" s="52">
        <f>G717+G718+G719+G720</f>
        <v>632</v>
      </c>
      <c r="H716" s="299">
        <f t="shared" si="179"/>
        <v>0</v>
      </c>
      <c r="I716" s="52">
        <f>I717+I718+I719+I720</f>
        <v>652</v>
      </c>
      <c r="J716" s="52">
        <f>J717+J718+J719+J720</f>
        <v>639.1</v>
      </c>
      <c r="K716" s="299">
        <f t="shared" si="167"/>
        <v>7.1000000000000227</v>
      </c>
      <c r="L716" s="52">
        <f>L717+L718+L719+L720</f>
        <v>652</v>
      </c>
      <c r="M716" s="299">
        <f t="shared" si="181"/>
        <v>0</v>
      </c>
      <c r="N716" s="52">
        <f>N717+N718+N719+N720</f>
        <v>652</v>
      </c>
      <c r="O716" s="52">
        <f>O717+O718+O719+O720</f>
        <v>652</v>
      </c>
      <c r="P716" s="299">
        <f t="shared" si="184"/>
        <v>0</v>
      </c>
    </row>
    <row r="717" spans="1:16" s="51" customFormat="1" ht="26.25" customHeight="1" x14ac:dyDescent="0.2">
      <c r="A717" s="66" t="s">
        <v>84</v>
      </c>
      <c r="B717" s="53" t="s">
        <v>60</v>
      </c>
      <c r="C717" s="53" t="s">
        <v>45</v>
      </c>
      <c r="D717" s="54" t="s">
        <v>80</v>
      </c>
      <c r="E717" s="60" t="s">
        <v>83</v>
      </c>
      <c r="F717" s="52">
        <v>50</v>
      </c>
      <c r="G717" s="52">
        <v>50</v>
      </c>
      <c r="H717" s="299">
        <f t="shared" si="179"/>
        <v>0</v>
      </c>
      <c r="I717" s="52">
        <v>50</v>
      </c>
      <c r="J717" s="52">
        <v>50</v>
      </c>
      <c r="K717" s="299">
        <f t="shared" si="167"/>
        <v>0</v>
      </c>
      <c r="L717" s="52">
        <v>50</v>
      </c>
      <c r="M717" s="299">
        <f t="shared" si="181"/>
        <v>0</v>
      </c>
      <c r="N717" s="65">
        <v>50</v>
      </c>
      <c r="O717" s="65">
        <v>50</v>
      </c>
      <c r="P717" s="299">
        <f t="shared" si="184"/>
        <v>0</v>
      </c>
    </row>
    <row r="718" spans="1:16" s="51" customFormat="1" ht="26.25" customHeight="1" x14ac:dyDescent="0.2">
      <c r="A718" s="56" t="s">
        <v>73</v>
      </c>
      <c r="B718" s="53" t="s">
        <v>60</v>
      </c>
      <c r="C718" s="53" t="s">
        <v>45</v>
      </c>
      <c r="D718" s="54" t="s">
        <v>80</v>
      </c>
      <c r="E718" s="60" t="s">
        <v>70</v>
      </c>
      <c r="F718" s="52">
        <v>522</v>
      </c>
      <c r="G718" s="52">
        <v>522</v>
      </c>
      <c r="H718" s="299">
        <f t="shared" si="179"/>
        <v>0</v>
      </c>
      <c r="I718" s="52">
        <v>602</v>
      </c>
      <c r="J718" s="52">
        <f>522+7.1</f>
        <v>529.1</v>
      </c>
      <c r="K718" s="299">
        <f t="shared" si="167"/>
        <v>7.1000000000000227</v>
      </c>
      <c r="L718" s="52">
        <v>602</v>
      </c>
      <c r="M718" s="299">
        <f t="shared" si="181"/>
        <v>0</v>
      </c>
      <c r="N718" s="65">
        <v>602</v>
      </c>
      <c r="O718" s="65">
        <v>602</v>
      </c>
      <c r="P718" s="299">
        <f t="shared" si="184"/>
        <v>0</v>
      </c>
    </row>
    <row r="719" spans="1:16" s="51" customFormat="1" ht="12.75" customHeight="1" x14ac:dyDescent="0.2">
      <c r="A719" s="64" t="s">
        <v>82</v>
      </c>
      <c r="B719" s="53" t="s">
        <v>60</v>
      </c>
      <c r="C719" s="53" t="s">
        <v>45</v>
      </c>
      <c r="D719" s="54" t="s">
        <v>80</v>
      </c>
      <c r="E719" s="60" t="s">
        <v>81</v>
      </c>
      <c r="F719" s="52">
        <v>60</v>
      </c>
      <c r="G719" s="52">
        <v>60</v>
      </c>
      <c r="H719" s="299">
        <f t="shared" si="179"/>
        <v>0</v>
      </c>
      <c r="I719" s="52">
        <v>0</v>
      </c>
      <c r="J719" s="52">
        <v>60</v>
      </c>
      <c r="K719" s="299">
        <f t="shared" si="167"/>
        <v>0</v>
      </c>
      <c r="L719" s="52">
        <v>0</v>
      </c>
      <c r="M719" s="299">
        <f t="shared" si="181"/>
        <v>0</v>
      </c>
      <c r="N719" s="52">
        <v>0</v>
      </c>
      <c r="O719" s="52">
        <v>0</v>
      </c>
      <c r="P719" s="299">
        <f t="shared" si="184"/>
        <v>0</v>
      </c>
    </row>
    <row r="720" spans="1:16" s="51" customFormat="1" ht="13.5" hidden="1" customHeight="1" x14ac:dyDescent="0.2">
      <c r="A720" s="61" t="s">
        <v>61</v>
      </c>
      <c r="B720" s="53" t="s">
        <v>60</v>
      </c>
      <c r="C720" s="53" t="s">
        <v>45</v>
      </c>
      <c r="D720" s="54" t="s">
        <v>80</v>
      </c>
      <c r="E720" s="60" t="s">
        <v>57</v>
      </c>
      <c r="F720" s="52">
        <v>0</v>
      </c>
      <c r="G720" s="52">
        <v>0</v>
      </c>
      <c r="H720" s="299">
        <f t="shared" si="179"/>
        <v>0</v>
      </c>
      <c r="I720" s="52">
        <v>0</v>
      </c>
      <c r="J720" s="52">
        <v>0</v>
      </c>
      <c r="K720" s="299">
        <f t="shared" si="167"/>
        <v>0</v>
      </c>
      <c r="L720" s="52">
        <v>0</v>
      </c>
      <c r="M720" s="299">
        <f t="shared" si="181"/>
        <v>0</v>
      </c>
      <c r="N720" s="52">
        <v>0</v>
      </c>
      <c r="O720" s="52">
        <v>0</v>
      </c>
      <c r="P720" s="299">
        <f t="shared" si="184"/>
        <v>0</v>
      </c>
    </row>
    <row r="721" spans="1:16" s="51" customFormat="1" ht="16.5" customHeight="1" x14ac:dyDescent="0.2">
      <c r="A721" s="63" t="s">
        <v>79</v>
      </c>
      <c r="B721" s="48" t="s">
        <v>60</v>
      </c>
      <c r="C721" s="48" t="s">
        <v>72</v>
      </c>
      <c r="D721" s="54"/>
      <c r="E721" s="53"/>
      <c r="F721" s="52">
        <f t="shared" ref="F721:G723" si="188">F722</f>
        <v>1522.2</v>
      </c>
      <c r="G721" s="52">
        <f t="shared" si="188"/>
        <v>1522.2</v>
      </c>
      <c r="H721" s="299">
        <f t="shared" si="179"/>
        <v>0</v>
      </c>
      <c r="I721" s="52">
        <f t="shared" ref="I721:L723" si="189">I722</f>
        <v>1522.2</v>
      </c>
      <c r="J721" s="52">
        <f t="shared" si="189"/>
        <v>1522.2</v>
      </c>
      <c r="K721" s="299">
        <f t="shared" si="167"/>
        <v>0</v>
      </c>
      <c r="L721" s="52">
        <f t="shared" si="189"/>
        <v>1522.2</v>
      </c>
      <c r="M721" s="299">
        <f t="shared" si="181"/>
        <v>0</v>
      </c>
      <c r="N721" s="52">
        <f t="shared" ref="N721:O723" si="190">N722</f>
        <v>1522.2</v>
      </c>
      <c r="O721" s="52">
        <f t="shared" si="190"/>
        <v>1522.2</v>
      </c>
      <c r="P721" s="299">
        <f t="shared" si="184"/>
        <v>0</v>
      </c>
    </row>
    <row r="722" spans="1:16" s="51" customFormat="1" ht="39" customHeight="1" x14ac:dyDescent="0.2">
      <c r="A722" s="62" t="s">
        <v>68</v>
      </c>
      <c r="B722" s="53" t="s">
        <v>60</v>
      </c>
      <c r="C722" s="53" t="s">
        <v>72</v>
      </c>
      <c r="D722" s="54" t="s">
        <v>67</v>
      </c>
      <c r="E722" s="53"/>
      <c r="F722" s="52">
        <f t="shared" si="188"/>
        <v>1522.2</v>
      </c>
      <c r="G722" s="52">
        <f t="shared" si="188"/>
        <v>1522.2</v>
      </c>
      <c r="H722" s="299">
        <f t="shared" si="179"/>
        <v>0</v>
      </c>
      <c r="I722" s="52">
        <f t="shared" si="189"/>
        <v>1522.2</v>
      </c>
      <c r="J722" s="52">
        <f t="shared" si="189"/>
        <v>1522.2</v>
      </c>
      <c r="K722" s="299">
        <f t="shared" ref="K722:K746" si="191">J722-G722</f>
        <v>0</v>
      </c>
      <c r="L722" s="52">
        <f t="shared" si="189"/>
        <v>1522.2</v>
      </c>
      <c r="M722" s="299">
        <f t="shared" si="181"/>
        <v>0</v>
      </c>
      <c r="N722" s="52">
        <f t="shared" si="190"/>
        <v>1522.2</v>
      </c>
      <c r="O722" s="52">
        <f t="shared" si="190"/>
        <v>1522.2</v>
      </c>
      <c r="P722" s="299">
        <f t="shared" si="184"/>
        <v>0</v>
      </c>
    </row>
    <row r="723" spans="1:16" s="51" customFormat="1" ht="17.25" customHeight="1" x14ac:dyDescent="0.2">
      <c r="A723" s="62" t="s">
        <v>66</v>
      </c>
      <c r="B723" s="53" t="s">
        <v>60</v>
      </c>
      <c r="C723" s="53" t="s">
        <v>72</v>
      </c>
      <c r="D723" s="54" t="s">
        <v>65</v>
      </c>
      <c r="E723" s="53"/>
      <c r="F723" s="52">
        <f t="shared" si="188"/>
        <v>1522.2</v>
      </c>
      <c r="G723" s="52">
        <f t="shared" si="188"/>
        <v>1522.2</v>
      </c>
      <c r="H723" s="299">
        <f t="shared" si="179"/>
        <v>0</v>
      </c>
      <c r="I723" s="52">
        <f t="shared" si="189"/>
        <v>1522.2</v>
      </c>
      <c r="J723" s="52">
        <f t="shared" si="189"/>
        <v>1522.2</v>
      </c>
      <c r="K723" s="299">
        <f t="shared" si="191"/>
        <v>0</v>
      </c>
      <c r="L723" s="52">
        <f t="shared" si="189"/>
        <v>1522.2</v>
      </c>
      <c r="M723" s="299">
        <f t="shared" si="181"/>
        <v>0</v>
      </c>
      <c r="N723" s="52">
        <f t="shared" si="190"/>
        <v>1522.2</v>
      </c>
      <c r="O723" s="52">
        <f t="shared" si="190"/>
        <v>1522.2</v>
      </c>
      <c r="P723" s="299">
        <f t="shared" si="184"/>
        <v>0</v>
      </c>
    </row>
    <row r="724" spans="1:16" s="51" customFormat="1" ht="27" customHeight="1" x14ac:dyDescent="0.2">
      <c r="A724" s="64" t="s">
        <v>78</v>
      </c>
      <c r="B724" s="53" t="s">
        <v>60</v>
      </c>
      <c r="C724" s="53" t="s">
        <v>72</v>
      </c>
      <c r="D724" s="54" t="s">
        <v>77</v>
      </c>
      <c r="E724" s="60"/>
      <c r="F724" s="52">
        <f>F725+F727</f>
        <v>1522.2</v>
      </c>
      <c r="G724" s="52">
        <f>G725+G727</f>
        <v>1522.2</v>
      </c>
      <c r="H724" s="299">
        <f t="shared" si="179"/>
        <v>0</v>
      </c>
      <c r="I724" s="52">
        <f>I725+I727</f>
        <v>1522.2</v>
      </c>
      <c r="J724" s="52">
        <f>J725+J727</f>
        <v>1522.2</v>
      </c>
      <c r="K724" s="299">
        <f t="shared" si="191"/>
        <v>0</v>
      </c>
      <c r="L724" s="52">
        <f>L725+L727</f>
        <v>1522.2</v>
      </c>
      <c r="M724" s="299">
        <f t="shared" si="181"/>
        <v>0</v>
      </c>
      <c r="N724" s="52">
        <f>N725+N727</f>
        <v>1522.2</v>
      </c>
      <c r="O724" s="52">
        <f>O725+O727</f>
        <v>1522.2</v>
      </c>
      <c r="P724" s="299">
        <f t="shared" si="184"/>
        <v>0</v>
      </c>
    </row>
    <row r="725" spans="1:16" s="51" customFormat="1" ht="41.25" customHeight="1" x14ac:dyDescent="0.2">
      <c r="A725" s="56" t="s">
        <v>76</v>
      </c>
      <c r="B725" s="53" t="s">
        <v>60</v>
      </c>
      <c r="C725" s="53" t="s">
        <v>72</v>
      </c>
      <c r="D725" s="54" t="s">
        <v>75</v>
      </c>
      <c r="E725" s="60"/>
      <c r="F725" s="52">
        <f>F726</f>
        <v>522.20000000000005</v>
      </c>
      <c r="G725" s="52">
        <f>G726</f>
        <v>522.20000000000005</v>
      </c>
      <c r="H725" s="299">
        <f t="shared" si="179"/>
        <v>0</v>
      </c>
      <c r="I725" s="52">
        <f>I726</f>
        <v>522.20000000000005</v>
      </c>
      <c r="J725" s="52">
        <f>J726</f>
        <v>522.20000000000005</v>
      </c>
      <c r="K725" s="299">
        <f t="shared" si="191"/>
        <v>0</v>
      </c>
      <c r="L725" s="52">
        <f>L726</f>
        <v>522.20000000000005</v>
      </c>
      <c r="M725" s="299">
        <f t="shared" si="181"/>
        <v>0</v>
      </c>
      <c r="N725" s="52">
        <f>N726</f>
        <v>522.20000000000005</v>
      </c>
      <c r="O725" s="52">
        <f>O726</f>
        <v>522.20000000000005</v>
      </c>
      <c r="P725" s="299">
        <f t="shared" si="184"/>
        <v>0</v>
      </c>
    </row>
    <row r="726" spans="1:16" s="51" customFormat="1" ht="27" customHeight="1" x14ac:dyDescent="0.2">
      <c r="A726" s="56" t="s">
        <v>73</v>
      </c>
      <c r="B726" s="53" t="s">
        <v>60</v>
      </c>
      <c r="C726" s="53" t="s">
        <v>72</v>
      </c>
      <c r="D726" s="54" t="s">
        <v>75</v>
      </c>
      <c r="E726" s="60" t="s">
        <v>70</v>
      </c>
      <c r="F726" s="52">
        <f>470+52.2</f>
        <v>522.20000000000005</v>
      </c>
      <c r="G726" s="52">
        <f>470+52.2</f>
        <v>522.20000000000005</v>
      </c>
      <c r="H726" s="299">
        <f t="shared" si="179"/>
        <v>0</v>
      </c>
      <c r="I726" s="52">
        <f>470+52.2</f>
        <v>522.20000000000005</v>
      </c>
      <c r="J726" s="52">
        <f>470+52.2</f>
        <v>522.20000000000005</v>
      </c>
      <c r="K726" s="299">
        <f t="shared" si="191"/>
        <v>0</v>
      </c>
      <c r="L726" s="52">
        <f>470+52.2</f>
        <v>522.20000000000005</v>
      </c>
      <c r="M726" s="299">
        <f t="shared" si="181"/>
        <v>0</v>
      </c>
      <c r="N726" s="52">
        <f>470+52.2</f>
        <v>522.20000000000005</v>
      </c>
      <c r="O726" s="52">
        <f>470+52.2</f>
        <v>522.20000000000005</v>
      </c>
      <c r="P726" s="299">
        <f t="shared" si="184"/>
        <v>0</v>
      </c>
    </row>
    <row r="727" spans="1:16" s="51" customFormat="1" ht="56.25" customHeight="1" x14ac:dyDescent="0.2">
      <c r="A727" s="64" t="s">
        <v>74</v>
      </c>
      <c r="B727" s="53" t="s">
        <v>60</v>
      </c>
      <c r="C727" s="53" t="s">
        <v>72</v>
      </c>
      <c r="D727" s="54" t="s">
        <v>71</v>
      </c>
      <c r="E727" s="60"/>
      <c r="F727" s="52">
        <f>F728</f>
        <v>1000</v>
      </c>
      <c r="G727" s="52">
        <f>G728</f>
        <v>1000</v>
      </c>
      <c r="H727" s="299">
        <f t="shared" si="179"/>
        <v>0</v>
      </c>
      <c r="I727" s="52">
        <f>I728</f>
        <v>1000</v>
      </c>
      <c r="J727" s="52">
        <f>J728</f>
        <v>1000</v>
      </c>
      <c r="K727" s="299">
        <f t="shared" si="191"/>
        <v>0</v>
      </c>
      <c r="L727" s="52">
        <f>L728</f>
        <v>1000</v>
      </c>
      <c r="M727" s="299">
        <f t="shared" si="181"/>
        <v>0</v>
      </c>
      <c r="N727" s="52">
        <f>N728</f>
        <v>1000</v>
      </c>
      <c r="O727" s="52">
        <f>O728</f>
        <v>1000</v>
      </c>
      <c r="P727" s="299">
        <f t="shared" si="184"/>
        <v>0</v>
      </c>
    </row>
    <row r="728" spans="1:16" s="51" customFormat="1" ht="27" customHeight="1" x14ac:dyDescent="0.2">
      <c r="A728" s="56" t="s">
        <v>73</v>
      </c>
      <c r="B728" s="53" t="s">
        <v>60</v>
      </c>
      <c r="C728" s="53" t="s">
        <v>72</v>
      </c>
      <c r="D728" s="54" t="s">
        <v>71</v>
      </c>
      <c r="E728" s="60" t="s">
        <v>70</v>
      </c>
      <c r="F728" s="52">
        <f>900+100</f>
        <v>1000</v>
      </c>
      <c r="G728" s="52">
        <f>900+100</f>
        <v>1000</v>
      </c>
      <c r="H728" s="299">
        <f t="shared" si="179"/>
        <v>0</v>
      </c>
      <c r="I728" s="52">
        <f>900+100</f>
        <v>1000</v>
      </c>
      <c r="J728" s="52">
        <f>900+100</f>
        <v>1000</v>
      </c>
      <c r="K728" s="299">
        <f t="shared" si="191"/>
        <v>0</v>
      </c>
      <c r="L728" s="52">
        <f>900+100</f>
        <v>1000</v>
      </c>
      <c r="M728" s="299">
        <f t="shared" si="181"/>
        <v>0</v>
      </c>
      <c r="N728" s="52">
        <f>900+100</f>
        <v>1000</v>
      </c>
      <c r="O728" s="52">
        <f>900+100</f>
        <v>1000</v>
      </c>
      <c r="P728" s="299">
        <f t="shared" si="184"/>
        <v>0</v>
      </c>
    </row>
    <row r="729" spans="1:16" s="51" customFormat="1" ht="15.75" customHeight="1" x14ac:dyDescent="0.2">
      <c r="A729" s="63" t="s">
        <v>69</v>
      </c>
      <c r="B729" s="48" t="s">
        <v>60</v>
      </c>
      <c r="C729" s="48" t="s">
        <v>59</v>
      </c>
      <c r="D729" s="54"/>
      <c r="E729" s="53"/>
      <c r="F729" s="52">
        <f>F730</f>
        <v>464.4</v>
      </c>
      <c r="G729" s="52">
        <f>G730</f>
        <v>8630.5</v>
      </c>
      <c r="H729" s="299">
        <f t="shared" si="179"/>
        <v>8166.1</v>
      </c>
      <c r="I729" s="52">
        <f>I730</f>
        <v>464.4</v>
      </c>
      <c r="J729" s="52">
        <f>J730</f>
        <v>8623.4</v>
      </c>
      <c r="K729" s="299">
        <f t="shared" si="191"/>
        <v>-7.1000000000003638</v>
      </c>
      <c r="L729" s="52">
        <f>L730</f>
        <v>464.4</v>
      </c>
      <c r="M729" s="299">
        <f t="shared" si="181"/>
        <v>0</v>
      </c>
      <c r="N729" s="52">
        <f>N730</f>
        <v>464.4</v>
      </c>
      <c r="O729" s="52">
        <f>O730</f>
        <v>464.4</v>
      </c>
      <c r="P729" s="299">
        <f t="shared" si="184"/>
        <v>0</v>
      </c>
    </row>
    <row r="730" spans="1:16" s="51" customFormat="1" ht="45" customHeight="1" x14ac:dyDescent="0.2">
      <c r="A730" s="62" t="s">
        <v>68</v>
      </c>
      <c r="B730" s="53" t="s">
        <v>60</v>
      </c>
      <c r="C730" s="53" t="s">
        <v>59</v>
      </c>
      <c r="D730" s="54" t="s">
        <v>67</v>
      </c>
      <c r="E730" s="53"/>
      <c r="F730" s="52">
        <f>F732</f>
        <v>464.4</v>
      </c>
      <c r="G730" s="52">
        <f>G732</f>
        <v>8630.5</v>
      </c>
      <c r="H730" s="299">
        <f t="shared" si="179"/>
        <v>8166.1</v>
      </c>
      <c r="I730" s="52">
        <f>I732</f>
        <v>464.4</v>
      </c>
      <c r="J730" s="52">
        <f>J732</f>
        <v>8623.4</v>
      </c>
      <c r="K730" s="299">
        <f t="shared" si="191"/>
        <v>-7.1000000000003638</v>
      </c>
      <c r="L730" s="52">
        <f>L732</f>
        <v>464.4</v>
      </c>
      <c r="M730" s="299">
        <f t="shared" si="181"/>
        <v>0</v>
      </c>
      <c r="N730" s="52">
        <f>N732</f>
        <v>464.4</v>
      </c>
      <c r="O730" s="52">
        <f>O732</f>
        <v>464.4</v>
      </c>
      <c r="P730" s="299">
        <f t="shared" si="184"/>
        <v>0</v>
      </c>
    </row>
    <row r="731" spans="1:16" s="51" customFormat="1" ht="16.5" customHeight="1" x14ac:dyDescent="0.2">
      <c r="A731" s="62" t="s">
        <v>66</v>
      </c>
      <c r="B731" s="53" t="s">
        <v>60</v>
      </c>
      <c r="C731" s="53" t="s">
        <v>59</v>
      </c>
      <c r="D731" s="54" t="s">
        <v>65</v>
      </c>
      <c r="E731" s="53"/>
      <c r="F731" s="52">
        <f t="shared" ref="F731:G733" si="192">F732</f>
        <v>464.4</v>
      </c>
      <c r="G731" s="52">
        <f t="shared" si="192"/>
        <v>8630.5</v>
      </c>
      <c r="H731" s="299">
        <f t="shared" si="179"/>
        <v>8166.1</v>
      </c>
      <c r="I731" s="52">
        <f t="shared" ref="I731:L733" si="193">I732</f>
        <v>464.4</v>
      </c>
      <c r="J731" s="52">
        <f t="shared" si="193"/>
        <v>8623.4</v>
      </c>
      <c r="K731" s="299">
        <f t="shared" si="191"/>
        <v>-7.1000000000003638</v>
      </c>
      <c r="L731" s="52">
        <f t="shared" si="193"/>
        <v>464.4</v>
      </c>
      <c r="M731" s="299">
        <f t="shared" si="181"/>
        <v>0</v>
      </c>
      <c r="N731" s="52">
        <f t="shared" ref="N731:O733" si="194">N732</f>
        <v>464.4</v>
      </c>
      <c r="O731" s="52">
        <f t="shared" si="194"/>
        <v>464.4</v>
      </c>
      <c r="P731" s="299">
        <f t="shared" si="184"/>
        <v>0</v>
      </c>
    </row>
    <row r="732" spans="1:16" s="51" customFormat="1" ht="29.25" customHeight="1" x14ac:dyDescent="0.2">
      <c r="A732" s="56" t="s">
        <v>64</v>
      </c>
      <c r="B732" s="53" t="s">
        <v>60</v>
      </c>
      <c r="C732" s="53" t="s">
        <v>59</v>
      </c>
      <c r="D732" s="54" t="s">
        <v>63</v>
      </c>
      <c r="E732" s="60"/>
      <c r="F732" s="52">
        <f>F733+F735</f>
        <v>464.4</v>
      </c>
      <c r="G732" s="52">
        <f t="shared" ref="G732:O732" si="195">G733+G735</f>
        <v>8630.5</v>
      </c>
      <c r="H732" s="299">
        <f t="shared" si="179"/>
        <v>8166.1</v>
      </c>
      <c r="I732" s="52">
        <f t="shared" si="195"/>
        <v>464.4</v>
      </c>
      <c r="J732" s="52">
        <f t="shared" si="195"/>
        <v>8623.4</v>
      </c>
      <c r="K732" s="299">
        <f t="shared" si="191"/>
        <v>-7.1000000000003638</v>
      </c>
      <c r="L732" s="52">
        <f t="shared" si="195"/>
        <v>464.4</v>
      </c>
      <c r="M732" s="299">
        <f t="shared" si="181"/>
        <v>0</v>
      </c>
      <c r="N732" s="52">
        <f t="shared" si="195"/>
        <v>464.4</v>
      </c>
      <c r="O732" s="52">
        <f t="shared" si="195"/>
        <v>464.4</v>
      </c>
      <c r="P732" s="299">
        <f t="shared" si="184"/>
        <v>0</v>
      </c>
    </row>
    <row r="733" spans="1:16" s="51" customFormat="1" ht="29.25" customHeight="1" x14ac:dyDescent="0.2">
      <c r="A733" s="62" t="s">
        <v>62</v>
      </c>
      <c r="B733" s="53" t="s">
        <v>60</v>
      </c>
      <c r="C733" s="53" t="s">
        <v>59</v>
      </c>
      <c r="D733" s="54" t="s">
        <v>58</v>
      </c>
      <c r="E733" s="60"/>
      <c r="F733" s="52">
        <f t="shared" si="192"/>
        <v>464.4</v>
      </c>
      <c r="G733" s="52">
        <f t="shared" si="192"/>
        <v>464.4</v>
      </c>
      <c r="H733" s="299">
        <f t="shared" si="179"/>
        <v>0</v>
      </c>
      <c r="I733" s="52">
        <f t="shared" si="193"/>
        <v>464.4</v>
      </c>
      <c r="J733" s="52">
        <f t="shared" si="193"/>
        <v>464.4</v>
      </c>
      <c r="K733" s="299">
        <f t="shared" si="191"/>
        <v>0</v>
      </c>
      <c r="L733" s="52">
        <f t="shared" si="193"/>
        <v>464.4</v>
      </c>
      <c r="M733" s="299">
        <f t="shared" si="181"/>
        <v>0</v>
      </c>
      <c r="N733" s="52">
        <f t="shared" si="194"/>
        <v>464.4</v>
      </c>
      <c r="O733" s="52">
        <f t="shared" si="194"/>
        <v>464.4</v>
      </c>
      <c r="P733" s="299">
        <f t="shared" si="184"/>
        <v>0</v>
      </c>
    </row>
    <row r="734" spans="1:16" s="51" customFormat="1" ht="17.25" customHeight="1" x14ac:dyDescent="0.2">
      <c r="A734" s="61" t="s">
        <v>61</v>
      </c>
      <c r="B734" s="53" t="s">
        <v>60</v>
      </c>
      <c r="C734" s="53" t="s">
        <v>59</v>
      </c>
      <c r="D734" s="54" t="s">
        <v>58</v>
      </c>
      <c r="E734" s="60" t="s">
        <v>57</v>
      </c>
      <c r="F734" s="52">
        <f>418+46.4</f>
        <v>464.4</v>
      </c>
      <c r="G734" s="52">
        <f>418+46.4</f>
        <v>464.4</v>
      </c>
      <c r="H734" s="299">
        <f t="shared" si="179"/>
        <v>0</v>
      </c>
      <c r="I734" s="52">
        <f>418+46.4</f>
        <v>464.4</v>
      </c>
      <c r="J734" s="52">
        <f>418+46.4</f>
        <v>464.4</v>
      </c>
      <c r="K734" s="299">
        <f t="shared" si="191"/>
        <v>0</v>
      </c>
      <c r="L734" s="52">
        <f>418+46.4</f>
        <v>464.4</v>
      </c>
      <c r="M734" s="299">
        <f t="shared" si="181"/>
        <v>0</v>
      </c>
      <c r="N734" s="52">
        <f>418+46.4</f>
        <v>464.4</v>
      </c>
      <c r="O734" s="52">
        <f>418+46.4</f>
        <v>464.4</v>
      </c>
      <c r="P734" s="299">
        <f t="shared" si="184"/>
        <v>0</v>
      </c>
    </row>
    <row r="735" spans="1:16" s="51" customFormat="1" ht="28.5" customHeight="1" x14ac:dyDescent="0.2">
      <c r="A735" s="64" t="s">
        <v>1072</v>
      </c>
      <c r="B735" s="53" t="s">
        <v>60</v>
      </c>
      <c r="C735" s="53" t="s">
        <v>59</v>
      </c>
      <c r="D735" s="54" t="s">
        <v>1071</v>
      </c>
      <c r="E735" s="60"/>
      <c r="F735" s="52">
        <f>F736</f>
        <v>0</v>
      </c>
      <c r="G735" s="52">
        <f t="shared" ref="G735:O735" si="196">G736</f>
        <v>8166.1</v>
      </c>
      <c r="H735" s="299">
        <f t="shared" si="179"/>
        <v>8166.1</v>
      </c>
      <c r="I735" s="52">
        <f t="shared" si="196"/>
        <v>0</v>
      </c>
      <c r="J735" s="52">
        <f t="shared" si="196"/>
        <v>8159</v>
      </c>
      <c r="K735" s="299">
        <f t="shared" si="191"/>
        <v>-7.1000000000003638</v>
      </c>
      <c r="L735" s="52">
        <f t="shared" si="196"/>
        <v>0</v>
      </c>
      <c r="M735" s="299">
        <f t="shared" si="181"/>
        <v>0</v>
      </c>
      <c r="N735" s="52">
        <f t="shared" si="196"/>
        <v>0</v>
      </c>
      <c r="O735" s="52">
        <f t="shared" si="196"/>
        <v>0</v>
      </c>
      <c r="P735" s="299">
        <f t="shared" si="184"/>
        <v>0</v>
      </c>
    </row>
    <row r="736" spans="1:16" s="51" customFormat="1" ht="17.25" customHeight="1" x14ac:dyDescent="0.2">
      <c r="A736" s="84" t="s">
        <v>73</v>
      </c>
      <c r="B736" s="53" t="s">
        <v>60</v>
      </c>
      <c r="C736" s="53" t="s">
        <v>59</v>
      </c>
      <c r="D736" s="54" t="s">
        <v>1071</v>
      </c>
      <c r="E736" s="60" t="s">
        <v>70</v>
      </c>
      <c r="F736" s="52">
        <v>0</v>
      </c>
      <c r="G736" s="52">
        <f>251.8+7914.3</f>
        <v>8166.1</v>
      </c>
      <c r="H736" s="300">
        <f t="shared" si="179"/>
        <v>8166.1</v>
      </c>
      <c r="I736" s="52">
        <v>0</v>
      </c>
      <c r="J736" s="52">
        <f>8166.1-7.1</f>
        <v>8159</v>
      </c>
      <c r="K736" s="299">
        <f t="shared" si="191"/>
        <v>-7.1000000000003638</v>
      </c>
      <c r="L736" s="52">
        <v>0</v>
      </c>
      <c r="M736" s="299">
        <f t="shared" si="181"/>
        <v>0</v>
      </c>
      <c r="N736" s="65">
        <v>0</v>
      </c>
      <c r="O736" s="52">
        <v>0</v>
      </c>
      <c r="P736" s="299">
        <f t="shared" si="184"/>
        <v>0</v>
      </c>
    </row>
    <row r="737" spans="1:20" s="51" customFormat="1" ht="30.75" customHeight="1" x14ac:dyDescent="0.2">
      <c r="A737" s="59" t="s">
        <v>56</v>
      </c>
      <c r="B737" s="402" t="s">
        <v>46</v>
      </c>
      <c r="C737" s="402"/>
      <c r="D737" s="54"/>
      <c r="E737" s="53"/>
      <c r="F737" s="52">
        <f t="shared" ref="F737:G742" si="197">F738</f>
        <v>80.5</v>
      </c>
      <c r="G737" s="52">
        <f t="shared" si="197"/>
        <v>80.5</v>
      </c>
      <c r="H737" s="299">
        <f t="shared" si="179"/>
        <v>0</v>
      </c>
      <c r="I737" s="52">
        <f t="shared" ref="I737:L742" si="198">I738</f>
        <v>80.5</v>
      </c>
      <c r="J737" s="52">
        <f t="shared" si="198"/>
        <v>80.5</v>
      </c>
      <c r="K737" s="299">
        <f t="shared" si="191"/>
        <v>0</v>
      </c>
      <c r="L737" s="52">
        <f t="shared" si="198"/>
        <v>80.5</v>
      </c>
      <c r="M737" s="299">
        <f t="shared" si="181"/>
        <v>0</v>
      </c>
      <c r="N737" s="52">
        <f t="shared" ref="N737:O742" si="199">N738</f>
        <v>30</v>
      </c>
      <c r="O737" s="52">
        <f t="shared" si="199"/>
        <v>30</v>
      </c>
      <c r="P737" s="299">
        <f t="shared" si="184"/>
        <v>0</v>
      </c>
    </row>
    <row r="738" spans="1:20" s="51" customFormat="1" ht="27.75" customHeight="1" x14ac:dyDescent="0.2">
      <c r="A738" s="59" t="s">
        <v>55</v>
      </c>
      <c r="B738" s="402" t="s">
        <v>46</v>
      </c>
      <c r="C738" s="402" t="s">
        <v>45</v>
      </c>
      <c r="D738" s="54"/>
      <c r="E738" s="53"/>
      <c r="F738" s="52">
        <f t="shared" si="197"/>
        <v>80.5</v>
      </c>
      <c r="G738" s="52">
        <f t="shared" si="197"/>
        <v>80.5</v>
      </c>
      <c r="H738" s="299">
        <f t="shared" si="179"/>
        <v>0</v>
      </c>
      <c r="I738" s="52">
        <f t="shared" si="198"/>
        <v>80.5</v>
      </c>
      <c r="J738" s="52">
        <f t="shared" si="198"/>
        <v>80.5</v>
      </c>
      <c r="K738" s="299">
        <f t="shared" si="191"/>
        <v>0</v>
      </c>
      <c r="L738" s="52">
        <f t="shared" si="198"/>
        <v>80.5</v>
      </c>
      <c r="M738" s="299">
        <f t="shared" si="181"/>
        <v>0</v>
      </c>
      <c r="N738" s="52">
        <f t="shared" si="199"/>
        <v>30</v>
      </c>
      <c r="O738" s="52">
        <f t="shared" si="199"/>
        <v>30</v>
      </c>
      <c r="P738" s="299">
        <f t="shared" si="184"/>
        <v>0</v>
      </c>
    </row>
    <row r="739" spans="1:20" s="51" customFormat="1" ht="26.25" customHeight="1" x14ac:dyDescent="0.2">
      <c r="A739" s="58" t="s">
        <v>54</v>
      </c>
      <c r="B739" s="55" t="s">
        <v>46</v>
      </c>
      <c r="C739" s="55" t="s">
        <v>45</v>
      </c>
      <c r="D739" s="54" t="s">
        <v>53</v>
      </c>
      <c r="E739" s="53"/>
      <c r="F739" s="52">
        <f t="shared" si="197"/>
        <v>80.5</v>
      </c>
      <c r="G739" s="52">
        <f t="shared" si="197"/>
        <v>80.5</v>
      </c>
      <c r="H739" s="299">
        <f t="shared" si="179"/>
        <v>0</v>
      </c>
      <c r="I739" s="52">
        <f t="shared" si="198"/>
        <v>80.5</v>
      </c>
      <c r="J739" s="52">
        <f t="shared" si="198"/>
        <v>80.5</v>
      </c>
      <c r="K739" s="299">
        <f t="shared" si="191"/>
        <v>0</v>
      </c>
      <c r="L739" s="52">
        <f t="shared" si="198"/>
        <v>80.5</v>
      </c>
      <c r="M739" s="299">
        <f t="shared" si="181"/>
        <v>0</v>
      </c>
      <c r="N739" s="52">
        <f t="shared" si="199"/>
        <v>30</v>
      </c>
      <c r="O739" s="52">
        <f t="shared" si="199"/>
        <v>30</v>
      </c>
      <c r="P739" s="299">
        <f t="shared" si="184"/>
        <v>0</v>
      </c>
    </row>
    <row r="740" spans="1:20" s="51" customFormat="1" ht="19.5" customHeight="1" x14ac:dyDescent="0.2">
      <c r="A740" s="58" t="s">
        <v>52</v>
      </c>
      <c r="B740" s="55" t="s">
        <v>46</v>
      </c>
      <c r="C740" s="55" t="s">
        <v>45</v>
      </c>
      <c r="D740" s="54" t="s">
        <v>51</v>
      </c>
      <c r="E740" s="53"/>
      <c r="F740" s="52">
        <f t="shared" si="197"/>
        <v>80.5</v>
      </c>
      <c r="G740" s="52">
        <f t="shared" si="197"/>
        <v>80.5</v>
      </c>
      <c r="H740" s="299">
        <f t="shared" si="179"/>
        <v>0</v>
      </c>
      <c r="I740" s="52">
        <f t="shared" si="198"/>
        <v>80.5</v>
      </c>
      <c r="J740" s="52">
        <f t="shared" si="198"/>
        <v>80.5</v>
      </c>
      <c r="K740" s="299">
        <f t="shared" si="191"/>
        <v>0</v>
      </c>
      <c r="L740" s="52">
        <f t="shared" si="198"/>
        <v>80.5</v>
      </c>
      <c r="M740" s="299">
        <f t="shared" si="181"/>
        <v>0</v>
      </c>
      <c r="N740" s="52">
        <f t="shared" si="199"/>
        <v>30</v>
      </c>
      <c r="O740" s="52">
        <f t="shared" si="199"/>
        <v>30</v>
      </c>
      <c r="P740" s="299">
        <f t="shared" si="184"/>
        <v>0</v>
      </c>
    </row>
    <row r="741" spans="1:20" s="51" customFormat="1" ht="40.5" customHeight="1" x14ac:dyDescent="0.2">
      <c r="A741" s="57" t="s">
        <v>50</v>
      </c>
      <c r="B741" s="55" t="s">
        <v>46</v>
      </c>
      <c r="C741" s="55" t="s">
        <v>45</v>
      </c>
      <c r="D741" s="54" t="s">
        <v>49</v>
      </c>
      <c r="E741" s="53"/>
      <c r="F741" s="52">
        <f t="shared" si="197"/>
        <v>80.5</v>
      </c>
      <c r="G741" s="52">
        <f t="shared" si="197"/>
        <v>80.5</v>
      </c>
      <c r="H741" s="299">
        <f t="shared" si="179"/>
        <v>0</v>
      </c>
      <c r="I741" s="52">
        <f t="shared" si="198"/>
        <v>80.5</v>
      </c>
      <c r="J741" s="52">
        <f t="shared" si="198"/>
        <v>80.5</v>
      </c>
      <c r="K741" s="299">
        <f t="shared" si="191"/>
        <v>0</v>
      </c>
      <c r="L741" s="52">
        <f t="shared" si="198"/>
        <v>80.5</v>
      </c>
      <c r="M741" s="299">
        <f t="shared" si="181"/>
        <v>0</v>
      </c>
      <c r="N741" s="52">
        <f t="shared" si="199"/>
        <v>30</v>
      </c>
      <c r="O741" s="52">
        <f t="shared" si="199"/>
        <v>30</v>
      </c>
      <c r="P741" s="299">
        <f t="shared" si="184"/>
        <v>0</v>
      </c>
    </row>
    <row r="742" spans="1:20" s="51" customFormat="1" ht="26.25" customHeight="1" x14ac:dyDescent="0.2">
      <c r="A742" s="57" t="s">
        <v>48</v>
      </c>
      <c r="B742" s="55" t="s">
        <v>46</v>
      </c>
      <c r="C742" s="55" t="s">
        <v>45</v>
      </c>
      <c r="D742" s="54" t="s">
        <v>44</v>
      </c>
      <c r="E742" s="53"/>
      <c r="F742" s="52">
        <f t="shared" si="197"/>
        <v>80.5</v>
      </c>
      <c r="G742" s="52">
        <f t="shared" si="197"/>
        <v>80.5</v>
      </c>
      <c r="H742" s="299">
        <f t="shared" si="179"/>
        <v>0</v>
      </c>
      <c r="I742" s="52">
        <f t="shared" si="198"/>
        <v>80.5</v>
      </c>
      <c r="J742" s="52">
        <f t="shared" si="198"/>
        <v>80.5</v>
      </c>
      <c r="K742" s="299">
        <f t="shared" si="191"/>
        <v>0</v>
      </c>
      <c r="L742" s="52">
        <f t="shared" si="198"/>
        <v>80.5</v>
      </c>
      <c r="M742" s="299">
        <f t="shared" si="181"/>
        <v>0</v>
      </c>
      <c r="N742" s="52">
        <f t="shared" si="199"/>
        <v>30</v>
      </c>
      <c r="O742" s="52">
        <f t="shared" si="199"/>
        <v>30</v>
      </c>
      <c r="P742" s="299">
        <f t="shared" si="184"/>
        <v>0</v>
      </c>
    </row>
    <row r="743" spans="1:20" s="51" customFormat="1" ht="18" customHeight="1" x14ac:dyDescent="0.2">
      <c r="A743" s="56" t="s">
        <v>47</v>
      </c>
      <c r="B743" s="55" t="s">
        <v>46</v>
      </c>
      <c r="C743" s="55" t="s">
        <v>45</v>
      </c>
      <c r="D743" s="54" t="s">
        <v>44</v>
      </c>
      <c r="E743" s="53" t="s">
        <v>43</v>
      </c>
      <c r="F743" s="52">
        <v>80.5</v>
      </c>
      <c r="G743" s="52">
        <v>80.5</v>
      </c>
      <c r="H743" s="299">
        <f t="shared" si="179"/>
        <v>0</v>
      </c>
      <c r="I743" s="52">
        <v>80.5</v>
      </c>
      <c r="J743" s="52">
        <v>80.5</v>
      </c>
      <c r="K743" s="299">
        <f t="shared" si="191"/>
        <v>0</v>
      </c>
      <c r="L743" s="52">
        <v>80.5</v>
      </c>
      <c r="M743" s="299">
        <f t="shared" si="181"/>
        <v>0</v>
      </c>
      <c r="N743" s="52">
        <v>30</v>
      </c>
      <c r="O743" s="52">
        <v>30</v>
      </c>
      <c r="P743" s="299">
        <f t="shared" si="184"/>
        <v>0</v>
      </c>
    </row>
    <row r="744" spans="1:20" s="47" customFormat="1" ht="15.75" customHeight="1" x14ac:dyDescent="0.2">
      <c r="A744" s="50" t="s">
        <v>42</v>
      </c>
      <c r="B744" s="48"/>
      <c r="C744" s="48"/>
      <c r="D744" s="49"/>
      <c r="E744" s="48"/>
      <c r="F744" s="44">
        <f>F7+F13+F18+F56+F60+F82+F86+F173+F180+F198+F210+F237+F243+F252+F272+F308+F333+F370+F426+F453+F472+F532+F557+F568+F584+F638+F643+F650+F702+F721+F729+F738+F693+F624</f>
        <v>961543.60000000009</v>
      </c>
      <c r="G744" s="44">
        <f>G7+G13+G18+G56+G60+G82+G86+G173+G180+G198+G210+G237+G243+G252+G272+G308+G333+G370+G426+G453+G472+G532+G557+G568+G584+G638+G643+G650+G702+G721+G729+G738+G693+G624</f>
        <v>1234709.4999999998</v>
      </c>
      <c r="H744" s="299">
        <f t="shared" si="179"/>
        <v>273165.89999999967</v>
      </c>
      <c r="I744" s="44">
        <f>I7+I13+I18+I56+I60+I82+I86+I173+I180+I198+I210+I237+I243+I252+I272+I308+I333+I370+I426+I453+I472+I532+I557+I568+I584+I638+I643+I650+I702+I721+I729+I738+I693</f>
        <v>666518.00000000023</v>
      </c>
      <c r="J744" s="44">
        <f>J7+J13+J18+J56+J60+J82+J86+J173+J180+J198+J210+J237+J243+J252+J272+J308+J333+J370+J426+J453+J472+J532+J557+J568+J584+J638+J643+J650+J702+J721+J729+J738+J693+J624</f>
        <v>1278635.2</v>
      </c>
      <c r="K744" s="299">
        <f t="shared" si="191"/>
        <v>43925.700000000186</v>
      </c>
      <c r="L744" s="44">
        <f>L7+L13+L18+L56+L60+L82+L86+L173+L180+L198+L210+L237+L243+L252+L272+L308+L333+L370+L426+L453+L472+L532+L557+L568+L584+L638+L643+L650+L702+L721+L729+L738+L693</f>
        <v>653690.00000000012</v>
      </c>
      <c r="M744" s="299">
        <f t="shared" si="181"/>
        <v>-12828.000000000116</v>
      </c>
      <c r="N744" s="44">
        <f>N7+N13+N18+N56+N60+N82+N86+N173+N180+N198+N210+N237+N243+N252+N272+N308+N333+N370+N426+N453+N472+N532+N557+N568+N584+N638+N643+N650+N702+N721+N729+N738+N693</f>
        <v>739249.20000000007</v>
      </c>
      <c r="O744" s="44">
        <f>O7+O13+O18+O56+O60+O82+O86+O173+O180+O198+O210+O237+O243+O252+O272+O308+O333+O370+O426+O453+O472+O532+O557+O568+O584+O638+O643+O650+O702+O721+O729+O738+O693</f>
        <v>726379.20000000007</v>
      </c>
      <c r="P744" s="299">
        <f t="shared" si="184"/>
        <v>-12870</v>
      </c>
    </row>
    <row r="745" spans="1:20" s="47" customFormat="1" ht="15.75" customHeight="1" x14ac:dyDescent="0.2">
      <c r="A745" s="50" t="s">
        <v>41</v>
      </c>
      <c r="B745" s="48"/>
      <c r="C745" s="48"/>
      <c r="D745" s="49"/>
      <c r="E745" s="48"/>
      <c r="F745" s="44"/>
      <c r="G745" s="44"/>
      <c r="H745" s="299">
        <f t="shared" si="179"/>
        <v>0</v>
      </c>
      <c r="I745" s="44">
        <v>9621.7999999999993</v>
      </c>
      <c r="J745" s="44"/>
      <c r="K745" s="299">
        <f t="shared" si="191"/>
        <v>0</v>
      </c>
      <c r="L745" s="44">
        <v>9621.7999999999993</v>
      </c>
      <c r="M745" s="299">
        <f t="shared" si="181"/>
        <v>0</v>
      </c>
      <c r="N745" s="44">
        <v>19977.900000000001</v>
      </c>
      <c r="O745" s="44">
        <v>19977.900000000001</v>
      </c>
      <c r="P745" s="299">
        <f t="shared" si="184"/>
        <v>0</v>
      </c>
    </row>
    <row r="746" spans="1:20" s="43" customFormat="1" ht="21" customHeight="1" x14ac:dyDescent="0.2">
      <c r="A746" s="46" t="s">
        <v>40</v>
      </c>
      <c r="B746" s="45"/>
      <c r="C746" s="45"/>
      <c r="D746" s="45"/>
      <c r="E746" s="45"/>
      <c r="F746" s="44">
        <f>F6+F172+F179+F236+F307+F425+F452+F583+F637+F642+F701+F737</f>
        <v>961543.60000000009</v>
      </c>
      <c r="G746" s="44">
        <f>G6+G172+G179+G236+G307+G425+G452+G583+G637+G642+G701+G737</f>
        <v>1234709.4999999998</v>
      </c>
      <c r="H746" s="299">
        <f t="shared" si="179"/>
        <v>273165.89999999967</v>
      </c>
      <c r="I746" s="44">
        <f>I6+I172+I179+I236+I307+I425+I452+I583+I637+I642+I701+I737+I745</f>
        <v>676139.80000000016</v>
      </c>
      <c r="J746" s="44">
        <f>J6+J172+J179+J236+J307+J425+J452+J583+J637+J642+J701+J737</f>
        <v>1278706.5999999999</v>
      </c>
      <c r="K746" s="299">
        <f t="shared" si="191"/>
        <v>43997.100000000093</v>
      </c>
      <c r="L746" s="44">
        <f>L6+L172+L179+L236+L307+L425+L452+L583+L637+L642+L701+L737+L745</f>
        <v>663311.80000000016</v>
      </c>
      <c r="M746" s="299">
        <f t="shared" si="181"/>
        <v>-12828</v>
      </c>
      <c r="N746" s="44">
        <f>N6+N172+N179+N236+N307+N425+N452+N583+N637+N642+N701+N737+N745</f>
        <v>759227.10000000009</v>
      </c>
      <c r="O746" s="44">
        <f>O6+O172+O179+O236+O307+O425+O452+O583+O637+O642+O701+O737+O745</f>
        <v>746357.10000000009</v>
      </c>
      <c r="P746" s="299">
        <f t="shared" si="184"/>
        <v>-12870</v>
      </c>
    </row>
    <row r="748" spans="1:20" x14ac:dyDescent="0.2">
      <c r="E748" s="37"/>
      <c r="F748" s="38"/>
      <c r="G748" s="38"/>
      <c r="H748" s="301"/>
      <c r="I748" s="39"/>
      <c r="J748" s="38"/>
      <c r="K748" s="301"/>
      <c r="L748" s="39"/>
      <c r="M748" s="302"/>
      <c r="P748" s="302"/>
    </row>
    <row r="749" spans="1:20" x14ac:dyDescent="0.2">
      <c r="E749" s="37"/>
      <c r="F749" s="38"/>
      <c r="G749" s="38"/>
      <c r="H749" s="301"/>
      <c r="I749" s="39"/>
      <c r="J749" s="38"/>
      <c r="K749" s="301"/>
      <c r="L749" s="39"/>
      <c r="M749" s="302"/>
      <c r="P749" s="302"/>
    </row>
    <row r="750" spans="1:20" s="33" customFormat="1" x14ac:dyDescent="0.2">
      <c r="A750" s="36"/>
      <c r="B750" s="35"/>
      <c r="C750" s="35"/>
      <c r="D750" s="34"/>
      <c r="E750" s="37"/>
      <c r="F750" s="38"/>
      <c r="G750" s="38"/>
      <c r="H750" s="301"/>
      <c r="I750" s="39"/>
      <c r="J750" s="38"/>
      <c r="K750" s="301"/>
      <c r="L750" s="39"/>
      <c r="M750" s="302"/>
      <c r="P750" s="302"/>
      <c r="Q750" s="31"/>
      <c r="R750" s="31"/>
      <c r="S750" s="31"/>
      <c r="T750" s="31"/>
    </row>
    <row r="751" spans="1:20" s="33" customFormat="1" x14ac:dyDescent="0.2">
      <c r="A751" s="36"/>
      <c r="B751" s="35"/>
      <c r="C751" s="35"/>
      <c r="D751" s="34"/>
      <c r="E751" s="37"/>
      <c r="F751" s="38"/>
      <c r="G751" s="38"/>
      <c r="H751" s="301">
        <v>1219.2</v>
      </c>
      <c r="I751" s="39" t="s">
        <v>1090</v>
      </c>
      <c r="J751" s="38"/>
      <c r="K751" s="301"/>
      <c r="L751" s="39"/>
      <c r="M751" s="302"/>
      <c r="P751" s="302"/>
      <c r="Q751" s="31"/>
      <c r="R751" s="31"/>
      <c r="S751" s="31"/>
      <c r="T751" s="31"/>
    </row>
    <row r="752" spans="1:20" s="33" customFormat="1" x14ac:dyDescent="0.2">
      <c r="A752" s="36"/>
      <c r="B752" s="35"/>
      <c r="C752" s="35"/>
      <c r="D752" s="34"/>
      <c r="E752" s="37"/>
      <c r="F752" s="38">
        <f>F751-2800+H751</f>
        <v>-1580.8</v>
      </c>
      <c r="G752" s="38"/>
      <c r="H752" s="301"/>
      <c r="I752" s="40"/>
      <c r="J752" s="38"/>
      <c r="K752" s="301"/>
      <c r="L752" s="40"/>
      <c r="M752" s="303"/>
      <c r="P752" s="303"/>
      <c r="Q752" s="31"/>
      <c r="R752" s="31"/>
      <c r="S752" s="31"/>
      <c r="T752" s="31"/>
    </row>
    <row r="753" spans="1:20" s="33" customFormat="1" x14ac:dyDescent="0.2">
      <c r="A753" s="36"/>
      <c r="B753" s="35"/>
      <c r="C753" s="35"/>
      <c r="D753" s="34"/>
      <c r="E753" s="37"/>
      <c r="F753" s="38"/>
      <c r="G753" s="38"/>
      <c r="H753" s="301"/>
      <c r="I753" s="40"/>
      <c r="J753" s="38"/>
      <c r="K753" s="301"/>
      <c r="L753" s="40"/>
      <c r="M753" s="303"/>
      <c r="P753" s="303"/>
      <c r="Q753" s="31"/>
      <c r="R753" s="31"/>
      <c r="S753" s="31"/>
      <c r="T753" s="31"/>
    </row>
    <row r="754" spans="1:20" s="33" customFormat="1" x14ac:dyDescent="0.2">
      <c r="A754" s="36"/>
      <c r="B754" s="35"/>
      <c r="C754" s="35"/>
      <c r="D754" s="34"/>
      <c r="E754" s="37"/>
      <c r="F754" s="38"/>
      <c r="G754" s="38"/>
      <c r="H754" s="301"/>
      <c r="I754" s="40"/>
      <c r="J754" s="38"/>
      <c r="K754" s="301"/>
      <c r="L754" s="40"/>
      <c r="M754" s="303"/>
      <c r="P754" s="303"/>
      <c r="Q754" s="31"/>
      <c r="R754" s="31"/>
      <c r="S754" s="31"/>
      <c r="T754" s="31"/>
    </row>
    <row r="755" spans="1:20" s="33" customFormat="1" x14ac:dyDescent="0.2">
      <c r="A755" s="36"/>
      <c r="B755" s="35"/>
      <c r="C755" s="35"/>
      <c r="D755" s="34"/>
      <c r="E755" s="37"/>
      <c r="F755" s="38"/>
      <c r="G755" s="38"/>
      <c r="H755" s="301"/>
      <c r="I755" s="40"/>
      <c r="J755" s="38"/>
      <c r="K755" s="301"/>
      <c r="L755" s="40"/>
      <c r="M755" s="303"/>
      <c r="P755" s="303"/>
      <c r="Q755" s="31"/>
      <c r="R755" s="31"/>
      <c r="S755" s="31"/>
      <c r="T755" s="31"/>
    </row>
    <row r="756" spans="1:20" s="33" customFormat="1" x14ac:dyDescent="0.2">
      <c r="A756" s="36"/>
      <c r="B756" s="35"/>
      <c r="C756" s="35"/>
      <c r="D756" s="34"/>
      <c r="E756" s="37"/>
      <c r="F756" s="38"/>
      <c r="G756" s="38"/>
      <c r="H756" s="301"/>
      <c r="I756" s="40"/>
      <c r="J756" s="38"/>
      <c r="K756" s="301"/>
      <c r="L756" s="40"/>
      <c r="M756" s="303"/>
      <c r="P756" s="303"/>
      <c r="Q756" s="31"/>
      <c r="R756" s="31"/>
      <c r="S756" s="31"/>
      <c r="T756" s="31"/>
    </row>
    <row r="757" spans="1:20" s="33" customFormat="1" x14ac:dyDescent="0.2">
      <c r="A757" s="36"/>
      <c r="B757" s="35"/>
      <c r="C757" s="35"/>
      <c r="D757" s="34"/>
      <c r="E757" s="37"/>
      <c r="F757" s="38"/>
      <c r="G757" s="38"/>
      <c r="H757" s="301"/>
      <c r="I757" s="35"/>
      <c r="J757" s="38"/>
      <c r="K757" s="301"/>
      <c r="L757" s="35"/>
      <c r="M757" s="304"/>
      <c r="P757" s="304"/>
      <c r="Q757" s="31"/>
      <c r="R757" s="31"/>
      <c r="S757" s="31"/>
      <c r="T757" s="31"/>
    </row>
    <row r="758" spans="1:20" s="33" customFormat="1" x14ac:dyDescent="0.2">
      <c r="A758" s="36"/>
      <c r="B758" s="35"/>
      <c r="C758" s="35"/>
      <c r="D758" s="34"/>
      <c r="E758" s="37"/>
      <c r="F758" s="38"/>
      <c r="G758" s="38"/>
      <c r="H758" s="301"/>
      <c r="I758" s="39"/>
      <c r="J758" s="38"/>
      <c r="K758" s="301"/>
      <c r="L758" s="39"/>
      <c r="M758" s="302"/>
      <c r="P758" s="302"/>
      <c r="Q758" s="31"/>
      <c r="R758" s="31"/>
      <c r="S758" s="31"/>
      <c r="T758" s="31"/>
    </row>
    <row r="759" spans="1:20" s="33" customFormat="1" x14ac:dyDescent="0.2">
      <c r="A759" s="36"/>
      <c r="B759" s="35"/>
      <c r="C759" s="35"/>
      <c r="D759" s="34"/>
      <c r="E759" s="37"/>
      <c r="F759" s="38"/>
      <c r="G759" s="38"/>
      <c r="H759" s="301"/>
      <c r="J759" s="38"/>
      <c r="K759" s="301"/>
      <c r="M759" s="297"/>
      <c r="P759" s="297"/>
      <c r="Q759" s="31"/>
      <c r="R759" s="31"/>
      <c r="S759" s="31"/>
      <c r="T759" s="31"/>
    </row>
    <row r="760" spans="1:20" s="33" customFormat="1" x14ac:dyDescent="0.2">
      <c r="A760" s="36"/>
      <c r="B760" s="35"/>
      <c r="C760" s="35"/>
      <c r="D760" s="34"/>
      <c r="E760" s="37"/>
      <c r="H760" s="297"/>
      <c r="K760" s="297"/>
      <c r="M760" s="297"/>
      <c r="P760" s="297"/>
      <c r="Q760" s="31"/>
      <c r="R760" s="31"/>
      <c r="S760" s="31"/>
      <c r="T760" s="31"/>
    </row>
    <row r="761" spans="1:20" s="33" customFormat="1" x14ac:dyDescent="0.2">
      <c r="A761" s="36"/>
      <c r="B761" s="35"/>
      <c r="C761" s="35"/>
      <c r="D761" s="34"/>
      <c r="E761" s="37"/>
      <c r="H761" s="297"/>
      <c r="K761" s="297"/>
      <c r="M761" s="297"/>
      <c r="P761" s="297"/>
      <c r="Q761" s="31"/>
      <c r="R761" s="31"/>
      <c r="S761" s="31"/>
      <c r="T761" s="31"/>
    </row>
    <row r="762" spans="1:20" s="33" customFormat="1" x14ac:dyDescent="0.2">
      <c r="A762" s="36"/>
      <c r="B762" s="35"/>
      <c r="C762" s="35"/>
      <c r="D762" s="34"/>
      <c r="E762" s="37"/>
      <c r="F762" s="38"/>
      <c r="G762" s="38"/>
      <c r="H762" s="301"/>
      <c r="J762" s="38"/>
      <c r="K762" s="301"/>
      <c r="M762" s="297"/>
      <c r="P762" s="297"/>
      <c r="Q762" s="31"/>
      <c r="R762" s="31"/>
      <c r="S762" s="31"/>
      <c r="T762" s="31"/>
    </row>
    <row r="763" spans="1:20" s="33" customFormat="1" x14ac:dyDescent="0.2">
      <c r="A763" s="36"/>
      <c r="B763" s="35"/>
      <c r="C763" s="35"/>
      <c r="D763" s="34"/>
      <c r="E763" s="37"/>
      <c r="H763" s="297"/>
      <c r="K763" s="297"/>
      <c r="M763" s="297"/>
      <c r="P763" s="297"/>
      <c r="Q763" s="31"/>
      <c r="R763" s="31"/>
      <c r="S763" s="31"/>
      <c r="T763" s="31"/>
    </row>
    <row r="764" spans="1:20" s="33" customFormat="1" x14ac:dyDescent="0.2">
      <c r="A764" s="36"/>
      <c r="B764" s="35"/>
      <c r="C764" s="35"/>
      <c r="D764" s="34"/>
      <c r="E764" s="37"/>
      <c r="F764" s="38"/>
      <c r="G764" s="38"/>
      <c r="H764" s="301"/>
      <c r="J764" s="38"/>
      <c r="K764" s="301"/>
      <c r="M764" s="297"/>
      <c r="P764" s="297"/>
      <c r="Q764" s="31"/>
      <c r="R764" s="31"/>
      <c r="S764" s="31"/>
      <c r="T764" s="31"/>
    </row>
    <row r="765" spans="1:20" s="33" customFormat="1" x14ac:dyDescent="0.2">
      <c r="A765" s="36"/>
      <c r="B765" s="35"/>
      <c r="C765" s="35"/>
      <c r="D765" s="34"/>
      <c r="E765" s="37"/>
      <c r="H765" s="297"/>
      <c r="K765" s="297"/>
      <c r="M765" s="297"/>
      <c r="P765" s="297"/>
      <c r="Q765" s="31"/>
      <c r="R765" s="31"/>
      <c r="S765" s="31"/>
      <c r="T765" s="31"/>
    </row>
    <row r="766" spans="1:20" s="33" customFormat="1" x14ac:dyDescent="0.2">
      <c r="A766" s="36"/>
      <c r="B766" s="35"/>
      <c r="C766" s="35"/>
      <c r="D766" s="34"/>
      <c r="E766" s="37"/>
      <c r="H766" s="297"/>
      <c r="K766" s="297"/>
      <c r="M766" s="297"/>
      <c r="P766" s="297"/>
      <c r="Q766" s="31"/>
      <c r="R766" s="31"/>
      <c r="S766" s="31"/>
      <c r="T766" s="31"/>
    </row>
    <row r="767" spans="1:20" s="33" customFormat="1" x14ac:dyDescent="0.2">
      <c r="A767" s="36"/>
      <c r="B767" s="35"/>
      <c r="C767" s="35"/>
      <c r="D767" s="34"/>
      <c r="E767" s="37"/>
      <c r="H767" s="297"/>
      <c r="K767" s="297"/>
      <c r="M767" s="297"/>
      <c r="P767" s="297"/>
      <c r="Q767" s="31"/>
      <c r="R767" s="31"/>
      <c r="S767" s="31"/>
      <c r="T767" s="31"/>
    </row>
    <row r="768" spans="1:20" s="33" customFormat="1" x14ac:dyDescent="0.2">
      <c r="A768" s="36"/>
      <c r="B768" s="35"/>
      <c r="C768" s="35"/>
      <c r="D768" s="34"/>
      <c r="E768" s="37"/>
      <c r="H768" s="297"/>
      <c r="K768" s="297"/>
      <c r="M768" s="297"/>
      <c r="P768" s="297"/>
      <c r="Q768" s="31"/>
      <c r="R768" s="31"/>
      <c r="S768" s="31"/>
      <c r="T768" s="31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A1:O1"/>
    <mergeCell ref="A2:O2"/>
  </mergeCells>
  <pageMargins left="0.78740157480314965" right="0.15748031496062992" top="0.47244094488188981" bottom="0.31496062992125984" header="0.15748031496062992" footer="0.51181102362204722"/>
  <pageSetup paperSize="9" scale="62" fitToHeight="1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5"/>
  <sheetViews>
    <sheetView view="pageBreakPreview" topLeftCell="B1" zoomScale="115" zoomScaleNormal="115" zoomScaleSheetLayoutView="115" workbookViewId="0">
      <selection activeCell="B1" sqref="B1:Q1"/>
    </sheetView>
  </sheetViews>
  <sheetFormatPr defaultRowHeight="12.75" x14ac:dyDescent="0.2"/>
  <cols>
    <col min="1" max="1" width="2.5703125" style="154" hidden="1" customWidth="1"/>
    <col min="2" max="2" width="60.140625" style="198" customWidth="1"/>
    <col min="3" max="3" width="6.140625" style="35" customWidth="1"/>
    <col min="4" max="4" width="4.85546875" style="35" customWidth="1"/>
    <col min="5" max="5" width="5.140625" style="35" customWidth="1"/>
    <col min="6" max="6" width="16.5703125" style="35" customWidth="1"/>
    <col min="7" max="7" width="10.42578125" style="34" customWidth="1"/>
    <col min="8" max="9" width="13.42578125" style="35" hidden="1" customWidth="1"/>
    <col min="10" max="10" width="13.42578125" style="304" hidden="1" customWidth="1"/>
    <col min="11" max="11" width="13.42578125" style="35" hidden="1" customWidth="1"/>
    <col min="12" max="12" width="13.42578125" style="35" customWidth="1"/>
    <col min="13" max="13" width="13.42578125" style="304" hidden="1" customWidth="1"/>
    <col min="14" max="14" width="13.42578125" style="35" customWidth="1"/>
    <col min="15" max="15" width="13.42578125" style="304" hidden="1" customWidth="1"/>
    <col min="16" max="16" width="15.42578125" style="35" hidden="1" customWidth="1"/>
    <col min="17" max="17" width="15.42578125" style="35" customWidth="1"/>
    <col min="18" max="18" width="0" style="330" hidden="1" customWidth="1"/>
    <col min="19" max="21" width="9.140625" style="32"/>
    <col min="22" max="262" width="9.140625" style="154"/>
    <col min="263" max="263" width="0" style="154" hidden="1" customWidth="1"/>
    <col min="264" max="264" width="60.140625" style="154" customWidth="1"/>
    <col min="265" max="265" width="6.140625" style="154" customWidth="1"/>
    <col min="266" max="266" width="4.85546875" style="154" customWidth="1"/>
    <col min="267" max="267" width="5.140625" style="154" customWidth="1"/>
    <col min="268" max="268" width="16.5703125" style="154" customWidth="1"/>
    <col min="269" max="269" width="10.42578125" style="154" customWidth="1"/>
    <col min="270" max="271" width="13.42578125" style="154" customWidth="1"/>
    <col min="272" max="272" width="15.42578125" style="154" customWidth="1"/>
    <col min="273" max="518" width="9.140625" style="154"/>
    <col min="519" max="519" width="0" style="154" hidden="1" customWidth="1"/>
    <col min="520" max="520" width="60.140625" style="154" customWidth="1"/>
    <col min="521" max="521" width="6.140625" style="154" customWidth="1"/>
    <col min="522" max="522" width="4.85546875" style="154" customWidth="1"/>
    <col min="523" max="523" width="5.140625" style="154" customWidth="1"/>
    <col min="524" max="524" width="16.5703125" style="154" customWidth="1"/>
    <col min="525" max="525" width="10.42578125" style="154" customWidth="1"/>
    <col min="526" max="527" width="13.42578125" style="154" customWidth="1"/>
    <col min="528" max="528" width="15.42578125" style="154" customWidth="1"/>
    <col min="529" max="774" width="9.140625" style="154"/>
    <col min="775" max="775" width="0" style="154" hidden="1" customWidth="1"/>
    <col min="776" max="776" width="60.140625" style="154" customWidth="1"/>
    <col min="777" max="777" width="6.140625" style="154" customWidth="1"/>
    <col min="778" max="778" width="4.85546875" style="154" customWidth="1"/>
    <col min="779" max="779" width="5.140625" style="154" customWidth="1"/>
    <col min="780" max="780" width="16.5703125" style="154" customWidth="1"/>
    <col min="781" max="781" width="10.42578125" style="154" customWidth="1"/>
    <col min="782" max="783" width="13.42578125" style="154" customWidth="1"/>
    <col min="784" max="784" width="15.42578125" style="154" customWidth="1"/>
    <col min="785" max="1030" width="9.140625" style="154"/>
    <col min="1031" max="1031" width="0" style="154" hidden="1" customWidth="1"/>
    <col min="1032" max="1032" width="60.140625" style="154" customWidth="1"/>
    <col min="1033" max="1033" width="6.140625" style="154" customWidth="1"/>
    <col min="1034" max="1034" width="4.85546875" style="154" customWidth="1"/>
    <col min="1035" max="1035" width="5.140625" style="154" customWidth="1"/>
    <col min="1036" max="1036" width="16.5703125" style="154" customWidth="1"/>
    <col min="1037" max="1037" width="10.42578125" style="154" customWidth="1"/>
    <col min="1038" max="1039" width="13.42578125" style="154" customWidth="1"/>
    <col min="1040" max="1040" width="15.42578125" style="154" customWidth="1"/>
    <col min="1041" max="1286" width="9.140625" style="154"/>
    <col min="1287" max="1287" width="0" style="154" hidden="1" customWidth="1"/>
    <col min="1288" max="1288" width="60.140625" style="154" customWidth="1"/>
    <col min="1289" max="1289" width="6.140625" style="154" customWidth="1"/>
    <col min="1290" max="1290" width="4.85546875" style="154" customWidth="1"/>
    <col min="1291" max="1291" width="5.140625" style="154" customWidth="1"/>
    <col min="1292" max="1292" width="16.5703125" style="154" customWidth="1"/>
    <col min="1293" max="1293" width="10.42578125" style="154" customWidth="1"/>
    <col min="1294" max="1295" width="13.42578125" style="154" customWidth="1"/>
    <col min="1296" max="1296" width="15.42578125" style="154" customWidth="1"/>
    <col min="1297" max="1542" width="9.140625" style="154"/>
    <col min="1543" max="1543" width="0" style="154" hidden="1" customWidth="1"/>
    <col min="1544" max="1544" width="60.140625" style="154" customWidth="1"/>
    <col min="1545" max="1545" width="6.140625" style="154" customWidth="1"/>
    <col min="1546" max="1546" width="4.85546875" style="154" customWidth="1"/>
    <col min="1547" max="1547" width="5.140625" style="154" customWidth="1"/>
    <col min="1548" max="1548" width="16.5703125" style="154" customWidth="1"/>
    <col min="1549" max="1549" width="10.42578125" style="154" customWidth="1"/>
    <col min="1550" max="1551" width="13.42578125" style="154" customWidth="1"/>
    <col min="1552" max="1552" width="15.42578125" style="154" customWidth="1"/>
    <col min="1553" max="1798" width="9.140625" style="154"/>
    <col min="1799" max="1799" width="0" style="154" hidden="1" customWidth="1"/>
    <col min="1800" max="1800" width="60.140625" style="154" customWidth="1"/>
    <col min="1801" max="1801" width="6.140625" style="154" customWidth="1"/>
    <col min="1802" max="1802" width="4.85546875" style="154" customWidth="1"/>
    <col min="1803" max="1803" width="5.140625" style="154" customWidth="1"/>
    <col min="1804" max="1804" width="16.5703125" style="154" customWidth="1"/>
    <col min="1805" max="1805" width="10.42578125" style="154" customWidth="1"/>
    <col min="1806" max="1807" width="13.42578125" style="154" customWidth="1"/>
    <col min="1808" max="1808" width="15.42578125" style="154" customWidth="1"/>
    <col min="1809" max="2054" width="9.140625" style="154"/>
    <col min="2055" max="2055" width="0" style="154" hidden="1" customWidth="1"/>
    <col min="2056" max="2056" width="60.140625" style="154" customWidth="1"/>
    <col min="2057" max="2057" width="6.140625" style="154" customWidth="1"/>
    <col min="2058" max="2058" width="4.85546875" style="154" customWidth="1"/>
    <col min="2059" max="2059" width="5.140625" style="154" customWidth="1"/>
    <col min="2060" max="2060" width="16.5703125" style="154" customWidth="1"/>
    <col min="2061" max="2061" width="10.42578125" style="154" customWidth="1"/>
    <col min="2062" max="2063" width="13.42578125" style="154" customWidth="1"/>
    <col min="2064" max="2064" width="15.42578125" style="154" customWidth="1"/>
    <col min="2065" max="2310" width="9.140625" style="154"/>
    <col min="2311" max="2311" width="0" style="154" hidden="1" customWidth="1"/>
    <col min="2312" max="2312" width="60.140625" style="154" customWidth="1"/>
    <col min="2313" max="2313" width="6.140625" style="154" customWidth="1"/>
    <col min="2314" max="2314" width="4.85546875" style="154" customWidth="1"/>
    <col min="2315" max="2315" width="5.140625" style="154" customWidth="1"/>
    <col min="2316" max="2316" width="16.5703125" style="154" customWidth="1"/>
    <col min="2317" max="2317" width="10.42578125" style="154" customWidth="1"/>
    <col min="2318" max="2319" width="13.42578125" style="154" customWidth="1"/>
    <col min="2320" max="2320" width="15.42578125" style="154" customWidth="1"/>
    <col min="2321" max="2566" width="9.140625" style="154"/>
    <col min="2567" max="2567" width="0" style="154" hidden="1" customWidth="1"/>
    <col min="2568" max="2568" width="60.140625" style="154" customWidth="1"/>
    <col min="2569" max="2569" width="6.140625" style="154" customWidth="1"/>
    <col min="2570" max="2570" width="4.85546875" style="154" customWidth="1"/>
    <col min="2571" max="2571" width="5.140625" style="154" customWidth="1"/>
    <col min="2572" max="2572" width="16.5703125" style="154" customWidth="1"/>
    <col min="2573" max="2573" width="10.42578125" style="154" customWidth="1"/>
    <col min="2574" max="2575" width="13.42578125" style="154" customWidth="1"/>
    <col min="2576" max="2576" width="15.42578125" style="154" customWidth="1"/>
    <col min="2577" max="2822" width="9.140625" style="154"/>
    <col min="2823" max="2823" width="0" style="154" hidden="1" customWidth="1"/>
    <col min="2824" max="2824" width="60.140625" style="154" customWidth="1"/>
    <col min="2825" max="2825" width="6.140625" style="154" customWidth="1"/>
    <col min="2826" max="2826" width="4.85546875" style="154" customWidth="1"/>
    <col min="2827" max="2827" width="5.140625" style="154" customWidth="1"/>
    <col min="2828" max="2828" width="16.5703125" style="154" customWidth="1"/>
    <col min="2829" max="2829" width="10.42578125" style="154" customWidth="1"/>
    <col min="2830" max="2831" width="13.42578125" style="154" customWidth="1"/>
    <col min="2832" max="2832" width="15.42578125" style="154" customWidth="1"/>
    <col min="2833" max="3078" width="9.140625" style="154"/>
    <col min="3079" max="3079" width="0" style="154" hidden="1" customWidth="1"/>
    <col min="3080" max="3080" width="60.140625" style="154" customWidth="1"/>
    <col min="3081" max="3081" width="6.140625" style="154" customWidth="1"/>
    <col min="3082" max="3082" width="4.85546875" style="154" customWidth="1"/>
    <col min="3083" max="3083" width="5.140625" style="154" customWidth="1"/>
    <col min="3084" max="3084" width="16.5703125" style="154" customWidth="1"/>
    <col min="3085" max="3085" width="10.42578125" style="154" customWidth="1"/>
    <col min="3086" max="3087" width="13.42578125" style="154" customWidth="1"/>
    <col min="3088" max="3088" width="15.42578125" style="154" customWidth="1"/>
    <col min="3089" max="3334" width="9.140625" style="154"/>
    <col min="3335" max="3335" width="0" style="154" hidden="1" customWidth="1"/>
    <col min="3336" max="3336" width="60.140625" style="154" customWidth="1"/>
    <col min="3337" max="3337" width="6.140625" style="154" customWidth="1"/>
    <col min="3338" max="3338" width="4.85546875" style="154" customWidth="1"/>
    <col min="3339" max="3339" width="5.140625" style="154" customWidth="1"/>
    <col min="3340" max="3340" width="16.5703125" style="154" customWidth="1"/>
    <col min="3341" max="3341" width="10.42578125" style="154" customWidth="1"/>
    <col min="3342" max="3343" width="13.42578125" style="154" customWidth="1"/>
    <col min="3344" max="3344" width="15.42578125" style="154" customWidth="1"/>
    <col min="3345" max="3590" width="9.140625" style="154"/>
    <col min="3591" max="3591" width="0" style="154" hidden="1" customWidth="1"/>
    <col min="3592" max="3592" width="60.140625" style="154" customWidth="1"/>
    <col min="3593" max="3593" width="6.140625" style="154" customWidth="1"/>
    <col min="3594" max="3594" width="4.85546875" style="154" customWidth="1"/>
    <col min="3595" max="3595" width="5.140625" style="154" customWidth="1"/>
    <col min="3596" max="3596" width="16.5703125" style="154" customWidth="1"/>
    <col min="3597" max="3597" width="10.42578125" style="154" customWidth="1"/>
    <col min="3598" max="3599" width="13.42578125" style="154" customWidth="1"/>
    <col min="3600" max="3600" width="15.42578125" style="154" customWidth="1"/>
    <col min="3601" max="3846" width="9.140625" style="154"/>
    <col min="3847" max="3847" width="0" style="154" hidden="1" customWidth="1"/>
    <col min="3848" max="3848" width="60.140625" style="154" customWidth="1"/>
    <col min="3849" max="3849" width="6.140625" style="154" customWidth="1"/>
    <col min="3850" max="3850" width="4.85546875" style="154" customWidth="1"/>
    <col min="3851" max="3851" width="5.140625" style="154" customWidth="1"/>
    <col min="3852" max="3852" width="16.5703125" style="154" customWidth="1"/>
    <col min="3853" max="3853" width="10.42578125" style="154" customWidth="1"/>
    <col min="3854" max="3855" width="13.42578125" style="154" customWidth="1"/>
    <col min="3856" max="3856" width="15.42578125" style="154" customWidth="1"/>
    <col min="3857" max="4102" width="9.140625" style="154"/>
    <col min="4103" max="4103" width="0" style="154" hidden="1" customWidth="1"/>
    <col min="4104" max="4104" width="60.140625" style="154" customWidth="1"/>
    <col min="4105" max="4105" width="6.140625" style="154" customWidth="1"/>
    <col min="4106" max="4106" width="4.85546875" style="154" customWidth="1"/>
    <col min="4107" max="4107" width="5.140625" style="154" customWidth="1"/>
    <col min="4108" max="4108" width="16.5703125" style="154" customWidth="1"/>
    <col min="4109" max="4109" width="10.42578125" style="154" customWidth="1"/>
    <col min="4110" max="4111" width="13.42578125" style="154" customWidth="1"/>
    <col min="4112" max="4112" width="15.42578125" style="154" customWidth="1"/>
    <col min="4113" max="4358" width="9.140625" style="154"/>
    <col min="4359" max="4359" width="0" style="154" hidden="1" customWidth="1"/>
    <col min="4360" max="4360" width="60.140625" style="154" customWidth="1"/>
    <col min="4361" max="4361" width="6.140625" style="154" customWidth="1"/>
    <col min="4362" max="4362" width="4.85546875" style="154" customWidth="1"/>
    <col min="4363" max="4363" width="5.140625" style="154" customWidth="1"/>
    <col min="4364" max="4364" width="16.5703125" style="154" customWidth="1"/>
    <col min="4365" max="4365" width="10.42578125" style="154" customWidth="1"/>
    <col min="4366" max="4367" width="13.42578125" style="154" customWidth="1"/>
    <col min="4368" max="4368" width="15.42578125" style="154" customWidth="1"/>
    <col min="4369" max="4614" width="9.140625" style="154"/>
    <col min="4615" max="4615" width="0" style="154" hidden="1" customWidth="1"/>
    <col min="4616" max="4616" width="60.140625" style="154" customWidth="1"/>
    <col min="4617" max="4617" width="6.140625" style="154" customWidth="1"/>
    <col min="4618" max="4618" width="4.85546875" style="154" customWidth="1"/>
    <col min="4619" max="4619" width="5.140625" style="154" customWidth="1"/>
    <col min="4620" max="4620" width="16.5703125" style="154" customWidth="1"/>
    <col min="4621" max="4621" width="10.42578125" style="154" customWidth="1"/>
    <col min="4622" max="4623" width="13.42578125" style="154" customWidth="1"/>
    <col min="4624" max="4624" width="15.42578125" style="154" customWidth="1"/>
    <col min="4625" max="4870" width="9.140625" style="154"/>
    <col min="4871" max="4871" width="0" style="154" hidden="1" customWidth="1"/>
    <col min="4872" max="4872" width="60.140625" style="154" customWidth="1"/>
    <col min="4873" max="4873" width="6.140625" style="154" customWidth="1"/>
    <col min="4874" max="4874" width="4.85546875" style="154" customWidth="1"/>
    <col min="4875" max="4875" width="5.140625" style="154" customWidth="1"/>
    <col min="4876" max="4876" width="16.5703125" style="154" customWidth="1"/>
    <col min="4877" max="4877" width="10.42578125" style="154" customWidth="1"/>
    <col min="4878" max="4879" width="13.42578125" style="154" customWidth="1"/>
    <col min="4880" max="4880" width="15.42578125" style="154" customWidth="1"/>
    <col min="4881" max="5126" width="9.140625" style="154"/>
    <col min="5127" max="5127" width="0" style="154" hidden="1" customWidth="1"/>
    <col min="5128" max="5128" width="60.140625" style="154" customWidth="1"/>
    <col min="5129" max="5129" width="6.140625" style="154" customWidth="1"/>
    <col min="5130" max="5130" width="4.85546875" style="154" customWidth="1"/>
    <col min="5131" max="5131" width="5.140625" style="154" customWidth="1"/>
    <col min="5132" max="5132" width="16.5703125" style="154" customWidth="1"/>
    <col min="5133" max="5133" width="10.42578125" style="154" customWidth="1"/>
    <col min="5134" max="5135" width="13.42578125" style="154" customWidth="1"/>
    <col min="5136" max="5136" width="15.42578125" style="154" customWidth="1"/>
    <col min="5137" max="5382" width="9.140625" style="154"/>
    <col min="5383" max="5383" width="0" style="154" hidden="1" customWidth="1"/>
    <col min="5384" max="5384" width="60.140625" style="154" customWidth="1"/>
    <col min="5385" max="5385" width="6.140625" style="154" customWidth="1"/>
    <col min="5386" max="5386" width="4.85546875" style="154" customWidth="1"/>
    <col min="5387" max="5387" width="5.140625" style="154" customWidth="1"/>
    <col min="5388" max="5388" width="16.5703125" style="154" customWidth="1"/>
    <col min="5389" max="5389" width="10.42578125" style="154" customWidth="1"/>
    <col min="5390" max="5391" width="13.42578125" style="154" customWidth="1"/>
    <col min="5392" max="5392" width="15.42578125" style="154" customWidth="1"/>
    <col min="5393" max="5638" width="9.140625" style="154"/>
    <col min="5639" max="5639" width="0" style="154" hidden="1" customWidth="1"/>
    <col min="5640" max="5640" width="60.140625" style="154" customWidth="1"/>
    <col min="5641" max="5641" width="6.140625" style="154" customWidth="1"/>
    <col min="5642" max="5642" width="4.85546875" style="154" customWidth="1"/>
    <col min="5643" max="5643" width="5.140625" style="154" customWidth="1"/>
    <col min="5644" max="5644" width="16.5703125" style="154" customWidth="1"/>
    <col min="5645" max="5645" width="10.42578125" style="154" customWidth="1"/>
    <col min="5646" max="5647" width="13.42578125" style="154" customWidth="1"/>
    <col min="5648" max="5648" width="15.42578125" style="154" customWidth="1"/>
    <col min="5649" max="5894" width="9.140625" style="154"/>
    <col min="5895" max="5895" width="0" style="154" hidden="1" customWidth="1"/>
    <col min="5896" max="5896" width="60.140625" style="154" customWidth="1"/>
    <col min="5897" max="5897" width="6.140625" style="154" customWidth="1"/>
    <col min="5898" max="5898" width="4.85546875" style="154" customWidth="1"/>
    <col min="5899" max="5899" width="5.140625" style="154" customWidth="1"/>
    <col min="5900" max="5900" width="16.5703125" style="154" customWidth="1"/>
    <col min="5901" max="5901" width="10.42578125" style="154" customWidth="1"/>
    <col min="5902" max="5903" width="13.42578125" style="154" customWidth="1"/>
    <col min="5904" max="5904" width="15.42578125" style="154" customWidth="1"/>
    <col min="5905" max="6150" width="9.140625" style="154"/>
    <col min="6151" max="6151" width="0" style="154" hidden="1" customWidth="1"/>
    <col min="6152" max="6152" width="60.140625" style="154" customWidth="1"/>
    <col min="6153" max="6153" width="6.140625" style="154" customWidth="1"/>
    <col min="6154" max="6154" width="4.85546875" style="154" customWidth="1"/>
    <col min="6155" max="6155" width="5.140625" style="154" customWidth="1"/>
    <col min="6156" max="6156" width="16.5703125" style="154" customWidth="1"/>
    <col min="6157" max="6157" width="10.42578125" style="154" customWidth="1"/>
    <col min="6158" max="6159" width="13.42578125" style="154" customWidth="1"/>
    <col min="6160" max="6160" width="15.42578125" style="154" customWidth="1"/>
    <col min="6161" max="6406" width="9.140625" style="154"/>
    <col min="6407" max="6407" width="0" style="154" hidden="1" customWidth="1"/>
    <col min="6408" max="6408" width="60.140625" style="154" customWidth="1"/>
    <col min="6409" max="6409" width="6.140625" style="154" customWidth="1"/>
    <col min="6410" max="6410" width="4.85546875" style="154" customWidth="1"/>
    <col min="6411" max="6411" width="5.140625" style="154" customWidth="1"/>
    <col min="6412" max="6412" width="16.5703125" style="154" customWidth="1"/>
    <col min="6413" max="6413" width="10.42578125" style="154" customWidth="1"/>
    <col min="6414" max="6415" width="13.42578125" style="154" customWidth="1"/>
    <col min="6416" max="6416" width="15.42578125" style="154" customWidth="1"/>
    <col min="6417" max="6662" width="9.140625" style="154"/>
    <col min="6663" max="6663" width="0" style="154" hidden="1" customWidth="1"/>
    <col min="6664" max="6664" width="60.140625" style="154" customWidth="1"/>
    <col min="6665" max="6665" width="6.140625" style="154" customWidth="1"/>
    <col min="6666" max="6666" width="4.85546875" style="154" customWidth="1"/>
    <col min="6667" max="6667" width="5.140625" style="154" customWidth="1"/>
    <col min="6668" max="6668" width="16.5703125" style="154" customWidth="1"/>
    <col min="6669" max="6669" width="10.42578125" style="154" customWidth="1"/>
    <col min="6670" max="6671" width="13.42578125" style="154" customWidth="1"/>
    <col min="6672" max="6672" width="15.42578125" style="154" customWidth="1"/>
    <col min="6673" max="6918" width="9.140625" style="154"/>
    <col min="6919" max="6919" width="0" style="154" hidden="1" customWidth="1"/>
    <col min="6920" max="6920" width="60.140625" style="154" customWidth="1"/>
    <col min="6921" max="6921" width="6.140625" style="154" customWidth="1"/>
    <col min="6922" max="6922" width="4.85546875" style="154" customWidth="1"/>
    <col min="6923" max="6923" width="5.140625" style="154" customWidth="1"/>
    <col min="6924" max="6924" width="16.5703125" style="154" customWidth="1"/>
    <col min="6925" max="6925" width="10.42578125" style="154" customWidth="1"/>
    <col min="6926" max="6927" width="13.42578125" style="154" customWidth="1"/>
    <col min="6928" max="6928" width="15.42578125" style="154" customWidth="1"/>
    <col min="6929" max="7174" width="9.140625" style="154"/>
    <col min="7175" max="7175" width="0" style="154" hidden="1" customWidth="1"/>
    <col min="7176" max="7176" width="60.140625" style="154" customWidth="1"/>
    <col min="7177" max="7177" width="6.140625" style="154" customWidth="1"/>
    <col min="7178" max="7178" width="4.85546875" style="154" customWidth="1"/>
    <col min="7179" max="7179" width="5.140625" style="154" customWidth="1"/>
    <col min="7180" max="7180" width="16.5703125" style="154" customWidth="1"/>
    <col min="7181" max="7181" width="10.42578125" style="154" customWidth="1"/>
    <col min="7182" max="7183" width="13.42578125" style="154" customWidth="1"/>
    <col min="7184" max="7184" width="15.42578125" style="154" customWidth="1"/>
    <col min="7185" max="7430" width="9.140625" style="154"/>
    <col min="7431" max="7431" width="0" style="154" hidden="1" customWidth="1"/>
    <col min="7432" max="7432" width="60.140625" style="154" customWidth="1"/>
    <col min="7433" max="7433" width="6.140625" style="154" customWidth="1"/>
    <col min="7434" max="7434" width="4.85546875" style="154" customWidth="1"/>
    <col min="7435" max="7435" width="5.140625" style="154" customWidth="1"/>
    <col min="7436" max="7436" width="16.5703125" style="154" customWidth="1"/>
    <col min="7437" max="7437" width="10.42578125" style="154" customWidth="1"/>
    <col min="7438" max="7439" width="13.42578125" style="154" customWidth="1"/>
    <col min="7440" max="7440" width="15.42578125" style="154" customWidth="1"/>
    <col min="7441" max="7686" width="9.140625" style="154"/>
    <col min="7687" max="7687" width="0" style="154" hidden="1" customWidth="1"/>
    <col min="7688" max="7688" width="60.140625" style="154" customWidth="1"/>
    <col min="7689" max="7689" width="6.140625" style="154" customWidth="1"/>
    <col min="7690" max="7690" width="4.85546875" style="154" customWidth="1"/>
    <col min="7691" max="7691" width="5.140625" style="154" customWidth="1"/>
    <col min="7692" max="7692" width="16.5703125" style="154" customWidth="1"/>
    <col min="7693" max="7693" width="10.42578125" style="154" customWidth="1"/>
    <col min="7694" max="7695" width="13.42578125" style="154" customWidth="1"/>
    <col min="7696" max="7696" width="15.42578125" style="154" customWidth="1"/>
    <col min="7697" max="7942" width="9.140625" style="154"/>
    <col min="7943" max="7943" width="0" style="154" hidden="1" customWidth="1"/>
    <col min="7944" max="7944" width="60.140625" style="154" customWidth="1"/>
    <col min="7945" max="7945" width="6.140625" style="154" customWidth="1"/>
    <col min="7946" max="7946" width="4.85546875" style="154" customWidth="1"/>
    <col min="7947" max="7947" width="5.140625" style="154" customWidth="1"/>
    <col min="7948" max="7948" width="16.5703125" style="154" customWidth="1"/>
    <col min="7949" max="7949" width="10.42578125" style="154" customWidth="1"/>
    <col min="7950" max="7951" width="13.42578125" style="154" customWidth="1"/>
    <col min="7952" max="7952" width="15.42578125" style="154" customWidth="1"/>
    <col min="7953" max="8198" width="9.140625" style="154"/>
    <col min="8199" max="8199" width="0" style="154" hidden="1" customWidth="1"/>
    <col min="8200" max="8200" width="60.140625" style="154" customWidth="1"/>
    <col min="8201" max="8201" width="6.140625" style="154" customWidth="1"/>
    <col min="8202" max="8202" width="4.85546875" style="154" customWidth="1"/>
    <col min="8203" max="8203" width="5.140625" style="154" customWidth="1"/>
    <col min="8204" max="8204" width="16.5703125" style="154" customWidth="1"/>
    <col min="8205" max="8205" width="10.42578125" style="154" customWidth="1"/>
    <col min="8206" max="8207" width="13.42578125" style="154" customWidth="1"/>
    <col min="8208" max="8208" width="15.42578125" style="154" customWidth="1"/>
    <col min="8209" max="8454" width="9.140625" style="154"/>
    <col min="8455" max="8455" width="0" style="154" hidden="1" customWidth="1"/>
    <col min="8456" max="8456" width="60.140625" style="154" customWidth="1"/>
    <col min="8457" max="8457" width="6.140625" style="154" customWidth="1"/>
    <col min="8458" max="8458" width="4.85546875" style="154" customWidth="1"/>
    <col min="8459" max="8459" width="5.140625" style="154" customWidth="1"/>
    <col min="8460" max="8460" width="16.5703125" style="154" customWidth="1"/>
    <col min="8461" max="8461" width="10.42578125" style="154" customWidth="1"/>
    <col min="8462" max="8463" width="13.42578125" style="154" customWidth="1"/>
    <col min="8464" max="8464" width="15.42578125" style="154" customWidth="1"/>
    <col min="8465" max="8710" width="9.140625" style="154"/>
    <col min="8711" max="8711" width="0" style="154" hidden="1" customWidth="1"/>
    <col min="8712" max="8712" width="60.140625" style="154" customWidth="1"/>
    <col min="8713" max="8713" width="6.140625" style="154" customWidth="1"/>
    <col min="8714" max="8714" width="4.85546875" style="154" customWidth="1"/>
    <col min="8715" max="8715" width="5.140625" style="154" customWidth="1"/>
    <col min="8716" max="8716" width="16.5703125" style="154" customWidth="1"/>
    <col min="8717" max="8717" width="10.42578125" style="154" customWidth="1"/>
    <col min="8718" max="8719" width="13.42578125" style="154" customWidth="1"/>
    <col min="8720" max="8720" width="15.42578125" style="154" customWidth="1"/>
    <col min="8721" max="8966" width="9.140625" style="154"/>
    <col min="8967" max="8967" width="0" style="154" hidden="1" customWidth="1"/>
    <col min="8968" max="8968" width="60.140625" style="154" customWidth="1"/>
    <col min="8969" max="8969" width="6.140625" style="154" customWidth="1"/>
    <col min="8970" max="8970" width="4.85546875" style="154" customWidth="1"/>
    <col min="8971" max="8971" width="5.140625" style="154" customWidth="1"/>
    <col min="8972" max="8972" width="16.5703125" style="154" customWidth="1"/>
    <col min="8973" max="8973" width="10.42578125" style="154" customWidth="1"/>
    <col min="8974" max="8975" width="13.42578125" style="154" customWidth="1"/>
    <col min="8976" max="8976" width="15.42578125" style="154" customWidth="1"/>
    <col min="8977" max="9222" width="9.140625" style="154"/>
    <col min="9223" max="9223" width="0" style="154" hidden="1" customWidth="1"/>
    <col min="9224" max="9224" width="60.140625" style="154" customWidth="1"/>
    <col min="9225" max="9225" width="6.140625" style="154" customWidth="1"/>
    <col min="9226" max="9226" width="4.85546875" style="154" customWidth="1"/>
    <col min="9227" max="9227" width="5.140625" style="154" customWidth="1"/>
    <col min="9228" max="9228" width="16.5703125" style="154" customWidth="1"/>
    <col min="9229" max="9229" width="10.42578125" style="154" customWidth="1"/>
    <col min="9230" max="9231" width="13.42578125" style="154" customWidth="1"/>
    <col min="9232" max="9232" width="15.42578125" style="154" customWidth="1"/>
    <col min="9233" max="9478" width="9.140625" style="154"/>
    <col min="9479" max="9479" width="0" style="154" hidden="1" customWidth="1"/>
    <col min="9480" max="9480" width="60.140625" style="154" customWidth="1"/>
    <col min="9481" max="9481" width="6.140625" style="154" customWidth="1"/>
    <col min="9482" max="9482" width="4.85546875" style="154" customWidth="1"/>
    <col min="9483" max="9483" width="5.140625" style="154" customWidth="1"/>
    <col min="9484" max="9484" width="16.5703125" style="154" customWidth="1"/>
    <col min="9485" max="9485" width="10.42578125" style="154" customWidth="1"/>
    <col min="9486" max="9487" width="13.42578125" style="154" customWidth="1"/>
    <col min="9488" max="9488" width="15.42578125" style="154" customWidth="1"/>
    <col min="9489" max="9734" width="9.140625" style="154"/>
    <col min="9735" max="9735" width="0" style="154" hidden="1" customWidth="1"/>
    <col min="9736" max="9736" width="60.140625" style="154" customWidth="1"/>
    <col min="9737" max="9737" width="6.140625" style="154" customWidth="1"/>
    <col min="9738" max="9738" width="4.85546875" style="154" customWidth="1"/>
    <col min="9739" max="9739" width="5.140625" style="154" customWidth="1"/>
    <col min="9740" max="9740" width="16.5703125" style="154" customWidth="1"/>
    <col min="9741" max="9741" width="10.42578125" style="154" customWidth="1"/>
    <col min="9742" max="9743" width="13.42578125" style="154" customWidth="1"/>
    <col min="9744" max="9744" width="15.42578125" style="154" customWidth="1"/>
    <col min="9745" max="9990" width="9.140625" style="154"/>
    <col min="9991" max="9991" width="0" style="154" hidden="1" customWidth="1"/>
    <col min="9992" max="9992" width="60.140625" style="154" customWidth="1"/>
    <col min="9993" max="9993" width="6.140625" style="154" customWidth="1"/>
    <col min="9994" max="9994" width="4.85546875" style="154" customWidth="1"/>
    <col min="9995" max="9995" width="5.140625" style="154" customWidth="1"/>
    <col min="9996" max="9996" width="16.5703125" style="154" customWidth="1"/>
    <col min="9997" max="9997" width="10.42578125" style="154" customWidth="1"/>
    <col min="9998" max="9999" width="13.42578125" style="154" customWidth="1"/>
    <col min="10000" max="10000" width="15.42578125" style="154" customWidth="1"/>
    <col min="10001" max="10246" width="9.140625" style="154"/>
    <col min="10247" max="10247" width="0" style="154" hidden="1" customWidth="1"/>
    <col min="10248" max="10248" width="60.140625" style="154" customWidth="1"/>
    <col min="10249" max="10249" width="6.140625" style="154" customWidth="1"/>
    <col min="10250" max="10250" width="4.85546875" style="154" customWidth="1"/>
    <col min="10251" max="10251" width="5.140625" style="154" customWidth="1"/>
    <col min="10252" max="10252" width="16.5703125" style="154" customWidth="1"/>
    <col min="10253" max="10253" width="10.42578125" style="154" customWidth="1"/>
    <col min="10254" max="10255" width="13.42578125" style="154" customWidth="1"/>
    <col min="10256" max="10256" width="15.42578125" style="154" customWidth="1"/>
    <col min="10257" max="10502" width="9.140625" style="154"/>
    <col min="10503" max="10503" width="0" style="154" hidden="1" customWidth="1"/>
    <col min="10504" max="10504" width="60.140625" style="154" customWidth="1"/>
    <col min="10505" max="10505" width="6.140625" style="154" customWidth="1"/>
    <col min="10506" max="10506" width="4.85546875" style="154" customWidth="1"/>
    <col min="10507" max="10507" width="5.140625" style="154" customWidth="1"/>
    <col min="10508" max="10508" width="16.5703125" style="154" customWidth="1"/>
    <col min="10509" max="10509" width="10.42578125" style="154" customWidth="1"/>
    <col min="10510" max="10511" width="13.42578125" style="154" customWidth="1"/>
    <col min="10512" max="10512" width="15.42578125" style="154" customWidth="1"/>
    <col min="10513" max="10758" width="9.140625" style="154"/>
    <col min="10759" max="10759" width="0" style="154" hidden="1" customWidth="1"/>
    <col min="10760" max="10760" width="60.140625" style="154" customWidth="1"/>
    <col min="10761" max="10761" width="6.140625" style="154" customWidth="1"/>
    <col min="10762" max="10762" width="4.85546875" style="154" customWidth="1"/>
    <col min="10763" max="10763" width="5.140625" style="154" customWidth="1"/>
    <col min="10764" max="10764" width="16.5703125" style="154" customWidth="1"/>
    <col min="10765" max="10765" width="10.42578125" style="154" customWidth="1"/>
    <col min="10766" max="10767" width="13.42578125" style="154" customWidth="1"/>
    <col min="10768" max="10768" width="15.42578125" style="154" customWidth="1"/>
    <col min="10769" max="11014" width="9.140625" style="154"/>
    <col min="11015" max="11015" width="0" style="154" hidden="1" customWidth="1"/>
    <col min="11016" max="11016" width="60.140625" style="154" customWidth="1"/>
    <col min="11017" max="11017" width="6.140625" style="154" customWidth="1"/>
    <col min="11018" max="11018" width="4.85546875" style="154" customWidth="1"/>
    <col min="11019" max="11019" width="5.140625" style="154" customWidth="1"/>
    <col min="11020" max="11020" width="16.5703125" style="154" customWidth="1"/>
    <col min="11021" max="11021" width="10.42578125" style="154" customWidth="1"/>
    <col min="11022" max="11023" width="13.42578125" style="154" customWidth="1"/>
    <col min="11024" max="11024" width="15.42578125" style="154" customWidth="1"/>
    <col min="11025" max="11270" width="9.140625" style="154"/>
    <col min="11271" max="11271" width="0" style="154" hidden="1" customWidth="1"/>
    <col min="11272" max="11272" width="60.140625" style="154" customWidth="1"/>
    <col min="11273" max="11273" width="6.140625" style="154" customWidth="1"/>
    <col min="11274" max="11274" width="4.85546875" style="154" customWidth="1"/>
    <col min="11275" max="11275" width="5.140625" style="154" customWidth="1"/>
    <col min="11276" max="11276" width="16.5703125" style="154" customWidth="1"/>
    <col min="11277" max="11277" width="10.42578125" style="154" customWidth="1"/>
    <col min="11278" max="11279" width="13.42578125" style="154" customWidth="1"/>
    <col min="11280" max="11280" width="15.42578125" style="154" customWidth="1"/>
    <col min="11281" max="11526" width="9.140625" style="154"/>
    <col min="11527" max="11527" width="0" style="154" hidden="1" customWidth="1"/>
    <col min="11528" max="11528" width="60.140625" style="154" customWidth="1"/>
    <col min="11529" max="11529" width="6.140625" style="154" customWidth="1"/>
    <col min="11530" max="11530" width="4.85546875" style="154" customWidth="1"/>
    <col min="11531" max="11531" width="5.140625" style="154" customWidth="1"/>
    <col min="11532" max="11532" width="16.5703125" style="154" customWidth="1"/>
    <col min="11533" max="11533" width="10.42578125" style="154" customWidth="1"/>
    <col min="11534" max="11535" width="13.42578125" style="154" customWidth="1"/>
    <col min="11536" max="11536" width="15.42578125" style="154" customWidth="1"/>
    <col min="11537" max="11782" width="9.140625" style="154"/>
    <col min="11783" max="11783" width="0" style="154" hidden="1" customWidth="1"/>
    <col min="11784" max="11784" width="60.140625" style="154" customWidth="1"/>
    <col min="11785" max="11785" width="6.140625" style="154" customWidth="1"/>
    <col min="11786" max="11786" width="4.85546875" style="154" customWidth="1"/>
    <col min="11787" max="11787" width="5.140625" style="154" customWidth="1"/>
    <col min="11788" max="11788" width="16.5703125" style="154" customWidth="1"/>
    <col min="11789" max="11789" width="10.42578125" style="154" customWidth="1"/>
    <col min="11790" max="11791" width="13.42578125" style="154" customWidth="1"/>
    <col min="11792" max="11792" width="15.42578125" style="154" customWidth="1"/>
    <col min="11793" max="12038" width="9.140625" style="154"/>
    <col min="12039" max="12039" width="0" style="154" hidden="1" customWidth="1"/>
    <col min="12040" max="12040" width="60.140625" style="154" customWidth="1"/>
    <col min="12041" max="12041" width="6.140625" style="154" customWidth="1"/>
    <col min="12042" max="12042" width="4.85546875" style="154" customWidth="1"/>
    <col min="12043" max="12043" width="5.140625" style="154" customWidth="1"/>
    <col min="12044" max="12044" width="16.5703125" style="154" customWidth="1"/>
    <col min="12045" max="12045" width="10.42578125" style="154" customWidth="1"/>
    <col min="12046" max="12047" width="13.42578125" style="154" customWidth="1"/>
    <col min="12048" max="12048" width="15.42578125" style="154" customWidth="1"/>
    <col min="12049" max="12294" width="9.140625" style="154"/>
    <col min="12295" max="12295" width="0" style="154" hidden="1" customWidth="1"/>
    <col min="12296" max="12296" width="60.140625" style="154" customWidth="1"/>
    <col min="12297" max="12297" width="6.140625" style="154" customWidth="1"/>
    <col min="12298" max="12298" width="4.85546875" style="154" customWidth="1"/>
    <col min="12299" max="12299" width="5.140625" style="154" customWidth="1"/>
    <col min="12300" max="12300" width="16.5703125" style="154" customWidth="1"/>
    <col min="12301" max="12301" width="10.42578125" style="154" customWidth="1"/>
    <col min="12302" max="12303" width="13.42578125" style="154" customWidth="1"/>
    <col min="12304" max="12304" width="15.42578125" style="154" customWidth="1"/>
    <col min="12305" max="12550" width="9.140625" style="154"/>
    <col min="12551" max="12551" width="0" style="154" hidden="1" customWidth="1"/>
    <col min="12552" max="12552" width="60.140625" style="154" customWidth="1"/>
    <col min="12553" max="12553" width="6.140625" style="154" customWidth="1"/>
    <col min="12554" max="12554" width="4.85546875" style="154" customWidth="1"/>
    <col min="12555" max="12555" width="5.140625" style="154" customWidth="1"/>
    <col min="12556" max="12556" width="16.5703125" style="154" customWidth="1"/>
    <col min="12557" max="12557" width="10.42578125" style="154" customWidth="1"/>
    <col min="12558" max="12559" width="13.42578125" style="154" customWidth="1"/>
    <col min="12560" max="12560" width="15.42578125" style="154" customWidth="1"/>
    <col min="12561" max="12806" width="9.140625" style="154"/>
    <col min="12807" max="12807" width="0" style="154" hidden="1" customWidth="1"/>
    <col min="12808" max="12808" width="60.140625" style="154" customWidth="1"/>
    <col min="12809" max="12809" width="6.140625" style="154" customWidth="1"/>
    <col min="12810" max="12810" width="4.85546875" style="154" customWidth="1"/>
    <col min="12811" max="12811" width="5.140625" style="154" customWidth="1"/>
    <col min="12812" max="12812" width="16.5703125" style="154" customWidth="1"/>
    <col min="12813" max="12813" width="10.42578125" style="154" customWidth="1"/>
    <col min="12814" max="12815" width="13.42578125" style="154" customWidth="1"/>
    <col min="12816" max="12816" width="15.42578125" style="154" customWidth="1"/>
    <col min="12817" max="13062" width="9.140625" style="154"/>
    <col min="13063" max="13063" width="0" style="154" hidden="1" customWidth="1"/>
    <col min="13064" max="13064" width="60.140625" style="154" customWidth="1"/>
    <col min="13065" max="13065" width="6.140625" style="154" customWidth="1"/>
    <col min="13066" max="13066" width="4.85546875" style="154" customWidth="1"/>
    <col min="13067" max="13067" width="5.140625" style="154" customWidth="1"/>
    <col min="13068" max="13068" width="16.5703125" style="154" customWidth="1"/>
    <col min="13069" max="13069" width="10.42578125" style="154" customWidth="1"/>
    <col min="13070" max="13071" width="13.42578125" style="154" customWidth="1"/>
    <col min="13072" max="13072" width="15.42578125" style="154" customWidth="1"/>
    <col min="13073" max="13318" width="9.140625" style="154"/>
    <col min="13319" max="13319" width="0" style="154" hidden="1" customWidth="1"/>
    <col min="13320" max="13320" width="60.140625" style="154" customWidth="1"/>
    <col min="13321" max="13321" width="6.140625" style="154" customWidth="1"/>
    <col min="13322" max="13322" width="4.85546875" style="154" customWidth="1"/>
    <col min="13323" max="13323" width="5.140625" style="154" customWidth="1"/>
    <col min="13324" max="13324" width="16.5703125" style="154" customWidth="1"/>
    <col min="13325" max="13325" width="10.42578125" style="154" customWidth="1"/>
    <col min="13326" max="13327" width="13.42578125" style="154" customWidth="1"/>
    <col min="13328" max="13328" width="15.42578125" style="154" customWidth="1"/>
    <col min="13329" max="13574" width="9.140625" style="154"/>
    <col min="13575" max="13575" width="0" style="154" hidden="1" customWidth="1"/>
    <col min="13576" max="13576" width="60.140625" style="154" customWidth="1"/>
    <col min="13577" max="13577" width="6.140625" style="154" customWidth="1"/>
    <col min="13578" max="13578" width="4.85546875" style="154" customWidth="1"/>
    <col min="13579" max="13579" width="5.140625" style="154" customWidth="1"/>
    <col min="13580" max="13580" width="16.5703125" style="154" customWidth="1"/>
    <col min="13581" max="13581" width="10.42578125" style="154" customWidth="1"/>
    <col min="13582" max="13583" width="13.42578125" style="154" customWidth="1"/>
    <col min="13584" max="13584" width="15.42578125" style="154" customWidth="1"/>
    <col min="13585" max="13830" width="9.140625" style="154"/>
    <col min="13831" max="13831" width="0" style="154" hidden="1" customWidth="1"/>
    <col min="13832" max="13832" width="60.140625" style="154" customWidth="1"/>
    <col min="13833" max="13833" width="6.140625" style="154" customWidth="1"/>
    <col min="13834" max="13834" width="4.85546875" style="154" customWidth="1"/>
    <col min="13835" max="13835" width="5.140625" style="154" customWidth="1"/>
    <col min="13836" max="13836" width="16.5703125" style="154" customWidth="1"/>
    <col min="13837" max="13837" width="10.42578125" style="154" customWidth="1"/>
    <col min="13838" max="13839" width="13.42578125" style="154" customWidth="1"/>
    <col min="13840" max="13840" width="15.42578125" style="154" customWidth="1"/>
    <col min="13841" max="14086" width="9.140625" style="154"/>
    <col min="14087" max="14087" width="0" style="154" hidden="1" customWidth="1"/>
    <col min="14088" max="14088" width="60.140625" style="154" customWidth="1"/>
    <col min="14089" max="14089" width="6.140625" style="154" customWidth="1"/>
    <col min="14090" max="14090" width="4.85546875" style="154" customWidth="1"/>
    <col min="14091" max="14091" width="5.140625" style="154" customWidth="1"/>
    <col min="14092" max="14092" width="16.5703125" style="154" customWidth="1"/>
    <col min="14093" max="14093" width="10.42578125" style="154" customWidth="1"/>
    <col min="14094" max="14095" width="13.42578125" style="154" customWidth="1"/>
    <col min="14096" max="14096" width="15.42578125" style="154" customWidth="1"/>
    <col min="14097" max="14342" width="9.140625" style="154"/>
    <col min="14343" max="14343" width="0" style="154" hidden="1" customWidth="1"/>
    <col min="14344" max="14344" width="60.140625" style="154" customWidth="1"/>
    <col min="14345" max="14345" width="6.140625" style="154" customWidth="1"/>
    <col min="14346" max="14346" width="4.85546875" style="154" customWidth="1"/>
    <col min="14347" max="14347" width="5.140625" style="154" customWidth="1"/>
    <col min="14348" max="14348" width="16.5703125" style="154" customWidth="1"/>
    <col min="14349" max="14349" width="10.42578125" style="154" customWidth="1"/>
    <col min="14350" max="14351" width="13.42578125" style="154" customWidth="1"/>
    <col min="14352" max="14352" width="15.42578125" style="154" customWidth="1"/>
    <col min="14353" max="14598" width="9.140625" style="154"/>
    <col min="14599" max="14599" width="0" style="154" hidden="1" customWidth="1"/>
    <col min="14600" max="14600" width="60.140625" style="154" customWidth="1"/>
    <col min="14601" max="14601" width="6.140625" style="154" customWidth="1"/>
    <col min="14602" max="14602" width="4.85546875" style="154" customWidth="1"/>
    <col min="14603" max="14603" width="5.140625" style="154" customWidth="1"/>
    <col min="14604" max="14604" width="16.5703125" style="154" customWidth="1"/>
    <col min="14605" max="14605" width="10.42578125" style="154" customWidth="1"/>
    <col min="14606" max="14607" width="13.42578125" style="154" customWidth="1"/>
    <col min="14608" max="14608" width="15.42578125" style="154" customWidth="1"/>
    <col min="14609" max="14854" width="9.140625" style="154"/>
    <col min="14855" max="14855" width="0" style="154" hidden="1" customWidth="1"/>
    <col min="14856" max="14856" width="60.140625" style="154" customWidth="1"/>
    <col min="14857" max="14857" width="6.140625" style="154" customWidth="1"/>
    <col min="14858" max="14858" width="4.85546875" style="154" customWidth="1"/>
    <col min="14859" max="14859" width="5.140625" style="154" customWidth="1"/>
    <col min="14860" max="14860" width="16.5703125" style="154" customWidth="1"/>
    <col min="14861" max="14861" width="10.42578125" style="154" customWidth="1"/>
    <col min="14862" max="14863" width="13.42578125" style="154" customWidth="1"/>
    <col min="14864" max="14864" width="15.42578125" style="154" customWidth="1"/>
    <col min="14865" max="15110" width="9.140625" style="154"/>
    <col min="15111" max="15111" width="0" style="154" hidden="1" customWidth="1"/>
    <col min="15112" max="15112" width="60.140625" style="154" customWidth="1"/>
    <col min="15113" max="15113" width="6.140625" style="154" customWidth="1"/>
    <col min="15114" max="15114" width="4.85546875" style="154" customWidth="1"/>
    <col min="15115" max="15115" width="5.140625" style="154" customWidth="1"/>
    <col min="15116" max="15116" width="16.5703125" style="154" customWidth="1"/>
    <col min="15117" max="15117" width="10.42578125" style="154" customWidth="1"/>
    <col min="15118" max="15119" width="13.42578125" style="154" customWidth="1"/>
    <col min="15120" max="15120" width="15.42578125" style="154" customWidth="1"/>
    <col min="15121" max="15366" width="9.140625" style="154"/>
    <col min="15367" max="15367" width="0" style="154" hidden="1" customWidth="1"/>
    <col min="15368" max="15368" width="60.140625" style="154" customWidth="1"/>
    <col min="15369" max="15369" width="6.140625" style="154" customWidth="1"/>
    <col min="15370" max="15370" width="4.85546875" style="154" customWidth="1"/>
    <col min="15371" max="15371" width="5.140625" style="154" customWidth="1"/>
    <col min="15372" max="15372" width="16.5703125" style="154" customWidth="1"/>
    <col min="15373" max="15373" width="10.42578125" style="154" customWidth="1"/>
    <col min="15374" max="15375" width="13.42578125" style="154" customWidth="1"/>
    <col min="15376" max="15376" width="15.42578125" style="154" customWidth="1"/>
    <col min="15377" max="15622" width="9.140625" style="154"/>
    <col min="15623" max="15623" width="0" style="154" hidden="1" customWidth="1"/>
    <col min="15624" max="15624" width="60.140625" style="154" customWidth="1"/>
    <col min="15625" max="15625" width="6.140625" style="154" customWidth="1"/>
    <col min="15626" max="15626" width="4.85546875" style="154" customWidth="1"/>
    <col min="15627" max="15627" width="5.140625" style="154" customWidth="1"/>
    <col min="15628" max="15628" width="16.5703125" style="154" customWidth="1"/>
    <col min="15629" max="15629" width="10.42578125" style="154" customWidth="1"/>
    <col min="15630" max="15631" width="13.42578125" style="154" customWidth="1"/>
    <col min="15632" max="15632" width="15.42578125" style="154" customWidth="1"/>
    <col min="15633" max="15878" width="9.140625" style="154"/>
    <col min="15879" max="15879" width="0" style="154" hidden="1" customWidth="1"/>
    <col min="15880" max="15880" width="60.140625" style="154" customWidth="1"/>
    <col min="15881" max="15881" width="6.140625" style="154" customWidth="1"/>
    <col min="15882" max="15882" width="4.85546875" style="154" customWidth="1"/>
    <col min="15883" max="15883" width="5.140625" style="154" customWidth="1"/>
    <col min="15884" max="15884" width="16.5703125" style="154" customWidth="1"/>
    <col min="15885" max="15885" width="10.42578125" style="154" customWidth="1"/>
    <col min="15886" max="15887" width="13.42578125" style="154" customWidth="1"/>
    <col min="15888" max="15888" width="15.42578125" style="154" customWidth="1"/>
    <col min="15889" max="16134" width="9.140625" style="154"/>
    <col min="16135" max="16135" width="0" style="154" hidden="1" customWidth="1"/>
    <col min="16136" max="16136" width="60.140625" style="154" customWidth="1"/>
    <col min="16137" max="16137" width="6.140625" style="154" customWidth="1"/>
    <col min="16138" max="16138" width="4.85546875" style="154" customWidth="1"/>
    <col min="16139" max="16139" width="5.140625" style="154" customWidth="1"/>
    <col min="16140" max="16140" width="16.5703125" style="154" customWidth="1"/>
    <col min="16141" max="16141" width="10.42578125" style="154" customWidth="1"/>
    <col min="16142" max="16143" width="13.42578125" style="154" customWidth="1"/>
    <col min="16144" max="16144" width="15.42578125" style="154" customWidth="1"/>
    <col min="16145" max="16384" width="9.140625" style="154"/>
  </cols>
  <sheetData>
    <row r="1" spans="2:18" ht="57.75" customHeight="1" x14ac:dyDescent="0.2">
      <c r="B1" s="421" t="s">
        <v>1129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</row>
    <row r="2" spans="2:18" ht="18.600000000000001" customHeight="1" x14ac:dyDescent="0.2">
      <c r="B2" s="164"/>
      <c r="C2" s="165"/>
      <c r="D2" s="165"/>
      <c r="E2" s="165"/>
      <c r="F2" s="165"/>
      <c r="G2" s="166"/>
    </row>
    <row r="3" spans="2:18" ht="55.5" customHeight="1" x14ac:dyDescent="0.2">
      <c r="B3" s="423" t="s">
        <v>666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</row>
    <row r="4" spans="2:18" ht="16.5" customHeight="1" x14ac:dyDescent="0.2">
      <c r="B4" s="401"/>
      <c r="C4" s="34"/>
      <c r="D4" s="34"/>
      <c r="E4" s="34"/>
      <c r="F4" s="34"/>
      <c r="P4" s="42" t="s">
        <v>664</v>
      </c>
      <c r="Q4" s="42" t="s">
        <v>664</v>
      </c>
    </row>
    <row r="5" spans="2:18" ht="38.25" customHeight="1" x14ac:dyDescent="0.2">
      <c r="B5" s="404" t="s">
        <v>663</v>
      </c>
      <c r="C5" s="403" t="s">
        <v>667</v>
      </c>
      <c r="D5" s="403" t="s">
        <v>662</v>
      </c>
      <c r="E5" s="403" t="s">
        <v>661</v>
      </c>
      <c r="F5" s="403" t="s">
        <v>660</v>
      </c>
      <c r="G5" s="403" t="s">
        <v>659</v>
      </c>
      <c r="H5" s="167">
        <v>2025</v>
      </c>
      <c r="I5" s="329">
        <v>2025</v>
      </c>
      <c r="J5" s="307" t="s">
        <v>1067</v>
      </c>
      <c r="K5" s="167">
        <v>2026</v>
      </c>
      <c r="L5" s="329">
        <v>2025</v>
      </c>
      <c r="M5" s="312" t="s">
        <v>1104</v>
      </c>
      <c r="N5" s="328">
        <v>2026</v>
      </c>
      <c r="O5" s="307" t="s">
        <v>1067</v>
      </c>
      <c r="P5" s="167">
        <v>2027</v>
      </c>
      <c r="Q5" s="328">
        <v>2027</v>
      </c>
      <c r="R5" s="312" t="s">
        <v>1067</v>
      </c>
    </row>
    <row r="6" spans="2:18" s="169" customFormat="1" ht="21" customHeight="1" x14ac:dyDescent="0.2">
      <c r="B6" s="168">
        <v>1</v>
      </c>
      <c r="C6" s="158">
        <v>2</v>
      </c>
      <c r="D6" s="158">
        <v>3</v>
      </c>
      <c r="E6" s="158">
        <v>4</v>
      </c>
      <c r="F6" s="158">
        <v>5</v>
      </c>
      <c r="G6" s="158">
        <v>6</v>
      </c>
      <c r="H6" s="158">
        <v>7</v>
      </c>
      <c r="I6" s="158">
        <v>7</v>
      </c>
      <c r="J6" s="308"/>
      <c r="K6" s="158">
        <v>8</v>
      </c>
      <c r="L6" s="158">
        <v>7</v>
      </c>
      <c r="M6" s="308"/>
      <c r="N6" s="158">
        <v>8</v>
      </c>
      <c r="O6" s="308"/>
      <c r="P6" s="158">
        <v>9</v>
      </c>
      <c r="Q6" s="158">
        <v>9</v>
      </c>
      <c r="R6" s="331"/>
    </row>
    <row r="7" spans="2:18" s="32" customFormat="1" x14ac:dyDescent="0.2">
      <c r="B7" s="59" t="s">
        <v>668</v>
      </c>
      <c r="C7" s="48" t="s">
        <v>669</v>
      </c>
      <c r="D7" s="48"/>
      <c r="E7" s="48"/>
      <c r="F7" s="48"/>
      <c r="G7" s="48"/>
      <c r="H7" s="44">
        <f>H8+H140+H179+H233+H338+H437+H442+H383+H481+H133+H358</f>
        <v>489138.29999999993</v>
      </c>
      <c r="I7" s="44">
        <f>I8+I140+I179+I233+I338+I437+I442+I383+I481+I133+I358</f>
        <v>764118.1</v>
      </c>
      <c r="J7" s="300">
        <f>I7-H7</f>
        <v>274979.80000000005</v>
      </c>
      <c r="K7" s="44">
        <f>K8+K140+K179+K233+K338+K437+K442+K383+K481+K133+K358</f>
        <v>244923.09999999998</v>
      </c>
      <c r="L7" s="44">
        <f>L8+L140+L179+L233+L338+L437+L442+L383+L481+L133+L358</f>
        <v>807127.29999999993</v>
      </c>
      <c r="M7" s="300">
        <f>L7-I7</f>
        <v>43009.199999999953</v>
      </c>
      <c r="N7" s="44">
        <f>N8+N140+N179+N233+N338+N437+N442+N383+N481+N133+N358</f>
        <v>232996.09999999998</v>
      </c>
      <c r="O7" s="300">
        <f>N7-K7</f>
        <v>-11927</v>
      </c>
      <c r="P7" s="44">
        <f>P8+P140+P179+P233+P338+P437+P442+P383+P481+P133+P358</f>
        <v>245508.3</v>
      </c>
      <c r="Q7" s="44">
        <f>Q8+Q140+Q179+Q233+Q338+Q437+Q442+Q383+Q481+Q133+Q358</f>
        <v>233581.3</v>
      </c>
      <c r="R7" s="333">
        <f>Q7-P7</f>
        <v>-11927</v>
      </c>
    </row>
    <row r="8" spans="2:18" s="32" customFormat="1" ht="15.75" x14ac:dyDescent="0.2">
      <c r="B8" s="170" t="s">
        <v>670</v>
      </c>
      <c r="C8" s="48" t="s">
        <v>669</v>
      </c>
      <c r="D8" s="48" t="s">
        <v>45</v>
      </c>
      <c r="E8" s="48"/>
      <c r="F8" s="48"/>
      <c r="G8" s="48"/>
      <c r="H8" s="44">
        <f>H15+H53+H57+H61++H9</f>
        <v>55049.899999999994</v>
      </c>
      <c r="I8" s="44">
        <f>I15+I53+I57+I61++I9</f>
        <v>51560.2</v>
      </c>
      <c r="J8" s="300">
        <f t="shared" ref="J8:J75" si="0">I8-H8</f>
        <v>-3489.6999999999971</v>
      </c>
      <c r="K8" s="44">
        <f>K15+K53+K57+K61++K9</f>
        <v>52423.499999999993</v>
      </c>
      <c r="L8" s="44">
        <f>L15+L53+L57+L61++L9</f>
        <v>52097.3</v>
      </c>
      <c r="M8" s="300">
        <f t="shared" ref="M8:M71" si="1">L8-I8</f>
        <v>537.10000000000582</v>
      </c>
      <c r="N8" s="44">
        <f>N15+N53+N57+N61++N9</f>
        <v>52423.499999999993</v>
      </c>
      <c r="O8" s="300">
        <f t="shared" ref="O8:O75" si="2">N8-K8</f>
        <v>0</v>
      </c>
      <c r="P8" s="44">
        <f>P15+P53+P57+P61++P9</f>
        <v>51448.999999999993</v>
      </c>
      <c r="Q8" s="44">
        <f>Q15+Q53+Q57+Q61++Q9</f>
        <v>51448.999999999993</v>
      </c>
      <c r="R8" s="333">
        <f t="shared" ref="R8:R75" si="3">Q8-P8</f>
        <v>0</v>
      </c>
    </row>
    <row r="9" spans="2:18" s="32" customFormat="1" ht="25.5" x14ac:dyDescent="0.2">
      <c r="B9" s="59" t="s">
        <v>657</v>
      </c>
      <c r="C9" s="48" t="s">
        <v>669</v>
      </c>
      <c r="D9" s="48" t="s">
        <v>45</v>
      </c>
      <c r="E9" s="48" t="s">
        <v>72</v>
      </c>
      <c r="F9" s="48"/>
      <c r="G9" s="48"/>
      <c r="H9" s="52">
        <f t="shared" ref="H9:Q13" si="4">H10</f>
        <v>3214.5</v>
      </c>
      <c r="I9" s="52">
        <f t="shared" si="4"/>
        <v>3464.5</v>
      </c>
      <c r="J9" s="300">
        <f t="shared" si="0"/>
        <v>250</v>
      </c>
      <c r="K9" s="52">
        <f t="shared" si="4"/>
        <v>3173.6</v>
      </c>
      <c r="L9" s="52">
        <f t="shared" si="4"/>
        <v>3464.5</v>
      </c>
      <c r="M9" s="300">
        <f t="shared" si="1"/>
        <v>0</v>
      </c>
      <c r="N9" s="52">
        <f t="shared" si="4"/>
        <v>3173.6</v>
      </c>
      <c r="O9" s="300">
        <f t="shared" si="2"/>
        <v>0</v>
      </c>
      <c r="P9" s="52">
        <f t="shared" si="4"/>
        <v>3173.6</v>
      </c>
      <c r="Q9" s="52">
        <f t="shared" si="4"/>
        <v>3173.6</v>
      </c>
      <c r="R9" s="333">
        <f t="shared" si="3"/>
        <v>0</v>
      </c>
    </row>
    <row r="10" spans="2:18" s="32" customFormat="1" ht="25.5" x14ac:dyDescent="0.2">
      <c r="B10" s="56" t="s">
        <v>536</v>
      </c>
      <c r="C10" s="53" t="s">
        <v>669</v>
      </c>
      <c r="D10" s="53" t="s">
        <v>45</v>
      </c>
      <c r="E10" s="53" t="s">
        <v>72</v>
      </c>
      <c r="F10" s="53" t="s">
        <v>535</v>
      </c>
      <c r="G10" s="48"/>
      <c r="H10" s="52">
        <f t="shared" si="4"/>
        <v>3214.5</v>
      </c>
      <c r="I10" s="52">
        <f t="shared" si="4"/>
        <v>3464.5</v>
      </c>
      <c r="J10" s="300">
        <f t="shared" si="0"/>
        <v>250</v>
      </c>
      <c r="K10" s="52">
        <f t="shared" si="4"/>
        <v>3173.6</v>
      </c>
      <c r="L10" s="52">
        <f t="shared" si="4"/>
        <v>3464.5</v>
      </c>
      <c r="M10" s="300">
        <f t="shared" si="1"/>
        <v>0</v>
      </c>
      <c r="N10" s="52">
        <f t="shared" si="4"/>
        <v>3173.6</v>
      </c>
      <c r="O10" s="300">
        <f t="shared" si="2"/>
        <v>0</v>
      </c>
      <c r="P10" s="52">
        <f t="shared" si="4"/>
        <v>3173.6</v>
      </c>
      <c r="Q10" s="52">
        <f t="shared" si="4"/>
        <v>3173.6</v>
      </c>
      <c r="R10" s="333">
        <f t="shared" si="3"/>
        <v>0</v>
      </c>
    </row>
    <row r="11" spans="2:18" s="32" customFormat="1" x14ac:dyDescent="0.2">
      <c r="B11" s="145" t="s">
        <v>52</v>
      </c>
      <c r="C11" s="53" t="s">
        <v>669</v>
      </c>
      <c r="D11" s="53" t="s">
        <v>45</v>
      </c>
      <c r="E11" s="53" t="s">
        <v>72</v>
      </c>
      <c r="F11" s="54" t="s">
        <v>534</v>
      </c>
      <c r="G11" s="53"/>
      <c r="H11" s="52">
        <f t="shared" si="4"/>
        <v>3214.5</v>
      </c>
      <c r="I11" s="52">
        <f t="shared" si="4"/>
        <v>3464.5</v>
      </c>
      <c r="J11" s="300">
        <f t="shared" si="0"/>
        <v>250</v>
      </c>
      <c r="K11" s="52">
        <f t="shared" si="4"/>
        <v>3173.6</v>
      </c>
      <c r="L11" s="52">
        <f t="shared" si="4"/>
        <v>3464.5</v>
      </c>
      <c r="M11" s="300">
        <f t="shared" si="1"/>
        <v>0</v>
      </c>
      <c r="N11" s="52">
        <f t="shared" si="4"/>
        <v>3173.6</v>
      </c>
      <c r="O11" s="300">
        <f t="shared" si="2"/>
        <v>0</v>
      </c>
      <c r="P11" s="52">
        <f t="shared" si="4"/>
        <v>3173.6</v>
      </c>
      <c r="Q11" s="52">
        <f t="shared" si="4"/>
        <v>3173.6</v>
      </c>
      <c r="R11" s="333">
        <f t="shared" si="3"/>
        <v>0</v>
      </c>
    </row>
    <row r="12" spans="2:18" s="32" customFormat="1" ht="25.5" x14ac:dyDescent="0.2">
      <c r="B12" s="145" t="s">
        <v>533</v>
      </c>
      <c r="C12" s="53" t="s">
        <v>669</v>
      </c>
      <c r="D12" s="53" t="s">
        <v>45</v>
      </c>
      <c r="E12" s="53" t="s">
        <v>72</v>
      </c>
      <c r="F12" s="54" t="s">
        <v>532</v>
      </c>
      <c r="G12" s="53"/>
      <c r="H12" s="52">
        <f t="shared" si="4"/>
        <v>3214.5</v>
      </c>
      <c r="I12" s="52">
        <f t="shared" si="4"/>
        <v>3464.5</v>
      </c>
      <c r="J12" s="300">
        <f t="shared" si="0"/>
        <v>250</v>
      </c>
      <c r="K12" s="52">
        <f t="shared" si="4"/>
        <v>3173.6</v>
      </c>
      <c r="L12" s="52">
        <f t="shared" si="4"/>
        <v>3464.5</v>
      </c>
      <c r="M12" s="300">
        <f t="shared" si="1"/>
        <v>0</v>
      </c>
      <c r="N12" s="52">
        <f t="shared" si="4"/>
        <v>3173.6</v>
      </c>
      <c r="O12" s="300">
        <f t="shared" si="2"/>
        <v>0</v>
      </c>
      <c r="P12" s="52">
        <f t="shared" si="4"/>
        <v>3173.6</v>
      </c>
      <c r="Q12" s="52">
        <f t="shared" si="4"/>
        <v>3173.6</v>
      </c>
      <c r="R12" s="333">
        <f t="shared" si="3"/>
        <v>0</v>
      </c>
    </row>
    <row r="13" spans="2:18" s="32" customFormat="1" x14ac:dyDescent="0.2">
      <c r="B13" s="171" t="s">
        <v>656</v>
      </c>
      <c r="C13" s="53" t="s">
        <v>669</v>
      </c>
      <c r="D13" s="53" t="s">
        <v>45</v>
      </c>
      <c r="E13" s="53" t="s">
        <v>72</v>
      </c>
      <c r="F13" s="54" t="s">
        <v>655</v>
      </c>
      <c r="G13" s="53"/>
      <c r="H13" s="52">
        <f t="shared" si="4"/>
        <v>3214.5</v>
      </c>
      <c r="I13" s="52">
        <f t="shared" si="4"/>
        <v>3464.5</v>
      </c>
      <c r="J13" s="300">
        <f t="shared" si="0"/>
        <v>250</v>
      </c>
      <c r="K13" s="52">
        <f t="shared" si="4"/>
        <v>3173.6</v>
      </c>
      <c r="L13" s="52">
        <f t="shared" si="4"/>
        <v>3464.5</v>
      </c>
      <c r="M13" s="300">
        <f t="shared" si="1"/>
        <v>0</v>
      </c>
      <c r="N13" s="52">
        <f t="shared" si="4"/>
        <v>3173.6</v>
      </c>
      <c r="O13" s="300">
        <f t="shared" si="2"/>
        <v>0</v>
      </c>
      <c r="P13" s="52">
        <f t="shared" si="4"/>
        <v>3173.6</v>
      </c>
      <c r="Q13" s="52">
        <f t="shared" si="4"/>
        <v>3173.6</v>
      </c>
      <c r="R13" s="333">
        <f t="shared" si="3"/>
        <v>0</v>
      </c>
    </row>
    <row r="14" spans="2:18" s="32" customFormat="1" ht="18" customHeight="1" x14ac:dyDescent="0.2">
      <c r="B14" s="172" t="s">
        <v>84</v>
      </c>
      <c r="C14" s="53" t="s">
        <v>669</v>
      </c>
      <c r="D14" s="53" t="s">
        <v>45</v>
      </c>
      <c r="E14" s="53" t="s">
        <v>72</v>
      </c>
      <c r="F14" s="54" t="s">
        <v>655</v>
      </c>
      <c r="G14" s="53" t="s">
        <v>83</v>
      </c>
      <c r="H14" s="52">
        <f>3114.5+100</f>
        <v>3214.5</v>
      </c>
      <c r="I14" s="52">
        <f>3214.5+250</f>
        <v>3464.5</v>
      </c>
      <c r="J14" s="300">
        <f t="shared" si="0"/>
        <v>250</v>
      </c>
      <c r="K14" s="52">
        <f>3114.5+59.1</f>
        <v>3173.6</v>
      </c>
      <c r="L14" s="52">
        <f>3214.5+250</f>
        <v>3464.5</v>
      </c>
      <c r="M14" s="300">
        <f t="shared" si="1"/>
        <v>0</v>
      </c>
      <c r="N14" s="52">
        <f>3114.5+59.1</f>
        <v>3173.6</v>
      </c>
      <c r="O14" s="300">
        <f t="shared" si="2"/>
        <v>0</v>
      </c>
      <c r="P14" s="52">
        <f>3114.5+59.1</f>
        <v>3173.6</v>
      </c>
      <c r="Q14" s="52">
        <f>3114.5+59.1</f>
        <v>3173.6</v>
      </c>
      <c r="R14" s="333">
        <f t="shared" si="3"/>
        <v>0</v>
      </c>
    </row>
    <row r="15" spans="2:18" s="32" customFormat="1" ht="38.25" x14ac:dyDescent="0.2">
      <c r="B15" s="50" t="s">
        <v>649</v>
      </c>
      <c r="C15" s="48" t="s">
        <v>669</v>
      </c>
      <c r="D15" s="48" t="s">
        <v>671</v>
      </c>
      <c r="E15" s="48" t="s">
        <v>108</v>
      </c>
      <c r="F15" s="48"/>
      <c r="G15" s="48"/>
      <c r="H15" s="52">
        <f>H16+H22+H41+H47</f>
        <v>45901.899999999994</v>
      </c>
      <c r="I15" s="52">
        <f>I16+I22+I41+I47</f>
        <v>41562.199999999997</v>
      </c>
      <c r="J15" s="300">
        <f t="shared" si="0"/>
        <v>-4339.6999999999971</v>
      </c>
      <c r="K15" s="52">
        <f>K16+K22+K41+K47</f>
        <v>44745.899999999994</v>
      </c>
      <c r="L15" s="52">
        <f>L16+L22+L41+L47</f>
        <v>41925.300000000003</v>
      </c>
      <c r="M15" s="300">
        <f t="shared" si="1"/>
        <v>363.10000000000582</v>
      </c>
      <c r="N15" s="52">
        <f>N16+N22+N41+N47</f>
        <v>44745.899999999994</v>
      </c>
      <c r="O15" s="300">
        <f t="shared" si="2"/>
        <v>0</v>
      </c>
      <c r="P15" s="52">
        <f>P16+P22+P41+P47</f>
        <v>43781.899999999994</v>
      </c>
      <c r="Q15" s="52">
        <f>Q16+Q22+Q41+Q47</f>
        <v>43781.899999999994</v>
      </c>
      <c r="R15" s="333">
        <f t="shared" si="3"/>
        <v>0</v>
      </c>
    </row>
    <row r="16" spans="2:18" s="32" customFormat="1" ht="28.5" customHeight="1" x14ac:dyDescent="0.2">
      <c r="B16" s="79" t="s">
        <v>147</v>
      </c>
      <c r="C16" s="53" t="s">
        <v>669</v>
      </c>
      <c r="D16" s="53" t="s">
        <v>45</v>
      </c>
      <c r="E16" s="53" t="s">
        <v>108</v>
      </c>
      <c r="F16" s="53" t="s">
        <v>105</v>
      </c>
      <c r="G16" s="78"/>
      <c r="H16" s="52">
        <f t="shared" ref="H16:Q18" si="5">H17</f>
        <v>1036.0999999999999</v>
      </c>
      <c r="I16" s="52">
        <f t="shared" si="5"/>
        <v>1036.0999999999999</v>
      </c>
      <c r="J16" s="300">
        <f t="shared" si="0"/>
        <v>0</v>
      </c>
      <c r="K16" s="52">
        <f t="shared" si="5"/>
        <v>1036.0999999999999</v>
      </c>
      <c r="L16" s="52">
        <f t="shared" si="5"/>
        <v>1036.0999999999999</v>
      </c>
      <c r="M16" s="300">
        <f t="shared" si="1"/>
        <v>0</v>
      </c>
      <c r="N16" s="52">
        <f t="shared" si="5"/>
        <v>1036.0999999999999</v>
      </c>
      <c r="O16" s="300">
        <f t="shared" si="2"/>
        <v>0</v>
      </c>
      <c r="P16" s="52">
        <f t="shared" si="5"/>
        <v>1036.0999999999999</v>
      </c>
      <c r="Q16" s="52">
        <f t="shared" si="5"/>
        <v>1036.0999999999999</v>
      </c>
      <c r="R16" s="333">
        <f t="shared" si="3"/>
        <v>0</v>
      </c>
    </row>
    <row r="17" spans="2:19" s="32" customFormat="1" ht="15.75" customHeight="1" x14ac:dyDescent="0.2">
      <c r="B17" s="77" t="s">
        <v>52</v>
      </c>
      <c r="C17" s="53" t="s">
        <v>669</v>
      </c>
      <c r="D17" s="53" t="s">
        <v>45</v>
      </c>
      <c r="E17" s="53" t="s">
        <v>108</v>
      </c>
      <c r="F17" s="53" t="s">
        <v>104</v>
      </c>
      <c r="G17" s="78"/>
      <c r="H17" s="52">
        <f t="shared" si="5"/>
        <v>1036.0999999999999</v>
      </c>
      <c r="I17" s="52">
        <f t="shared" si="5"/>
        <v>1036.0999999999999</v>
      </c>
      <c r="J17" s="300">
        <f t="shared" si="0"/>
        <v>0</v>
      </c>
      <c r="K17" s="52">
        <f t="shared" si="5"/>
        <v>1036.0999999999999</v>
      </c>
      <c r="L17" s="52">
        <f t="shared" si="5"/>
        <v>1036.0999999999999</v>
      </c>
      <c r="M17" s="300">
        <f t="shared" si="1"/>
        <v>0</v>
      </c>
      <c r="N17" s="52">
        <f t="shared" si="5"/>
        <v>1036.0999999999999</v>
      </c>
      <c r="O17" s="300">
        <f t="shared" si="2"/>
        <v>0</v>
      </c>
      <c r="P17" s="52">
        <f t="shared" si="5"/>
        <v>1036.0999999999999</v>
      </c>
      <c r="Q17" s="52">
        <f t="shared" si="5"/>
        <v>1036.0999999999999</v>
      </c>
      <c r="R17" s="333">
        <f t="shared" si="3"/>
        <v>0</v>
      </c>
    </row>
    <row r="18" spans="2:19" s="32" customFormat="1" ht="36.75" customHeight="1" x14ac:dyDescent="0.2">
      <c r="B18" s="139" t="s">
        <v>648</v>
      </c>
      <c r="C18" s="53" t="s">
        <v>669</v>
      </c>
      <c r="D18" s="53" t="s">
        <v>45</v>
      </c>
      <c r="E18" s="53" t="s">
        <v>108</v>
      </c>
      <c r="F18" s="74" t="s">
        <v>647</v>
      </c>
      <c r="G18" s="78"/>
      <c r="H18" s="52">
        <f t="shared" si="5"/>
        <v>1036.0999999999999</v>
      </c>
      <c r="I18" s="52">
        <f t="shared" si="5"/>
        <v>1036.0999999999999</v>
      </c>
      <c r="J18" s="300">
        <f t="shared" si="0"/>
        <v>0</v>
      </c>
      <c r="K18" s="52">
        <f t="shared" si="5"/>
        <v>1036.0999999999999</v>
      </c>
      <c r="L18" s="52">
        <f t="shared" si="5"/>
        <v>1036.0999999999999</v>
      </c>
      <c r="M18" s="300">
        <f t="shared" si="1"/>
        <v>0</v>
      </c>
      <c r="N18" s="52">
        <f t="shared" si="5"/>
        <v>1036.0999999999999</v>
      </c>
      <c r="O18" s="300">
        <f t="shared" si="2"/>
        <v>0</v>
      </c>
      <c r="P18" s="52">
        <f t="shared" si="5"/>
        <v>1036.0999999999999</v>
      </c>
      <c r="Q18" s="52">
        <f t="shared" si="5"/>
        <v>1036.0999999999999</v>
      </c>
      <c r="R18" s="333">
        <f t="shared" si="3"/>
        <v>0</v>
      </c>
    </row>
    <row r="19" spans="2:19" s="32" customFormat="1" ht="106.5" customHeight="1" x14ac:dyDescent="0.2">
      <c r="B19" s="131" t="s">
        <v>646</v>
      </c>
      <c r="C19" s="53" t="s">
        <v>669</v>
      </c>
      <c r="D19" s="53" t="s">
        <v>45</v>
      </c>
      <c r="E19" s="53" t="s">
        <v>108</v>
      </c>
      <c r="F19" s="74" t="s">
        <v>645</v>
      </c>
      <c r="G19" s="78"/>
      <c r="H19" s="52">
        <f>H20+H21</f>
        <v>1036.0999999999999</v>
      </c>
      <c r="I19" s="52">
        <f>I20+I21</f>
        <v>1036.0999999999999</v>
      </c>
      <c r="J19" s="300">
        <f t="shared" si="0"/>
        <v>0</v>
      </c>
      <c r="K19" s="52">
        <f>K20+K21</f>
        <v>1036.0999999999999</v>
      </c>
      <c r="L19" s="52">
        <f>L20+L21</f>
        <v>1036.0999999999999</v>
      </c>
      <c r="M19" s="300">
        <f t="shared" si="1"/>
        <v>0</v>
      </c>
      <c r="N19" s="52">
        <f>N20+N21</f>
        <v>1036.0999999999999</v>
      </c>
      <c r="O19" s="300">
        <f t="shared" si="2"/>
        <v>0</v>
      </c>
      <c r="P19" s="52">
        <f>P20+P21</f>
        <v>1036.0999999999999</v>
      </c>
      <c r="Q19" s="52">
        <f>Q20+Q21</f>
        <v>1036.0999999999999</v>
      </c>
      <c r="R19" s="333">
        <f t="shared" si="3"/>
        <v>0</v>
      </c>
    </row>
    <row r="20" spans="2:19" s="32" customFormat="1" ht="18" customHeight="1" x14ac:dyDescent="0.2">
      <c r="B20" s="84" t="s">
        <v>84</v>
      </c>
      <c r="C20" s="53" t="s">
        <v>669</v>
      </c>
      <c r="D20" s="53" t="s">
        <v>45</v>
      </c>
      <c r="E20" s="53" t="s">
        <v>108</v>
      </c>
      <c r="F20" s="74" t="s">
        <v>645</v>
      </c>
      <c r="G20" s="78" t="s">
        <v>83</v>
      </c>
      <c r="H20" s="52">
        <v>740.1</v>
      </c>
      <c r="I20" s="52">
        <v>740.1</v>
      </c>
      <c r="J20" s="300">
        <f t="shared" si="0"/>
        <v>0</v>
      </c>
      <c r="K20" s="52">
        <v>740.1</v>
      </c>
      <c r="L20" s="52">
        <v>740.1</v>
      </c>
      <c r="M20" s="300">
        <f t="shared" si="1"/>
        <v>0</v>
      </c>
      <c r="N20" s="52">
        <v>740.1</v>
      </c>
      <c r="O20" s="300">
        <f t="shared" si="2"/>
        <v>0</v>
      </c>
      <c r="P20" s="52">
        <v>740.1</v>
      </c>
      <c r="Q20" s="52">
        <v>740.1</v>
      </c>
      <c r="R20" s="333">
        <f t="shared" si="3"/>
        <v>0</v>
      </c>
    </row>
    <row r="21" spans="2:19" s="32" customFormat="1" ht="26.25" customHeight="1" x14ac:dyDescent="0.2">
      <c r="B21" s="84" t="s">
        <v>73</v>
      </c>
      <c r="C21" s="53" t="s">
        <v>669</v>
      </c>
      <c r="D21" s="53" t="s">
        <v>45</v>
      </c>
      <c r="E21" s="53" t="s">
        <v>108</v>
      </c>
      <c r="F21" s="74" t="s">
        <v>645</v>
      </c>
      <c r="G21" s="78" t="s">
        <v>70</v>
      </c>
      <c r="H21" s="52">
        <v>296</v>
      </c>
      <c r="I21" s="52">
        <v>296</v>
      </c>
      <c r="J21" s="300">
        <f t="shared" si="0"/>
        <v>0</v>
      </c>
      <c r="K21" s="52">
        <v>296</v>
      </c>
      <c r="L21" s="52">
        <v>296</v>
      </c>
      <c r="M21" s="300">
        <f t="shared" si="1"/>
        <v>0</v>
      </c>
      <c r="N21" s="52">
        <v>296</v>
      </c>
      <c r="O21" s="300">
        <f t="shared" si="2"/>
        <v>0</v>
      </c>
      <c r="P21" s="52">
        <v>296</v>
      </c>
      <c r="Q21" s="52">
        <v>296</v>
      </c>
      <c r="R21" s="333">
        <f t="shared" si="3"/>
        <v>0</v>
      </c>
    </row>
    <row r="22" spans="2:19" s="32" customFormat="1" ht="28.5" customHeight="1" x14ac:dyDescent="0.2">
      <c r="B22" s="56" t="s">
        <v>536</v>
      </c>
      <c r="C22" s="55" t="s">
        <v>669</v>
      </c>
      <c r="D22" s="55" t="s">
        <v>45</v>
      </c>
      <c r="E22" s="55" t="s">
        <v>108</v>
      </c>
      <c r="F22" s="55" t="s">
        <v>535</v>
      </c>
      <c r="G22" s="78"/>
      <c r="H22" s="52">
        <f>H23+H37</f>
        <v>43670.799999999996</v>
      </c>
      <c r="I22" s="52">
        <f>I23+I37</f>
        <v>39331.1</v>
      </c>
      <c r="J22" s="300">
        <f t="shared" si="0"/>
        <v>-4339.6999999999971</v>
      </c>
      <c r="K22" s="52">
        <f>K23+K37</f>
        <v>42517.299999999996</v>
      </c>
      <c r="L22" s="52">
        <f>L23+L37</f>
        <v>39694.200000000004</v>
      </c>
      <c r="M22" s="300">
        <f t="shared" si="1"/>
        <v>363.10000000000582</v>
      </c>
      <c r="N22" s="52">
        <f>N23+N37</f>
        <v>42517.299999999996</v>
      </c>
      <c r="O22" s="300">
        <f t="shared" si="2"/>
        <v>0</v>
      </c>
      <c r="P22" s="52">
        <f>P23+P37</f>
        <v>41553.299999999996</v>
      </c>
      <c r="Q22" s="52">
        <f>Q23+Q37</f>
        <v>41553.299999999996</v>
      </c>
      <c r="R22" s="333">
        <f t="shared" si="3"/>
        <v>0</v>
      </c>
    </row>
    <row r="23" spans="2:19" s="32" customFormat="1" ht="15" customHeight="1" x14ac:dyDescent="0.2">
      <c r="B23" s="139" t="s">
        <v>52</v>
      </c>
      <c r="C23" s="55" t="s">
        <v>669</v>
      </c>
      <c r="D23" s="55" t="s">
        <v>45</v>
      </c>
      <c r="E23" s="55" t="s">
        <v>108</v>
      </c>
      <c r="F23" s="128" t="s">
        <v>534</v>
      </c>
      <c r="G23" s="78"/>
      <c r="H23" s="52">
        <f>H24+H34</f>
        <v>42359.799999999996</v>
      </c>
      <c r="I23" s="52">
        <f>I24+I34</f>
        <v>38020.1</v>
      </c>
      <c r="J23" s="300">
        <f t="shared" si="0"/>
        <v>-4339.6999999999971</v>
      </c>
      <c r="K23" s="52">
        <f>K24+K34</f>
        <v>41717.299999999996</v>
      </c>
      <c r="L23" s="52">
        <f>L24+L34</f>
        <v>38383.200000000004</v>
      </c>
      <c r="M23" s="300">
        <f t="shared" si="1"/>
        <v>363.10000000000582</v>
      </c>
      <c r="N23" s="52">
        <f>N24+N34</f>
        <v>41717.299999999996</v>
      </c>
      <c r="O23" s="300">
        <f t="shared" si="2"/>
        <v>0</v>
      </c>
      <c r="P23" s="52">
        <f>P24+P34</f>
        <v>40753.299999999996</v>
      </c>
      <c r="Q23" s="52">
        <f>Q24+Q34</f>
        <v>40753.299999999996</v>
      </c>
      <c r="R23" s="333">
        <f t="shared" si="3"/>
        <v>0</v>
      </c>
    </row>
    <row r="24" spans="2:19" s="32" customFormat="1" ht="26.25" customHeight="1" x14ac:dyDescent="0.2">
      <c r="B24" s="139" t="s">
        <v>533</v>
      </c>
      <c r="C24" s="55" t="s">
        <v>669</v>
      </c>
      <c r="D24" s="55" t="s">
        <v>45</v>
      </c>
      <c r="E24" s="55" t="s">
        <v>108</v>
      </c>
      <c r="F24" s="128" t="s">
        <v>532</v>
      </c>
      <c r="G24" s="78"/>
      <c r="H24" s="52">
        <f>H25+H31+H29</f>
        <v>41059.199999999997</v>
      </c>
      <c r="I24" s="52">
        <f>I25+I31+I29</f>
        <v>36719.5</v>
      </c>
      <c r="J24" s="300">
        <f t="shared" si="0"/>
        <v>-4339.6999999999971</v>
      </c>
      <c r="K24" s="52">
        <f>K25+K31+K29</f>
        <v>41018.6</v>
      </c>
      <c r="L24" s="52">
        <f>L25+L31+L29</f>
        <v>37082.600000000006</v>
      </c>
      <c r="M24" s="300">
        <f t="shared" si="1"/>
        <v>363.10000000000582</v>
      </c>
      <c r="N24" s="52">
        <f>N25+N31+N29</f>
        <v>41018.6</v>
      </c>
      <c r="O24" s="300">
        <f t="shared" si="2"/>
        <v>0</v>
      </c>
      <c r="P24" s="52">
        <f>P25+P31+P29</f>
        <v>40054.6</v>
      </c>
      <c r="Q24" s="52">
        <f>Q25+Q31+Q29</f>
        <v>40054.6</v>
      </c>
      <c r="R24" s="333">
        <f t="shared" si="3"/>
        <v>0</v>
      </c>
    </row>
    <row r="25" spans="2:19" s="32" customFormat="1" ht="18" customHeight="1" x14ac:dyDescent="0.2">
      <c r="B25" s="56" t="s">
        <v>414</v>
      </c>
      <c r="C25" s="53" t="s">
        <v>669</v>
      </c>
      <c r="D25" s="53" t="s">
        <v>45</v>
      </c>
      <c r="E25" s="53" t="s">
        <v>108</v>
      </c>
      <c r="F25" s="54" t="s">
        <v>644</v>
      </c>
      <c r="G25" s="78"/>
      <c r="H25" s="52">
        <f>H26+H27+H28</f>
        <v>14113.899999999998</v>
      </c>
      <c r="I25" s="52">
        <f>I26+I27+I28</f>
        <v>9774.1999999999971</v>
      </c>
      <c r="J25" s="300">
        <f t="shared" si="0"/>
        <v>-4339.7000000000007</v>
      </c>
      <c r="K25" s="52">
        <f>K26+K27+K28</f>
        <v>14018.299999999997</v>
      </c>
      <c r="L25" s="52">
        <f>L26+L27+L28</f>
        <v>10137.299999999999</v>
      </c>
      <c r="M25" s="300">
        <f t="shared" si="1"/>
        <v>363.10000000000218</v>
      </c>
      <c r="N25" s="52">
        <f>N26+N27+N28</f>
        <v>14018.299999999997</v>
      </c>
      <c r="O25" s="300">
        <f t="shared" si="2"/>
        <v>0</v>
      </c>
      <c r="P25" s="52">
        <f>P26+P27+P28</f>
        <v>13054.299999999997</v>
      </c>
      <c r="Q25" s="52">
        <f>Q26+Q27+Q28</f>
        <v>13054.299999999997</v>
      </c>
      <c r="R25" s="333">
        <f t="shared" si="3"/>
        <v>0</v>
      </c>
    </row>
    <row r="26" spans="2:19" s="32" customFormat="1" ht="20.25" customHeight="1" x14ac:dyDescent="0.2">
      <c r="B26" s="56" t="s">
        <v>84</v>
      </c>
      <c r="C26" s="53" t="s">
        <v>669</v>
      </c>
      <c r="D26" s="53" t="s">
        <v>45</v>
      </c>
      <c r="E26" s="53" t="s">
        <v>108</v>
      </c>
      <c r="F26" s="54" t="s">
        <v>644</v>
      </c>
      <c r="G26" s="78" t="s">
        <v>83</v>
      </c>
      <c r="H26" s="52">
        <f>10411.5+181-417.6-740.1-485.7-676.1-229.3</f>
        <v>8043.699999999998</v>
      </c>
      <c r="I26" s="52">
        <f>8043.7-4261.6-250-600</f>
        <v>2932.0999999999995</v>
      </c>
      <c r="J26" s="300">
        <f t="shared" si="0"/>
        <v>-5111.5999999999985</v>
      </c>
      <c r="K26" s="52">
        <f>10411.5+181-740.1-485.7-495.5-676.1-227.6</f>
        <v>7967.4999999999982</v>
      </c>
      <c r="L26" s="52">
        <f>2932.1+223.1-168</f>
        <v>2987.2</v>
      </c>
      <c r="M26" s="300">
        <f t="shared" si="1"/>
        <v>55.100000000000364</v>
      </c>
      <c r="N26" s="52">
        <f>10411.5+181-740.1-485.7-495.5-676.1-227.6</f>
        <v>7967.4999999999982</v>
      </c>
      <c r="O26" s="300">
        <f t="shared" si="2"/>
        <v>0</v>
      </c>
      <c r="P26" s="52">
        <f>10411.5+181-740.1-485.7-513.5-676.1-227.6</f>
        <v>7949.4999999999982</v>
      </c>
      <c r="Q26" s="52">
        <f>10411.5+181-740.1-485.7-513.5-676.1-227.6</f>
        <v>7949.4999999999982</v>
      </c>
      <c r="R26" s="333">
        <f t="shared" si="3"/>
        <v>0</v>
      </c>
    </row>
    <row r="27" spans="2:19" s="32" customFormat="1" ht="26.25" customHeight="1" x14ac:dyDescent="0.2">
      <c r="B27" s="56" t="s">
        <v>73</v>
      </c>
      <c r="C27" s="53" t="s">
        <v>669</v>
      </c>
      <c r="D27" s="53" t="s">
        <v>45</v>
      </c>
      <c r="E27" s="53" t="s">
        <v>108</v>
      </c>
      <c r="F27" s="54" t="s">
        <v>644</v>
      </c>
      <c r="G27" s="78" t="s">
        <v>70</v>
      </c>
      <c r="H27" s="52">
        <f>5755+19.4</f>
        <v>5774.4</v>
      </c>
      <c r="I27" s="52">
        <f>5774.4+100+400+200+71.9</f>
        <v>6546.2999999999993</v>
      </c>
      <c r="J27" s="300">
        <f t="shared" si="0"/>
        <v>771.89999999999964</v>
      </c>
      <c r="K27" s="52">
        <v>5755</v>
      </c>
      <c r="L27" s="52">
        <f>6546.3+140+168</f>
        <v>6854.3</v>
      </c>
      <c r="M27" s="300">
        <f t="shared" si="1"/>
        <v>308.00000000000091</v>
      </c>
      <c r="N27" s="52">
        <v>5755</v>
      </c>
      <c r="O27" s="300">
        <f t="shared" si="2"/>
        <v>0</v>
      </c>
      <c r="P27" s="52">
        <v>4809</v>
      </c>
      <c r="Q27" s="52">
        <v>4809</v>
      </c>
      <c r="R27" s="333">
        <f t="shared" si="3"/>
        <v>0</v>
      </c>
    </row>
    <row r="28" spans="2:19" s="32" customFormat="1" ht="17.25" customHeight="1" x14ac:dyDescent="0.2">
      <c r="B28" s="56" t="s">
        <v>413</v>
      </c>
      <c r="C28" s="53" t="s">
        <v>669</v>
      </c>
      <c r="D28" s="53" t="s">
        <v>45</v>
      </c>
      <c r="E28" s="53" t="s">
        <v>108</v>
      </c>
      <c r="F28" s="54" t="s">
        <v>644</v>
      </c>
      <c r="G28" s="78" t="s">
        <v>320</v>
      </c>
      <c r="H28" s="52">
        <f>295.8</f>
        <v>295.8</v>
      </c>
      <c r="I28" s="52">
        <f>295.8</f>
        <v>295.8</v>
      </c>
      <c r="J28" s="300">
        <f t="shared" si="0"/>
        <v>0</v>
      </c>
      <c r="K28" s="133">
        <f>295.8</f>
        <v>295.8</v>
      </c>
      <c r="L28" s="52">
        <f>295.8</f>
        <v>295.8</v>
      </c>
      <c r="M28" s="300">
        <f t="shared" si="1"/>
        <v>0</v>
      </c>
      <c r="N28" s="133">
        <f>295.8</f>
        <v>295.8</v>
      </c>
      <c r="O28" s="300">
        <f t="shared" si="2"/>
        <v>0</v>
      </c>
      <c r="P28" s="133">
        <f>295.8</f>
        <v>295.8</v>
      </c>
      <c r="Q28" s="133">
        <f>295.8</f>
        <v>295.8</v>
      </c>
      <c r="R28" s="333">
        <f t="shared" si="3"/>
        <v>0</v>
      </c>
      <c r="S28" s="39"/>
    </row>
    <row r="29" spans="2:19" s="32" customFormat="1" ht="30" customHeight="1" x14ac:dyDescent="0.2">
      <c r="B29" s="69" t="s">
        <v>88</v>
      </c>
      <c r="C29" s="53" t="s">
        <v>669</v>
      </c>
      <c r="D29" s="53" t="s">
        <v>45</v>
      </c>
      <c r="E29" s="53" t="s">
        <v>108</v>
      </c>
      <c r="F29" s="54" t="s">
        <v>643</v>
      </c>
      <c r="G29" s="78"/>
      <c r="H29" s="52">
        <f>H30</f>
        <v>26459.600000000002</v>
      </c>
      <c r="I29" s="52">
        <f>I30</f>
        <v>26459.600000000002</v>
      </c>
      <c r="J29" s="300">
        <f t="shared" si="0"/>
        <v>0</v>
      </c>
      <c r="K29" s="52">
        <f>K30</f>
        <v>26514.600000000002</v>
      </c>
      <c r="L29" s="52">
        <f>L30</f>
        <v>26459.600000000002</v>
      </c>
      <c r="M29" s="300">
        <f t="shared" si="1"/>
        <v>0</v>
      </c>
      <c r="N29" s="52">
        <f>N30</f>
        <v>26514.600000000002</v>
      </c>
      <c r="O29" s="300">
        <f t="shared" si="2"/>
        <v>0</v>
      </c>
      <c r="P29" s="52">
        <f>P30</f>
        <v>26514.600000000002</v>
      </c>
      <c r="Q29" s="52">
        <f>Q30</f>
        <v>26514.600000000002</v>
      </c>
      <c r="R29" s="333">
        <f t="shared" si="3"/>
        <v>0</v>
      </c>
    </row>
    <row r="30" spans="2:19" s="32" customFormat="1" ht="18" customHeight="1" x14ac:dyDescent="0.2">
      <c r="B30" s="69" t="s">
        <v>84</v>
      </c>
      <c r="C30" s="53" t="s">
        <v>669</v>
      </c>
      <c r="D30" s="53" t="s">
        <v>45</v>
      </c>
      <c r="E30" s="53" t="s">
        <v>108</v>
      </c>
      <c r="F30" s="54" t="s">
        <v>643</v>
      </c>
      <c r="G30" s="78" t="s">
        <v>83</v>
      </c>
      <c r="H30" s="52">
        <f>879.7+25634.9-55</f>
        <v>26459.600000000002</v>
      </c>
      <c r="I30" s="52">
        <f>879.7+25634.9-55</f>
        <v>26459.600000000002</v>
      </c>
      <c r="J30" s="300">
        <f t="shared" si="0"/>
        <v>0</v>
      </c>
      <c r="K30" s="52">
        <f>879.7+25634.9</f>
        <v>26514.600000000002</v>
      </c>
      <c r="L30" s="52">
        <f>879.7+25634.9-55</f>
        <v>26459.600000000002</v>
      </c>
      <c r="M30" s="300">
        <f t="shared" si="1"/>
        <v>0</v>
      </c>
      <c r="N30" s="52">
        <f>879.7+25634.9</f>
        <v>26514.600000000002</v>
      </c>
      <c r="O30" s="300">
        <f t="shared" si="2"/>
        <v>0</v>
      </c>
      <c r="P30" s="52">
        <f>879.7+25634.9</f>
        <v>26514.600000000002</v>
      </c>
      <c r="Q30" s="52">
        <f>879.7+25634.9</f>
        <v>26514.600000000002</v>
      </c>
      <c r="R30" s="333">
        <f t="shared" si="3"/>
        <v>0</v>
      </c>
    </row>
    <row r="31" spans="2:19" s="32" customFormat="1" ht="73.5" customHeight="1" x14ac:dyDescent="0.2">
      <c r="B31" s="56" t="s">
        <v>642</v>
      </c>
      <c r="C31" s="53" t="s">
        <v>669</v>
      </c>
      <c r="D31" s="53" t="s">
        <v>45</v>
      </c>
      <c r="E31" s="53" t="s">
        <v>108</v>
      </c>
      <c r="F31" s="54" t="s">
        <v>641</v>
      </c>
      <c r="G31" s="78"/>
      <c r="H31" s="52">
        <f>H32+H33</f>
        <v>485.7</v>
      </c>
      <c r="I31" s="52">
        <f t="shared" ref="I31:Q31" si="6">I32+I33</f>
        <v>485.7</v>
      </c>
      <c r="J31" s="300">
        <f t="shared" si="0"/>
        <v>0</v>
      </c>
      <c r="K31" s="52">
        <f t="shared" si="6"/>
        <v>485.7</v>
      </c>
      <c r="L31" s="52">
        <f t="shared" si="6"/>
        <v>485.7</v>
      </c>
      <c r="M31" s="300">
        <f t="shared" si="1"/>
        <v>0</v>
      </c>
      <c r="N31" s="52">
        <f t="shared" si="6"/>
        <v>485.7</v>
      </c>
      <c r="O31" s="300">
        <f t="shared" si="2"/>
        <v>0</v>
      </c>
      <c r="P31" s="52">
        <f t="shared" si="6"/>
        <v>485.7</v>
      </c>
      <c r="Q31" s="52">
        <f t="shared" si="6"/>
        <v>485.7</v>
      </c>
      <c r="R31" s="333">
        <f t="shared" si="3"/>
        <v>0</v>
      </c>
    </row>
    <row r="32" spans="2:19" s="32" customFormat="1" ht="17.25" customHeight="1" x14ac:dyDescent="0.2">
      <c r="B32" s="56" t="s">
        <v>84</v>
      </c>
      <c r="C32" s="53" t="s">
        <v>669</v>
      </c>
      <c r="D32" s="53" t="s">
        <v>45</v>
      </c>
      <c r="E32" s="53" t="s">
        <v>108</v>
      </c>
      <c r="F32" s="54" t="s">
        <v>641</v>
      </c>
      <c r="G32" s="78" t="s">
        <v>83</v>
      </c>
      <c r="H32" s="52">
        <v>485.7</v>
      </c>
      <c r="I32" s="52">
        <f>485.7-77.5</f>
        <v>408.2</v>
      </c>
      <c r="J32" s="300">
        <f t="shared" si="0"/>
        <v>-77.5</v>
      </c>
      <c r="K32" s="52">
        <v>485.7</v>
      </c>
      <c r="L32" s="52">
        <f>485.7-77.5</f>
        <v>408.2</v>
      </c>
      <c r="M32" s="300">
        <f t="shared" si="1"/>
        <v>0</v>
      </c>
      <c r="N32" s="52">
        <v>485.7</v>
      </c>
      <c r="O32" s="300">
        <f t="shared" si="2"/>
        <v>0</v>
      </c>
      <c r="P32" s="52">
        <v>485.7</v>
      </c>
      <c r="Q32" s="52">
        <v>485.7</v>
      </c>
      <c r="R32" s="333">
        <f t="shared" si="3"/>
        <v>0</v>
      </c>
    </row>
    <row r="33" spans="2:18" s="32" customFormat="1" ht="26.25" customHeight="1" x14ac:dyDescent="0.2">
      <c r="B33" s="56" t="s">
        <v>73</v>
      </c>
      <c r="C33" s="53" t="s">
        <v>669</v>
      </c>
      <c r="D33" s="53" t="s">
        <v>45</v>
      </c>
      <c r="E33" s="53" t="s">
        <v>108</v>
      </c>
      <c r="F33" s="54" t="s">
        <v>641</v>
      </c>
      <c r="G33" s="78" t="s">
        <v>70</v>
      </c>
      <c r="H33" s="52">
        <v>0</v>
      </c>
      <c r="I33" s="52">
        <v>77.5</v>
      </c>
      <c r="J33" s="300">
        <f t="shared" si="0"/>
        <v>77.5</v>
      </c>
      <c r="K33" s="52">
        <v>0</v>
      </c>
      <c r="L33" s="52">
        <v>77.5</v>
      </c>
      <c r="M33" s="300">
        <f t="shared" si="1"/>
        <v>0</v>
      </c>
      <c r="N33" s="52">
        <v>0</v>
      </c>
      <c r="O33" s="300">
        <f t="shared" si="2"/>
        <v>0</v>
      </c>
      <c r="P33" s="52">
        <v>0</v>
      </c>
      <c r="Q33" s="52">
        <v>0</v>
      </c>
      <c r="R33" s="333">
        <f t="shared" si="3"/>
        <v>0</v>
      </c>
    </row>
    <row r="34" spans="2:18" s="32" customFormat="1" ht="44.25" customHeight="1" x14ac:dyDescent="0.2">
      <c r="B34" s="56" t="s">
        <v>640</v>
      </c>
      <c r="C34" s="53" t="s">
        <v>669</v>
      </c>
      <c r="D34" s="53" t="s">
        <v>45</v>
      </c>
      <c r="E34" s="53" t="s">
        <v>108</v>
      </c>
      <c r="F34" s="54" t="s">
        <v>639</v>
      </c>
      <c r="G34" s="78"/>
      <c r="H34" s="52">
        <f t="shared" ref="H34:Q35" si="7">H35</f>
        <v>1300.5999999999999</v>
      </c>
      <c r="I34" s="52">
        <f t="shared" si="7"/>
        <v>1300.5999999999999</v>
      </c>
      <c r="J34" s="300">
        <f t="shared" si="0"/>
        <v>0</v>
      </c>
      <c r="K34" s="52">
        <f t="shared" si="7"/>
        <v>698.7</v>
      </c>
      <c r="L34" s="52">
        <f t="shared" si="7"/>
        <v>1300.5999999999999</v>
      </c>
      <c r="M34" s="300">
        <f t="shared" si="1"/>
        <v>0</v>
      </c>
      <c r="N34" s="52">
        <f t="shared" si="7"/>
        <v>698.7</v>
      </c>
      <c r="O34" s="300">
        <f t="shared" si="2"/>
        <v>0</v>
      </c>
      <c r="P34" s="52">
        <f t="shared" si="7"/>
        <v>698.7</v>
      </c>
      <c r="Q34" s="52">
        <f t="shared" si="7"/>
        <v>698.7</v>
      </c>
      <c r="R34" s="333">
        <f t="shared" si="3"/>
        <v>0</v>
      </c>
    </row>
    <row r="35" spans="2:18" s="32" customFormat="1" ht="20.25" customHeight="1" x14ac:dyDescent="0.2">
      <c r="B35" s="56" t="s">
        <v>638</v>
      </c>
      <c r="C35" s="53" t="s">
        <v>669</v>
      </c>
      <c r="D35" s="53" t="s">
        <v>45</v>
      </c>
      <c r="E35" s="53" t="s">
        <v>108</v>
      </c>
      <c r="F35" s="54" t="s">
        <v>637</v>
      </c>
      <c r="G35" s="78"/>
      <c r="H35" s="52">
        <f t="shared" si="7"/>
        <v>1300.5999999999999</v>
      </c>
      <c r="I35" s="52">
        <f t="shared" si="7"/>
        <v>1300.5999999999999</v>
      </c>
      <c r="J35" s="300">
        <f t="shared" si="0"/>
        <v>0</v>
      </c>
      <c r="K35" s="52">
        <f t="shared" si="7"/>
        <v>698.7</v>
      </c>
      <c r="L35" s="52">
        <f t="shared" si="7"/>
        <v>1300.5999999999999</v>
      </c>
      <c r="M35" s="300">
        <f t="shared" si="1"/>
        <v>0</v>
      </c>
      <c r="N35" s="52">
        <f t="shared" si="7"/>
        <v>698.7</v>
      </c>
      <c r="O35" s="300">
        <f t="shared" si="2"/>
        <v>0</v>
      </c>
      <c r="P35" s="52">
        <f t="shared" si="7"/>
        <v>698.7</v>
      </c>
      <c r="Q35" s="52">
        <f t="shared" si="7"/>
        <v>698.7</v>
      </c>
      <c r="R35" s="333">
        <f t="shared" si="3"/>
        <v>0</v>
      </c>
    </row>
    <row r="36" spans="2:18" s="32" customFormat="1" ht="24.75" customHeight="1" x14ac:dyDescent="0.2">
      <c r="B36" s="56" t="s">
        <v>73</v>
      </c>
      <c r="C36" s="53" t="s">
        <v>669</v>
      </c>
      <c r="D36" s="53" t="s">
        <v>45</v>
      </c>
      <c r="E36" s="53" t="s">
        <v>108</v>
      </c>
      <c r="F36" s="54" t="s">
        <v>637</v>
      </c>
      <c r="G36" s="78" t="s">
        <v>70</v>
      </c>
      <c r="H36" s="52">
        <v>1300.5999999999999</v>
      </c>
      <c r="I36" s="52">
        <v>1300.5999999999999</v>
      </c>
      <c r="J36" s="300">
        <f t="shared" si="0"/>
        <v>0</v>
      </c>
      <c r="K36" s="52">
        <v>698.7</v>
      </c>
      <c r="L36" s="52">
        <v>1300.5999999999999</v>
      </c>
      <c r="M36" s="300">
        <f t="shared" si="1"/>
        <v>0</v>
      </c>
      <c r="N36" s="52">
        <v>698.7</v>
      </c>
      <c r="O36" s="300">
        <f t="shared" si="2"/>
        <v>0</v>
      </c>
      <c r="P36" s="52">
        <v>698.7</v>
      </c>
      <c r="Q36" s="52">
        <v>698.7</v>
      </c>
      <c r="R36" s="333">
        <f t="shared" si="3"/>
        <v>0</v>
      </c>
    </row>
    <row r="37" spans="2:18" s="32" customFormat="1" ht="15" customHeight="1" x14ac:dyDescent="0.2">
      <c r="B37" s="62" t="s">
        <v>66</v>
      </c>
      <c r="C37" s="53" t="s">
        <v>669</v>
      </c>
      <c r="D37" s="53" t="s">
        <v>45</v>
      </c>
      <c r="E37" s="53" t="s">
        <v>108</v>
      </c>
      <c r="F37" s="54" t="s">
        <v>636</v>
      </c>
      <c r="G37" s="78"/>
      <c r="H37" s="52">
        <f t="shared" ref="H37:I39" si="8">H38</f>
        <v>1311</v>
      </c>
      <c r="I37" s="52">
        <f t="shared" si="8"/>
        <v>1311</v>
      </c>
      <c r="J37" s="300">
        <f t="shared" si="0"/>
        <v>0</v>
      </c>
      <c r="K37" s="52">
        <f t="shared" ref="K37:Q39" si="9">K38</f>
        <v>800</v>
      </c>
      <c r="L37" s="52">
        <f t="shared" si="9"/>
        <v>1311</v>
      </c>
      <c r="M37" s="300">
        <f t="shared" si="1"/>
        <v>0</v>
      </c>
      <c r="N37" s="52">
        <f t="shared" si="9"/>
        <v>800</v>
      </c>
      <c r="O37" s="300">
        <f t="shared" si="2"/>
        <v>0</v>
      </c>
      <c r="P37" s="52">
        <f t="shared" si="9"/>
        <v>800</v>
      </c>
      <c r="Q37" s="52">
        <f t="shared" si="9"/>
        <v>800</v>
      </c>
      <c r="R37" s="333">
        <f t="shared" si="3"/>
        <v>0</v>
      </c>
    </row>
    <row r="38" spans="2:18" s="32" customFormat="1" ht="31.5" customHeight="1" x14ac:dyDescent="0.2">
      <c r="B38" s="62" t="s">
        <v>672</v>
      </c>
      <c r="C38" s="53" t="s">
        <v>669</v>
      </c>
      <c r="D38" s="53" t="s">
        <v>45</v>
      </c>
      <c r="E38" s="53" t="s">
        <v>108</v>
      </c>
      <c r="F38" s="54" t="s">
        <v>634</v>
      </c>
      <c r="G38" s="78"/>
      <c r="H38" s="52">
        <f t="shared" si="8"/>
        <v>1311</v>
      </c>
      <c r="I38" s="52">
        <f t="shared" si="8"/>
        <v>1311</v>
      </c>
      <c r="J38" s="300">
        <f t="shared" si="0"/>
        <v>0</v>
      </c>
      <c r="K38" s="52">
        <f t="shared" si="9"/>
        <v>800</v>
      </c>
      <c r="L38" s="52">
        <f t="shared" si="9"/>
        <v>1311</v>
      </c>
      <c r="M38" s="300">
        <f t="shared" si="1"/>
        <v>0</v>
      </c>
      <c r="N38" s="52">
        <f t="shared" si="9"/>
        <v>800</v>
      </c>
      <c r="O38" s="300">
        <f t="shared" si="2"/>
        <v>0</v>
      </c>
      <c r="P38" s="52">
        <f t="shared" si="9"/>
        <v>800</v>
      </c>
      <c r="Q38" s="52">
        <f t="shared" si="9"/>
        <v>800</v>
      </c>
      <c r="R38" s="333">
        <f t="shared" si="3"/>
        <v>0</v>
      </c>
    </row>
    <row r="39" spans="2:18" s="32" customFormat="1" ht="32.25" customHeight="1" x14ac:dyDescent="0.2">
      <c r="B39" s="56" t="s">
        <v>633</v>
      </c>
      <c r="C39" s="53" t="s">
        <v>669</v>
      </c>
      <c r="D39" s="53" t="s">
        <v>45</v>
      </c>
      <c r="E39" s="53" t="s">
        <v>108</v>
      </c>
      <c r="F39" s="54" t="s">
        <v>632</v>
      </c>
      <c r="G39" s="78"/>
      <c r="H39" s="52">
        <f t="shared" si="8"/>
        <v>1311</v>
      </c>
      <c r="I39" s="52">
        <f t="shared" si="8"/>
        <v>1311</v>
      </c>
      <c r="J39" s="300">
        <f t="shared" si="0"/>
        <v>0</v>
      </c>
      <c r="K39" s="52">
        <f t="shared" si="9"/>
        <v>800</v>
      </c>
      <c r="L39" s="52">
        <f t="shared" si="9"/>
        <v>1311</v>
      </c>
      <c r="M39" s="300">
        <f t="shared" si="1"/>
        <v>0</v>
      </c>
      <c r="N39" s="52">
        <f t="shared" si="9"/>
        <v>800</v>
      </c>
      <c r="O39" s="300">
        <f t="shared" si="2"/>
        <v>0</v>
      </c>
      <c r="P39" s="52">
        <f t="shared" si="9"/>
        <v>800</v>
      </c>
      <c r="Q39" s="52">
        <f t="shared" si="9"/>
        <v>800</v>
      </c>
      <c r="R39" s="333">
        <f t="shared" si="3"/>
        <v>0</v>
      </c>
    </row>
    <row r="40" spans="2:18" s="32" customFormat="1" ht="24.75" customHeight="1" x14ac:dyDescent="0.2">
      <c r="B40" s="56" t="s">
        <v>73</v>
      </c>
      <c r="C40" s="53" t="s">
        <v>669</v>
      </c>
      <c r="D40" s="53" t="s">
        <v>45</v>
      </c>
      <c r="E40" s="53" t="s">
        <v>108</v>
      </c>
      <c r="F40" s="54" t="s">
        <v>632</v>
      </c>
      <c r="G40" s="78" t="s">
        <v>70</v>
      </c>
      <c r="H40" s="52">
        <f>1911-600</f>
        <v>1311</v>
      </c>
      <c r="I40" s="52">
        <f>1911-600</f>
        <v>1311</v>
      </c>
      <c r="J40" s="300">
        <f t="shared" si="0"/>
        <v>0</v>
      </c>
      <c r="K40" s="52">
        <v>800</v>
      </c>
      <c r="L40" s="52">
        <f>1911-600</f>
        <v>1311</v>
      </c>
      <c r="M40" s="300">
        <f t="shared" si="1"/>
        <v>0</v>
      </c>
      <c r="N40" s="52">
        <v>800</v>
      </c>
      <c r="O40" s="300">
        <f t="shared" si="2"/>
        <v>0</v>
      </c>
      <c r="P40" s="52">
        <v>800</v>
      </c>
      <c r="Q40" s="52">
        <v>800</v>
      </c>
      <c r="R40" s="333">
        <f t="shared" si="3"/>
        <v>0</v>
      </c>
    </row>
    <row r="41" spans="2:18" s="32" customFormat="1" ht="30" customHeight="1" x14ac:dyDescent="0.2">
      <c r="B41" s="141" t="s">
        <v>453</v>
      </c>
      <c r="C41" s="53" t="s">
        <v>669</v>
      </c>
      <c r="D41" s="53" t="s">
        <v>45</v>
      </c>
      <c r="E41" s="53" t="s">
        <v>108</v>
      </c>
      <c r="F41" s="74" t="s">
        <v>452</v>
      </c>
      <c r="G41" s="78"/>
      <c r="H41" s="52">
        <f t="shared" ref="H41:Q43" si="10">H42</f>
        <v>852.8</v>
      </c>
      <c r="I41" s="52">
        <f t="shared" si="10"/>
        <v>852.8</v>
      </c>
      <c r="J41" s="300">
        <f t="shared" si="0"/>
        <v>0</v>
      </c>
      <c r="K41" s="52">
        <f t="shared" si="10"/>
        <v>852.8</v>
      </c>
      <c r="L41" s="52">
        <f t="shared" si="10"/>
        <v>852.8</v>
      </c>
      <c r="M41" s="300">
        <f t="shared" si="1"/>
        <v>0</v>
      </c>
      <c r="N41" s="52">
        <f t="shared" si="10"/>
        <v>852.8</v>
      </c>
      <c r="O41" s="300">
        <f t="shared" si="2"/>
        <v>0</v>
      </c>
      <c r="P41" s="52">
        <f t="shared" si="10"/>
        <v>852.8</v>
      </c>
      <c r="Q41" s="52">
        <f t="shared" si="10"/>
        <v>852.8</v>
      </c>
      <c r="R41" s="333">
        <f t="shared" si="3"/>
        <v>0</v>
      </c>
    </row>
    <row r="42" spans="2:18" s="32" customFormat="1" ht="13.5" customHeight="1" x14ac:dyDescent="0.2">
      <c r="B42" s="77" t="s">
        <v>52</v>
      </c>
      <c r="C42" s="53" t="s">
        <v>669</v>
      </c>
      <c r="D42" s="53" t="s">
        <v>45</v>
      </c>
      <c r="E42" s="53" t="s">
        <v>108</v>
      </c>
      <c r="F42" s="54" t="s">
        <v>451</v>
      </c>
      <c r="G42" s="78"/>
      <c r="H42" s="52">
        <f t="shared" si="10"/>
        <v>852.8</v>
      </c>
      <c r="I42" s="52">
        <f t="shared" si="10"/>
        <v>852.8</v>
      </c>
      <c r="J42" s="300">
        <f t="shared" si="0"/>
        <v>0</v>
      </c>
      <c r="K42" s="52">
        <f t="shared" si="10"/>
        <v>852.8</v>
      </c>
      <c r="L42" s="52">
        <f t="shared" si="10"/>
        <v>852.8</v>
      </c>
      <c r="M42" s="300">
        <f t="shared" si="1"/>
        <v>0</v>
      </c>
      <c r="N42" s="52">
        <f t="shared" si="10"/>
        <v>852.8</v>
      </c>
      <c r="O42" s="300">
        <f t="shared" si="2"/>
        <v>0</v>
      </c>
      <c r="P42" s="52">
        <f t="shared" si="10"/>
        <v>852.8</v>
      </c>
      <c r="Q42" s="52">
        <f t="shared" si="10"/>
        <v>852.8</v>
      </c>
      <c r="R42" s="333">
        <f t="shared" si="3"/>
        <v>0</v>
      </c>
    </row>
    <row r="43" spans="2:18" s="32" customFormat="1" ht="26.25" customHeight="1" x14ac:dyDescent="0.2">
      <c r="B43" s="66" t="s">
        <v>631</v>
      </c>
      <c r="C43" s="53" t="s">
        <v>669</v>
      </c>
      <c r="D43" s="53" t="s">
        <v>45</v>
      </c>
      <c r="E43" s="53" t="s">
        <v>108</v>
      </c>
      <c r="F43" s="54" t="s">
        <v>630</v>
      </c>
      <c r="G43" s="78"/>
      <c r="H43" s="52">
        <f t="shared" si="10"/>
        <v>852.8</v>
      </c>
      <c r="I43" s="52">
        <f t="shared" si="10"/>
        <v>852.8</v>
      </c>
      <c r="J43" s="300">
        <f t="shared" si="0"/>
        <v>0</v>
      </c>
      <c r="K43" s="52">
        <f t="shared" si="10"/>
        <v>852.8</v>
      </c>
      <c r="L43" s="52">
        <f t="shared" si="10"/>
        <v>852.8</v>
      </c>
      <c r="M43" s="300">
        <f t="shared" si="1"/>
        <v>0</v>
      </c>
      <c r="N43" s="52">
        <f t="shared" si="10"/>
        <v>852.8</v>
      </c>
      <c r="O43" s="300">
        <f t="shared" si="2"/>
        <v>0</v>
      </c>
      <c r="P43" s="52">
        <f t="shared" si="10"/>
        <v>852.8</v>
      </c>
      <c r="Q43" s="52">
        <f t="shared" si="10"/>
        <v>852.8</v>
      </c>
      <c r="R43" s="333">
        <f t="shared" si="3"/>
        <v>0</v>
      </c>
    </row>
    <row r="44" spans="2:18" s="32" customFormat="1" ht="66" customHeight="1" x14ac:dyDescent="0.2">
      <c r="B44" s="76" t="s">
        <v>629</v>
      </c>
      <c r="C44" s="53" t="s">
        <v>669</v>
      </c>
      <c r="D44" s="53" t="s">
        <v>45</v>
      </c>
      <c r="E44" s="53" t="s">
        <v>108</v>
      </c>
      <c r="F44" s="74" t="s">
        <v>628</v>
      </c>
      <c r="G44" s="78"/>
      <c r="H44" s="52">
        <f>H45+H46</f>
        <v>852.8</v>
      </c>
      <c r="I44" s="52">
        <f>I45+I46</f>
        <v>852.8</v>
      </c>
      <c r="J44" s="300">
        <f t="shared" si="0"/>
        <v>0</v>
      </c>
      <c r="K44" s="52">
        <f>K45+K46</f>
        <v>852.8</v>
      </c>
      <c r="L44" s="52">
        <f>L45+L46</f>
        <v>852.8</v>
      </c>
      <c r="M44" s="300">
        <f t="shared" si="1"/>
        <v>0</v>
      </c>
      <c r="N44" s="52">
        <f>N45+N46</f>
        <v>852.8</v>
      </c>
      <c r="O44" s="300">
        <f t="shared" si="2"/>
        <v>0</v>
      </c>
      <c r="P44" s="52">
        <f>P45+P46</f>
        <v>852.8</v>
      </c>
      <c r="Q44" s="52">
        <f>Q45+Q46</f>
        <v>852.8</v>
      </c>
      <c r="R44" s="333">
        <f t="shared" si="3"/>
        <v>0</v>
      </c>
    </row>
    <row r="45" spans="2:18" s="32" customFormat="1" ht="18.75" customHeight="1" x14ac:dyDescent="0.2">
      <c r="B45" s="76" t="s">
        <v>84</v>
      </c>
      <c r="C45" s="53" t="s">
        <v>669</v>
      </c>
      <c r="D45" s="53" t="s">
        <v>45</v>
      </c>
      <c r="E45" s="53" t="s">
        <v>108</v>
      </c>
      <c r="F45" s="74" t="s">
        <v>628</v>
      </c>
      <c r="G45" s="78" t="s">
        <v>83</v>
      </c>
      <c r="H45" s="52">
        <v>676.1</v>
      </c>
      <c r="I45" s="52">
        <v>676.1</v>
      </c>
      <c r="J45" s="300">
        <f t="shared" si="0"/>
        <v>0</v>
      </c>
      <c r="K45" s="52">
        <v>676.1</v>
      </c>
      <c r="L45" s="52">
        <v>676.1</v>
      </c>
      <c r="M45" s="300">
        <f t="shared" si="1"/>
        <v>0</v>
      </c>
      <c r="N45" s="52">
        <v>676.1</v>
      </c>
      <c r="O45" s="300">
        <f t="shared" si="2"/>
        <v>0</v>
      </c>
      <c r="P45" s="52">
        <v>676.1</v>
      </c>
      <c r="Q45" s="52">
        <v>676.1</v>
      </c>
      <c r="R45" s="333">
        <f t="shared" si="3"/>
        <v>0</v>
      </c>
    </row>
    <row r="46" spans="2:18" s="32" customFormat="1" ht="26.25" customHeight="1" x14ac:dyDescent="0.2">
      <c r="B46" s="76" t="s">
        <v>73</v>
      </c>
      <c r="C46" s="53" t="s">
        <v>669</v>
      </c>
      <c r="D46" s="53" t="s">
        <v>45</v>
      </c>
      <c r="E46" s="53" t="s">
        <v>108</v>
      </c>
      <c r="F46" s="74" t="s">
        <v>628</v>
      </c>
      <c r="G46" s="78" t="s">
        <v>70</v>
      </c>
      <c r="H46" s="52">
        <f>176.7</f>
        <v>176.7</v>
      </c>
      <c r="I46" s="52">
        <f>176.7</f>
        <v>176.7</v>
      </c>
      <c r="J46" s="300">
        <f t="shared" si="0"/>
        <v>0</v>
      </c>
      <c r="K46" s="52">
        <f>176.7</f>
        <v>176.7</v>
      </c>
      <c r="L46" s="52">
        <f>176.7</f>
        <v>176.7</v>
      </c>
      <c r="M46" s="300">
        <f t="shared" si="1"/>
        <v>0</v>
      </c>
      <c r="N46" s="52">
        <f>176.7</f>
        <v>176.7</v>
      </c>
      <c r="O46" s="300">
        <f t="shared" si="2"/>
        <v>0</v>
      </c>
      <c r="P46" s="52">
        <f>176.7</f>
        <v>176.7</v>
      </c>
      <c r="Q46" s="52">
        <f>176.7</f>
        <v>176.7</v>
      </c>
      <c r="R46" s="333">
        <f t="shared" si="3"/>
        <v>0</v>
      </c>
    </row>
    <row r="47" spans="2:18" s="32" customFormat="1" ht="27" customHeight="1" x14ac:dyDescent="0.2">
      <c r="B47" s="57" t="s">
        <v>627</v>
      </c>
      <c r="C47" s="53" t="s">
        <v>669</v>
      </c>
      <c r="D47" s="53" t="s">
        <v>45</v>
      </c>
      <c r="E47" s="53" t="s">
        <v>108</v>
      </c>
      <c r="F47" s="54" t="s">
        <v>109</v>
      </c>
      <c r="G47" s="78"/>
      <c r="H47" s="52">
        <f t="shared" ref="H47:Q49" si="11">H48</f>
        <v>342.20000000000005</v>
      </c>
      <c r="I47" s="52">
        <f t="shared" si="11"/>
        <v>342.20000000000005</v>
      </c>
      <c r="J47" s="300">
        <f t="shared" si="0"/>
        <v>0</v>
      </c>
      <c r="K47" s="52">
        <f t="shared" si="11"/>
        <v>339.7</v>
      </c>
      <c r="L47" s="52">
        <f t="shared" si="11"/>
        <v>342.20000000000005</v>
      </c>
      <c r="M47" s="300">
        <f t="shared" si="1"/>
        <v>0</v>
      </c>
      <c r="N47" s="52">
        <f t="shared" si="11"/>
        <v>339.7</v>
      </c>
      <c r="O47" s="300">
        <f t="shared" si="2"/>
        <v>0</v>
      </c>
      <c r="P47" s="52">
        <f t="shared" si="11"/>
        <v>339.7</v>
      </c>
      <c r="Q47" s="52">
        <f t="shared" si="11"/>
        <v>339.7</v>
      </c>
      <c r="R47" s="333">
        <f t="shared" si="3"/>
        <v>0</v>
      </c>
    </row>
    <row r="48" spans="2:18" s="32" customFormat="1" ht="16.5" customHeight="1" x14ac:dyDescent="0.2">
      <c r="B48" s="77" t="s">
        <v>52</v>
      </c>
      <c r="C48" s="53" t="s">
        <v>669</v>
      </c>
      <c r="D48" s="53" t="s">
        <v>45</v>
      </c>
      <c r="E48" s="53" t="s">
        <v>108</v>
      </c>
      <c r="F48" s="54" t="s">
        <v>286</v>
      </c>
      <c r="G48" s="78"/>
      <c r="H48" s="52">
        <f t="shared" si="11"/>
        <v>342.20000000000005</v>
      </c>
      <c r="I48" s="52">
        <f t="shared" si="11"/>
        <v>342.20000000000005</v>
      </c>
      <c r="J48" s="300">
        <f t="shared" si="0"/>
        <v>0</v>
      </c>
      <c r="K48" s="52">
        <f t="shared" si="11"/>
        <v>339.7</v>
      </c>
      <c r="L48" s="52">
        <f t="shared" si="11"/>
        <v>342.20000000000005</v>
      </c>
      <c r="M48" s="300">
        <f t="shared" si="1"/>
        <v>0</v>
      </c>
      <c r="N48" s="52">
        <f t="shared" si="11"/>
        <v>339.7</v>
      </c>
      <c r="O48" s="300">
        <f t="shared" si="2"/>
        <v>0</v>
      </c>
      <c r="P48" s="52">
        <f t="shared" si="11"/>
        <v>339.7</v>
      </c>
      <c r="Q48" s="52">
        <f t="shared" si="11"/>
        <v>339.7</v>
      </c>
      <c r="R48" s="333">
        <f t="shared" si="3"/>
        <v>0</v>
      </c>
    </row>
    <row r="49" spans="2:19" s="32" customFormat="1" ht="26.25" customHeight="1" x14ac:dyDescent="0.2">
      <c r="B49" s="66" t="s">
        <v>626</v>
      </c>
      <c r="C49" s="53" t="s">
        <v>669</v>
      </c>
      <c r="D49" s="53" t="s">
        <v>45</v>
      </c>
      <c r="E49" s="53" t="s">
        <v>108</v>
      </c>
      <c r="F49" s="54" t="s">
        <v>625</v>
      </c>
      <c r="G49" s="78"/>
      <c r="H49" s="52">
        <f t="shared" si="11"/>
        <v>342.20000000000005</v>
      </c>
      <c r="I49" s="52">
        <f t="shared" si="11"/>
        <v>342.20000000000005</v>
      </c>
      <c r="J49" s="300">
        <f t="shared" si="0"/>
        <v>0</v>
      </c>
      <c r="K49" s="52">
        <f t="shared" si="11"/>
        <v>339.7</v>
      </c>
      <c r="L49" s="52">
        <f t="shared" si="11"/>
        <v>342.20000000000005</v>
      </c>
      <c r="M49" s="300">
        <f t="shared" si="1"/>
        <v>0</v>
      </c>
      <c r="N49" s="52">
        <f t="shared" si="11"/>
        <v>339.7</v>
      </c>
      <c r="O49" s="300">
        <f t="shared" si="2"/>
        <v>0</v>
      </c>
      <c r="P49" s="52">
        <f t="shared" si="11"/>
        <v>339.7</v>
      </c>
      <c r="Q49" s="52">
        <f t="shared" si="11"/>
        <v>339.7</v>
      </c>
      <c r="R49" s="333">
        <f t="shared" si="3"/>
        <v>0</v>
      </c>
    </row>
    <row r="50" spans="2:19" s="32" customFormat="1" ht="50.25" customHeight="1" x14ac:dyDescent="0.2">
      <c r="B50" s="62" t="s">
        <v>624</v>
      </c>
      <c r="C50" s="53" t="s">
        <v>669</v>
      </c>
      <c r="D50" s="53" t="s">
        <v>45</v>
      </c>
      <c r="E50" s="53" t="s">
        <v>108</v>
      </c>
      <c r="F50" s="54" t="s">
        <v>623</v>
      </c>
      <c r="G50" s="53"/>
      <c r="H50" s="52">
        <f>H51+H52</f>
        <v>342.20000000000005</v>
      </c>
      <c r="I50" s="52">
        <f>I51+I52</f>
        <v>342.20000000000005</v>
      </c>
      <c r="J50" s="300">
        <f t="shared" si="0"/>
        <v>0</v>
      </c>
      <c r="K50" s="52">
        <f>K51+K52</f>
        <v>339.7</v>
      </c>
      <c r="L50" s="52">
        <f>L51+L52</f>
        <v>342.20000000000005</v>
      </c>
      <c r="M50" s="300">
        <f t="shared" si="1"/>
        <v>0</v>
      </c>
      <c r="N50" s="52">
        <f>N51+N52</f>
        <v>339.7</v>
      </c>
      <c r="O50" s="300">
        <f t="shared" si="2"/>
        <v>0</v>
      </c>
      <c r="P50" s="52">
        <f>P51+P52</f>
        <v>339.7</v>
      </c>
      <c r="Q50" s="52">
        <f>Q51+Q52</f>
        <v>339.7</v>
      </c>
      <c r="R50" s="333">
        <f t="shared" si="3"/>
        <v>0</v>
      </c>
    </row>
    <row r="51" spans="2:19" s="32" customFormat="1" ht="18.75" customHeight="1" x14ac:dyDescent="0.2">
      <c r="B51" s="56" t="s">
        <v>84</v>
      </c>
      <c r="C51" s="53" t="s">
        <v>669</v>
      </c>
      <c r="D51" s="53" t="s">
        <v>45</v>
      </c>
      <c r="E51" s="53" t="s">
        <v>108</v>
      </c>
      <c r="F51" s="54" t="s">
        <v>623</v>
      </c>
      <c r="G51" s="53" t="s">
        <v>83</v>
      </c>
      <c r="H51" s="52">
        <v>229.3</v>
      </c>
      <c r="I51" s="52">
        <v>229.3</v>
      </c>
      <c r="J51" s="300">
        <f t="shared" si="0"/>
        <v>0</v>
      </c>
      <c r="K51" s="52">
        <v>227.6</v>
      </c>
      <c r="L51" s="52">
        <v>229.3</v>
      </c>
      <c r="M51" s="300">
        <f t="shared" si="1"/>
        <v>0</v>
      </c>
      <c r="N51" s="52">
        <v>227.6</v>
      </c>
      <c r="O51" s="300">
        <f t="shared" si="2"/>
        <v>0</v>
      </c>
      <c r="P51" s="52">
        <v>227.6</v>
      </c>
      <c r="Q51" s="52">
        <v>227.6</v>
      </c>
      <c r="R51" s="333">
        <f t="shared" si="3"/>
        <v>0</v>
      </c>
    </row>
    <row r="52" spans="2:19" s="32" customFormat="1" ht="26.25" customHeight="1" x14ac:dyDescent="0.2">
      <c r="B52" s="56" t="s">
        <v>73</v>
      </c>
      <c r="C52" s="53" t="s">
        <v>669</v>
      </c>
      <c r="D52" s="53" t="s">
        <v>45</v>
      </c>
      <c r="E52" s="53" t="s">
        <v>108</v>
      </c>
      <c r="F52" s="54" t="s">
        <v>623</v>
      </c>
      <c r="G52" s="53" t="s">
        <v>70</v>
      </c>
      <c r="H52" s="52">
        <v>112.9</v>
      </c>
      <c r="I52" s="52">
        <v>112.9</v>
      </c>
      <c r="J52" s="300">
        <f t="shared" si="0"/>
        <v>0</v>
      </c>
      <c r="K52" s="52">
        <v>112.1</v>
      </c>
      <c r="L52" s="52">
        <v>112.9</v>
      </c>
      <c r="M52" s="300">
        <f t="shared" si="1"/>
        <v>0</v>
      </c>
      <c r="N52" s="52">
        <v>112.1</v>
      </c>
      <c r="O52" s="300">
        <f t="shared" si="2"/>
        <v>0</v>
      </c>
      <c r="P52" s="52">
        <v>112.1</v>
      </c>
      <c r="Q52" s="52">
        <v>112.1</v>
      </c>
      <c r="R52" s="333">
        <f t="shared" si="3"/>
        <v>0</v>
      </c>
    </row>
    <row r="53" spans="2:19" s="32" customFormat="1" ht="13.5" customHeight="1" x14ac:dyDescent="0.2">
      <c r="B53" s="173" t="s">
        <v>622</v>
      </c>
      <c r="C53" s="48" t="s">
        <v>669</v>
      </c>
      <c r="D53" s="48" t="s">
        <v>45</v>
      </c>
      <c r="E53" s="48" t="s">
        <v>59</v>
      </c>
      <c r="F53" s="48"/>
      <c r="G53" s="48"/>
      <c r="H53" s="52">
        <f t="shared" ref="H53:Q55" si="12">H54</f>
        <v>1.7</v>
      </c>
      <c r="I53" s="52">
        <f t="shared" si="12"/>
        <v>1.7</v>
      </c>
      <c r="J53" s="300">
        <f t="shared" si="0"/>
        <v>0</v>
      </c>
      <c r="K53" s="52">
        <f t="shared" si="12"/>
        <v>12.2</v>
      </c>
      <c r="L53" s="52">
        <f t="shared" si="12"/>
        <v>1.7</v>
      </c>
      <c r="M53" s="300">
        <f t="shared" si="1"/>
        <v>0</v>
      </c>
      <c r="N53" s="52">
        <f t="shared" si="12"/>
        <v>12.2</v>
      </c>
      <c r="O53" s="300">
        <f t="shared" si="2"/>
        <v>0</v>
      </c>
      <c r="P53" s="52">
        <f t="shared" si="12"/>
        <v>1.7</v>
      </c>
      <c r="Q53" s="52">
        <f t="shared" si="12"/>
        <v>1.7</v>
      </c>
      <c r="R53" s="333">
        <f t="shared" si="3"/>
        <v>0</v>
      </c>
    </row>
    <row r="54" spans="2:19" s="32" customFormat="1" ht="13.5" customHeight="1" x14ac:dyDescent="0.2">
      <c r="B54" s="56" t="s">
        <v>151</v>
      </c>
      <c r="C54" s="53" t="s">
        <v>669</v>
      </c>
      <c r="D54" s="53" t="s">
        <v>45</v>
      </c>
      <c r="E54" s="53" t="s">
        <v>59</v>
      </c>
      <c r="F54" s="53" t="s">
        <v>150</v>
      </c>
      <c r="G54" s="53"/>
      <c r="H54" s="52">
        <f t="shared" si="12"/>
        <v>1.7</v>
      </c>
      <c r="I54" s="52">
        <f t="shared" si="12"/>
        <v>1.7</v>
      </c>
      <c r="J54" s="300">
        <f t="shared" si="0"/>
        <v>0</v>
      </c>
      <c r="K54" s="52">
        <f t="shared" si="12"/>
        <v>12.2</v>
      </c>
      <c r="L54" s="52">
        <f t="shared" si="12"/>
        <v>1.7</v>
      </c>
      <c r="M54" s="300">
        <f t="shared" si="1"/>
        <v>0</v>
      </c>
      <c r="N54" s="52">
        <f t="shared" si="12"/>
        <v>12.2</v>
      </c>
      <c r="O54" s="300">
        <f t="shared" si="2"/>
        <v>0</v>
      </c>
      <c r="P54" s="52">
        <f t="shared" si="12"/>
        <v>1.7</v>
      </c>
      <c r="Q54" s="52">
        <f t="shared" si="12"/>
        <v>1.7</v>
      </c>
      <c r="R54" s="333">
        <f t="shared" si="3"/>
        <v>0</v>
      </c>
    </row>
    <row r="55" spans="2:19" s="32" customFormat="1" ht="38.25" customHeight="1" x14ac:dyDescent="0.2">
      <c r="B55" s="69" t="s">
        <v>621</v>
      </c>
      <c r="C55" s="53" t="s">
        <v>669</v>
      </c>
      <c r="D55" s="53" t="s">
        <v>45</v>
      </c>
      <c r="E55" s="53" t="s">
        <v>59</v>
      </c>
      <c r="F55" s="53" t="s">
        <v>620</v>
      </c>
      <c r="G55" s="53"/>
      <c r="H55" s="52">
        <f t="shared" si="12"/>
        <v>1.7</v>
      </c>
      <c r="I55" s="52">
        <f t="shared" si="12"/>
        <v>1.7</v>
      </c>
      <c r="J55" s="300">
        <f t="shared" si="0"/>
        <v>0</v>
      </c>
      <c r="K55" s="52">
        <f t="shared" si="12"/>
        <v>12.2</v>
      </c>
      <c r="L55" s="52">
        <f t="shared" si="12"/>
        <v>1.7</v>
      </c>
      <c r="M55" s="300">
        <f t="shared" si="1"/>
        <v>0</v>
      </c>
      <c r="N55" s="52">
        <f t="shared" si="12"/>
        <v>12.2</v>
      </c>
      <c r="O55" s="300">
        <f t="shared" si="2"/>
        <v>0</v>
      </c>
      <c r="P55" s="52">
        <f t="shared" si="12"/>
        <v>1.7</v>
      </c>
      <c r="Q55" s="52">
        <f t="shared" si="12"/>
        <v>1.7</v>
      </c>
      <c r="R55" s="333">
        <f t="shared" si="3"/>
        <v>0</v>
      </c>
    </row>
    <row r="56" spans="2:19" s="32" customFormat="1" ht="24.75" customHeight="1" x14ac:dyDescent="0.2">
      <c r="B56" s="56" t="s">
        <v>73</v>
      </c>
      <c r="C56" s="53" t="s">
        <v>669</v>
      </c>
      <c r="D56" s="53" t="s">
        <v>45</v>
      </c>
      <c r="E56" s="53" t="s">
        <v>59</v>
      </c>
      <c r="F56" s="53" t="s">
        <v>620</v>
      </c>
      <c r="G56" s="53" t="s">
        <v>70</v>
      </c>
      <c r="H56" s="52">
        <v>1.7</v>
      </c>
      <c r="I56" s="52">
        <v>1.7</v>
      </c>
      <c r="J56" s="300">
        <f t="shared" si="0"/>
        <v>0</v>
      </c>
      <c r="K56" s="52">
        <v>12.2</v>
      </c>
      <c r="L56" s="52">
        <v>1.7</v>
      </c>
      <c r="M56" s="300">
        <f t="shared" si="1"/>
        <v>0</v>
      </c>
      <c r="N56" s="52">
        <v>12.2</v>
      </c>
      <c r="O56" s="300">
        <f t="shared" si="2"/>
        <v>0</v>
      </c>
      <c r="P56" s="52">
        <v>1.7</v>
      </c>
      <c r="Q56" s="52">
        <v>1.7</v>
      </c>
      <c r="R56" s="333">
        <f t="shared" si="3"/>
        <v>0</v>
      </c>
    </row>
    <row r="57" spans="2:19" s="32" customFormat="1" x14ac:dyDescent="0.2">
      <c r="B57" s="59" t="s">
        <v>604</v>
      </c>
      <c r="C57" s="48" t="s">
        <v>669</v>
      </c>
      <c r="D57" s="48" t="s">
        <v>45</v>
      </c>
      <c r="E57" s="48" t="s">
        <v>60</v>
      </c>
      <c r="F57" s="48"/>
      <c r="G57" s="48"/>
      <c r="H57" s="52">
        <f t="shared" ref="H57:Q59" si="13">H58</f>
        <v>1000</v>
      </c>
      <c r="I57" s="52">
        <f t="shared" si="13"/>
        <v>950</v>
      </c>
      <c r="J57" s="300">
        <f t="shared" si="0"/>
        <v>-50</v>
      </c>
      <c r="K57" s="52">
        <f t="shared" si="13"/>
        <v>0</v>
      </c>
      <c r="L57" s="52">
        <f t="shared" si="13"/>
        <v>900</v>
      </c>
      <c r="M57" s="300">
        <f t="shared" si="1"/>
        <v>-50</v>
      </c>
      <c r="N57" s="52">
        <f t="shared" si="13"/>
        <v>0</v>
      </c>
      <c r="O57" s="300">
        <f t="shared" si="2"/>
        <v>0</v>
      </c>
      <c r="P57" s="52">
        <f t="shared" si="13"/>
        <v>0</v>
      </c>
      <c r="Q57" s="52">
        <f t="shared" si="13"/>
        <v>0</v>
      </c>
      <c r="R57" s="333">
        <f t="shared" si="3"/>
        <v>0</v>
      </c>
    </row>
    <row r="58" spans="2:19" s="32" customFormat="1" x14ac:dyDescent="0.2">
      <c r="B58" s="56" t="s">
        <v>604</v>
      </c>
      <c r="C58" s="53" t="s">
        <v>669</v>
      </c>
      <c r="D58" s="53" t="s">
        <v>45</v>
      </c>
      <c r="E58" s="53" t="s">
        <v>60</v>
      </c>
      <c r="F58" s="53" t="s">
        <v>603</v>
      </c>
      <c r="G58" s="48"/>
      <c r="H58" s="52">
        <f t="shared" si="13"/>
        <v>1000</v>
      </c>
      <c r="I58" s="52">
        <f t="shared" si="13"/>
        <v>950</v>
      </c>
      <c r="J58" s="300">
        <f t="shared" si="0"/>
        <v>-50</v>
      </c>
      <c r="K58" s="52">
        <f t="shared" si="13"/>
        <v>0</v>
      </c>
      <c r="L58" s="52">
        <f t="shared" si="13"/>
        <v>900</v>
      </c>
      <c r="M58" s="300">
        <f t="shared" si="1"/>
        <v>-50</v>
      </c>
      <c r="N58" s="52">
        <f t="shared" si="13"/>
        <v>0</v>
      </c>
      <c r="O58" s="300">
        <f t="shared" si="2"/>
        <v>0</v>
      </c>
      <c r="P58" s="52">
        <f t="shared" si="13"/>
        <v>0</v>
      </c>
      <c r="Q58" s="52">
        <f t="shared" si="13"/>
        <v>0</v>
      </c>
      <c r="R58" s="333">
        <f t="shared" si="3"/>
        <v>0</v>
      </c>
    </row>
    <row r="59" spans="2:19" s="32" customFormat="1" x14ac:dyDescent="0.2">
      <c r="B59" s="56" t="s">
        <v>602</v>
      </c>
      <c r="C59" s="53" t="s">
        <v>669</v>
      </c>
      <c r="D59" s="53" t="s">
        <v>45</v>
      </c>
      <c r="E59" s="53" t="s">
        <v>60</v>
      </c>
      <c r="F59" s="53" t="s">
        <v>600</v>
      </c>
      <c r="G59" s="53"/>
      <c r="H59" s="52">
        <f t="shared" si="13"/>
        <v>1000</v>
      </c>
      <c r="I59" s="52">
        <f t="shared" si="13"/>
        <v>950</v>
      </c>
      <c r="J59" s="300">
        <f t="shared" si="0"/>
        <v>-50</v>
      </c>
      <c r="K59" s="52">
        <f t="shared" si="13"/>
        <v>0</v>
      </c>
      <c r="L59" s="52">
        <f t="shared" si="13"/>
        <v>900</v>
      </c>
      <c r="M59" s="300">
        <f t="shared" si="1"/>
        <v>-50</v>
      </c>
      <c r="N59" s="52">
        <f t="shared" si="13"/>
        <v>0</v>
      </c>
      <c r="O59" s="300">
        <f t="shared" si="2"/>
        <v>0</v>
      </c>
      <c r="P59" s="52">
        <f t="shared" si="13"/>
        <v>0</v>
      </c>
      <c r="Q59" s="52">
        <f t="shared" si="13"/>
        <v>0</v>
      </c>
      <c r="R59" s="333">
        <f t="shared" si="3"/>
        <v>0</v>
      </c>
    </row>
    <row r="60" spans="2:19" s="32" customFormat="1" x14ac:dyDescent="0.2">
      <c r="B60" s="56" t="s">
        <v>601</v>
      </c>
      <c r="C60" s="53" t="s">
        <v>669</v>
      </c>
      <c r="D60" s="53" t="s">
        <v>45</v>
      </c>
      <c r="E60" s="53" t="s">
        <v>60</v>
      </c>
      <c r="F60" s="53" t="s">
        <v>600</v>
      </c>
      <c r="G60" s="53" t="s">
        <v>599</v>
      </c>
      <c r="H60" s="52">
        <v>1000</v>
      </c>
      <c r="I60" s="52">
        <f>1000-50</f>
        <v>950</v>
      </c>
      <c r="J60" s="300">
        <f t="shared" si="0"/>
        <v>-50</v>
      </c>
      <c r="K60" s="52">
        <v>0</v>
      </c>
      <c r="L60" s="52">
        <f>950-50</f>
        <v>900</v>
      </c>
      <c r="M60" s="300">
        <f t="shared" si="1"/>
        <v>-50</v>
      </c>
      <c r="N60" s="52">
        <v>0</v>
      </c>
      <c r="O60" s="300">
        <f t="shared" si="2"/>
        <v>0</v>
      </c>
      <c r="P60" s="52">
        <v>0</v>
      </c>
      <c r="Q60" s="52">
        <v>0</v>
      </c>
      <c r="R60" s="333">
        <f t="shared" si="3"/>
        <v>0</v>
      </c>
    </row>
    <row r="61" spans="2:19" s="32" customFormat="1" ht="12.75" customHeight="1" x14ac:dyDescent="0.2">
      <c r="B61" s="59" t="s">
        <v>598</v>
      </c>
      <c r="C61" s="48" t="s">
        <v>669</v>
      </c>
      <c r="D61" s="48" t="s">
        <v>45</v>
      </c>
      <c r="E61" s="48" t="s">
        <v>46</v>
      </c>
      <c r="F61" s="48"/>
      <c r="G61" s="48"/>
      <c r="H61" s="52">
        <f>H65+H90+H113+H70+H128+H62</f>
        <v>4931.7999999999993</v>
      </c>
      <c r="I61" s="52">
        <f t="shared" ref="I61:Q61" si="14">I65+I90+I113+I70+I128+I62</f>
        <v>5581.7999999999993</v>
      </c>
      <c r="J61" s="300">
        <f t="shared" si="0"/>
        <v>650</v>
      </c>
      <c r="K61" s="52">
        <f t="shared" si="14"/>
        <v>4491.7999999999993</v>
      </c>
      <c r="L61" s="52">
        <f t="shared" si="14"/>
        <v>5805.7999999999993</v>
      </c>
      <c r="M61" s="300">
        <f t="shared" si="1"/>
        <v>224</v>
      </c>
      <c r="N61" s="52">
        <f t="shared" si="14"/>
        <v>4491.7999999999993</v>
      </c>
      <c r="O61" s="300">
        <f t="shared" si="2"/>
        <v>0</v>
      </c>
      <c r="P61" s="52">
        <f t="shared" si="14"/>
        <v>4491.7999999999993</v>
      </c>
      <c r="Q61" s="52">
        <f t="shared" si="14"/>
        <v>4491.7999999999993</v>
      </c>
      <c r="R61" s="333">
        <f t="shared" si="3"/>
        <v>0</v>
      </c>
      <c r="S61" s="270"/>
    </row>
    <row r="62" spans="2:19" s="32" customFormat="1" ht="12.75" customHeight="1" x14ac:dyDescent="0.2">
      <c r="B62" s="69" t="s">
        <v>604</v>
      </c>
      <c r="C62" s="53" t="s">
        <v>669</v>
      </c>
      <c r="D62" s="53" t="s">
        <v>45</v>
      </c>
      <c r="E62" s="53" t="s">
        <v>46</v>
      </c>
      <c r="F62" s="53" t="s">
        <v>603</v>
      </c>
      <c r="G62" s="53"/>
      <c r="H62" s="133">
        <f>H63</f>
        <v>0</v>
      </c>
      <c r="I62" s="133">
        <f t="shared" ref="I62:Q63" si="15">I63</f>
        <v>50</v>
      </c>
      <c r="J62" s="300">
        <f t="shared" si="0"/>
        <v>50</v>
      </c>
      <c r="K62" s="133">
        <f t="shared" si="15"/>
        <v>0</v>
      </c>
      <c r="L62" s="133">
        <f t="shared" si="15"/>
        <v>100</v>
      </c>
      <c r="M62" s="300">
        <f t="shared" si="1"/>
        <v>50</v>
      </c>
      <c r="N62" s="133">
        <f t="shared" si="15"/>
        <v>0</v>
      </c>
      <c r="O62" s="300">
        <f t="shared" si="2"/>
        <v>0</v>
      </c>
      <c r="P62" s="133">
        <f t="shared" si="15"/>
        <v>0</v>
      </c>
      <c r="Q62" s="133">
        <f t="shared" si="15"/>
        <v>0</v>
      </c>
      <c r="R62" s="333">
        <f t="shared" si="3"/>
        <v>0</v>
      </c>
    </row>
    <row r="63" spans="2:19" s="32" customFormat="1" ht="12.75" customHeight="1" x14ac:dyDescent="0.2">
      <c r="B63" s="69" t="s">
        <v>602</v>
      </c>
      <c r="C63" s="53" t="s">
        <v>669</v>
      </c>
      <c r="D63" s="53" t="s">
        <v>45</v>
      </c>
      <c r="E63" s="53" t="s">
        <v>46</v>
      </c>
      <c r="F63" s="53" t="s">
        <v>600</v>
      </c>
      <c r="G63" s="53"/>
      <c r="H63" s="133">
        <f>H64</f>
        <v>0</v>
      </c>
      <c r="I63" s="133">
        <f t="shared" si="15"/>
        <v>50</v>
      </c>
      <c r="J63" s="300">
        <f t="shared" si="0"/>
        <v>50</v>
      </c>
      <c r="K63" s="133">
        <f t="shared" si="15"/>
        <v>0</v>
      </c>
      <c r="L63" s="133">
        <f t="shared" si="15"/>
        <v>100</v>
      </c>
      <c r="M63" s="300">
        <f t="shared" si="1"/>
        <v>50</v>
      </c>
      <c r="N63" s="133">
        <f t="shared" si="15"/>
        <v>0</v>
      </c>
      <c r="O63" s="300">
        <f t="shared" si="2"/>
        <v>0</v>
      </c>
      <c r="P63" s="133">
        <f t="shared" si="15"/>
        <v>0</v>
      </c>
      <c r="Q63" s="133">
        <f t="shared" si="15"/>
        <v>0</v>
      </c>
      <c r="R63" s="333">
        <f t="shared" si="3"/>
        <v>0</v>
      </c>
    </row>
    <row r="64" spans="2:19" s="32" customFormat="1" ht="12.75" customHeight="1" x14ac:dyDescent="0.2">
      <c r="B64" s="69" t="s">
        <v>601</v>
      </c>
      <c r="C64" s="53" t="s">
        <v>669</v>
      </c>
      <c r="D64" s="53" t="s">
        <v>45</v>
      </c>
      <c r="E64" s="53" t="s">
        <v>46</v>
      </c>
      <c r="F64" s="53" t="s">
        <v>600</v>
      </c>
      <c r="G64" s="53" t="s">
        <v>487</v>
      </c>
      <c r="H64" s="133">
        <v>0</v>
      </c>
      <c r="I64" s="133">
        <v>50</v>
      </c>
      <c r="J64" s="300">
        <f t="shared" si="0"/>
        <v>50</v>
      </c>
      <c r="K64" s="133">
        <v>0</v>
      </c>
      <c r="L64" s="133">
        <f>50+50</f>
        <v>100</v>
      </c>
      <c r="M64" s="300">
        <f t="shared" si="1"/>
        <v>50</v>
      </c>
      <c r="N64" s="133">
        <v>0</v>
      </c>
      <c r="O64" s="300">
        <f t="shared" si="2"/>
        <v>0</v>
      </c>
      <c r="P64" s="133">
        <v>0</v>
      </c>
      <c r="Q64" s="133">
        <v>0</v>
      </c>
      <c r="R64" s="333">
        <f t="shared" si="3"/>
        <v>0</v>
      </c>
    </row>
    <row r="65" spans="2:18" s="32" customFormat="1" ht="27.75" customHeight="1" x14ac:dyDescent="0.2">
      <c r="B65" s="58" t="s">
        <v>597</v>
      </c>
      <c r="C65" s="53" t="s">
        <v>669</v>
      </c>
      <c r="D65" s="53" t="s">
        <v>45</v>
      </c>
      <c r="E65" s="53" t="s">
        <v>46</v>
      </c>
      <c r="F65" s="78" t="s">
        <v>596</v>
      </c>
      <c r="G65" s="53"/>
      <c r="H65" s="52">
        <f>H68+H66</f>
        <v>650</v>
      </c>
      <c r="I65" s="52">
        <f>I68+I66</f>
        <v>650</v>
      </c>
      <c r="J65" s="300">
        <f t="shared" si="0"/>
        <v>0</v>
      </c>
      <c r="K65" s="52">
        <f>K68+K66</f>
        <v>0</v>
      </c>
      <c r="L65" s="52">
        <f>L68+L66</f>
        <v>650</v>
      </c>
      <c r="M65" s="300">
        <f t="shared" si="1"/>
        <v>0</v>
      </c>
      <c r="N65" s="52">
        <f>N68+N66</f>
        <v>0</v>
      </c>
      <c r="O65" s="300">
        <f t="shared" si="2"/>
        <v>0</v>
      </c>
      <c r="P65" s="52">
        <f>P68+P66</f>
        <v>0</v>
      </c>
      <c r="Q65" s="52">
        <f>Q68+Q66</f>
        <v>0</v>
      </c>
      <c r="R65" s="333">
        <f t="shared" si="3"/>
        <v>0</v>
      </c>
    </row>
    <row r="66" spans="2:18" s="32" customFormat="1" ht="11.25" hidden="1" customHeight="1" x14ac:dyDescent="0.2">
      <c r="B66" s="141" t="s">
        <v>673</v>
      </c>
      <c r="C66" s="53" t="s">
        <v>669</v>
      </c>
      <c r="D66" s="53" t="s">
        <v>45</v>
      </c>
      <c r="E66" s="53" t="s">
        <v>46</v>
      </c>
      <c r="F66" s="53" t="s">
        <v>594</v>
      </c>
      <c r="G66" s="53"/>
      <c r="H66" s="52">
        <f>H67</f>
        <v>0</v>
      </c>
      <c r="I66" s="52">
        <f>I67</f>
        <v>0</v>
      </c>
      <c r="J66" s="300">
        <f t="shared" si="0"/>
        <v>0</v>
      </c>
      <c r="K66" s="52">
        <f>K67</f>
        <v>0</v>
      </c>
      <c r="L66" s="52">
        <f>L67</f>
        <v>0</v>
      </c>
      <c r="M66" s="300">
        <f t="shared" si="1"/>
        <v>0</v>
      </c>
      <c r="N66" s="52">
        <f>N67</f>
        <v>0</v>
      </c>
      <c r="O66" s="300">
        <f t="shared" si="2"/>
        <v>0</v>
      </c>
      <c r="P66" s="52">
        <f>P67</f>
        <v>0</v>
      </c>
      <c r="Q66" s="52">
        <f>Q67</f>
        <v>0</v>
      </c>
      <c r="R66" s="333">
        <f t="shared" si="3"/>
        <v>0</v>
      </c>
    </row>
    <row r="67" spans="2:18" s="32" customFormat="1" ht="12.75" hidden="1" customHeight="1" x14ac:dyDescent="0.2">
      <c r="B67" s="56" t="s">
        <v>73</v>
      </c>
      <c r="C67" s="53" t="s">
        <v>669</v>
      </c>
      <c r="D67" s="53" t="s">
        <v>45</v>
      </c>
      <c r="E67" s="53" t="s">
        <v>46</v>
      </c>
      <c r="F67" s="53" t="s">
        <v>594</v>
      </c>
      <c r="G67" s="53" t="s">
        <v>70</v>
      </c>
      <c r="H67" s="52">
        <v>0</v>
      </c>
      <c r="I67" s="52">
        <v>0</v>
      </c>
      <c r="J67" s="300">
        <f t="shared" si="0"/>
        <v>0</v>
      </c>
      <c r="K67" s="52">
        <v>0</v>
      </c>
      <c r="L67" s="52">
        <v>0</v>
      </c>
      <c r="M67" s="300">
        <f t="shared" si="1"/>
        <v>0</v>
      </c>
      <c r="N67" s="52">
        <v>0</v>
      </c>
      <c r="O67" s="300">
        <f t="shared" si="2"/>
        <v>0</v>
      </c>
      <c r="P67" s="52">
        <v>0</v>
      </c>
      <c r="Q67" s="52">
        <v>0</v>
      </c>
      <c r="R67" s="333">
        <f t="shared" si="3"/>
        <v>0</v>
      </c>
    </row>
    <row r="68" spans="2:18" s="32" customFormat="1" ht="25.5" customHeight="1" x14ac:dyDescent="0.2">
      <c r="B68" s="174" t="s">
        <v>593</v>
      </c>
      <c r="C68" s="53" t="s">
        <v>669</v>
      </c>
      <c r="D68" s="53" t="s">
        <v>45</v>
      </c>
      <c r="E68" s="53" t="s">
        <v>46</v>
      </c>
      <c r="F68" s="53" t="s">
        <v>592</v>
      </c>
      <c r="G68" s="53"/>
      <c r="H68" s="52">
        <f>H69</f>
        <v>650</v>
      </c>
      <c r="I68" s="52">
        <f>I69</f>
        <v>650</v>
      </c>
      <c r="J68" s="300">
        <f t="shared" si="0"/>
        <v>0</v>
      </c>
      <c r="K68" s="52">
        <f>K69</f>
        <v>0</v>
      </c>
      <c r="L68" s="52">
        <f>L69</f>
        <v>650</v>
      </c>
      <c r="M68" s="300">
        <f t="shared" si="1"/>
        <v>0</v>
      </c>
      <c r="N68" s="52">
        <f>N69</f>
        <v>0</v>
      </c>
      <c r="O68" s="300">
        <f t="shared" si="2"/>
        <v>0</v>
      </c>
      <c r="P68" s="52">
        <f>P69</f>
        <v>0</v>
      </c>
      <c r="Q68" s="52">
        <f>Q69</f>
        <v>0</v>
      </c>
      <c r="R68" s="333">
        <f t="shared" si="3"/>
        <v>0</v>
      </c>
    </row>
    <row r="69" spans="2:18" s="32" customFormat="1" ht="27" customHeight="1" x14ac:dyDescent="0.2">
      <c r="B69" s="56" t="s">
        <v>73</v>
      </c>
      <c r="C69" s="53" t="s">
        <v>669</v>
      </c>
      <c r="D69" s="53" t="s">
        <v>45</v>
      </c>
      <c r="E69" s="53" t="s">
        <v>46</v>
      </c>
      <c r="F69" s="53" t="s">
        <v>592</v>
      </c>
      <c r="G69" s="53" t="s">
        <v>70</v>
      </c>
      <c r="H69" s="52">
        <v>650</v>
      </c>
      <c r="I69" s="52">
        <v>650</v>
      </c>
      <c r="J69" s="300">
        <f t="shared" si="0"/>
        <v>0</v>
      </c>
      <c r="K69" s="52">
        <v>0</v>
      </c>
      <c r="L69" s="52">
        <v>650</v>
      </c>
      <c r="M69" s="300">
        <f t="shared" si="1"/>
        <v>0</v>
      </c>
      <c r="N69" s="52">
        <v>0</v>
      </c>
      <c r="O69" s="300">
        <f t="shared" si="2"/>
        <v>0</v>
      </c>
      <c r="P69" s="52">
        <v>0</v>
      </c>
      <c r="Q69" s="52">
        <v>0</v>
      </c>
      <c r="R69" s="333">
        <f t="shared" si="3"/>
        <v>0</v>
      </c>
    </row>
    <row r="70" spans="2:18" s="32" customFormat="1" ht="28.5" customHeight="1" x14ac:dyDescent="0.2">
      <c r="B70" s="108" t="s">
        <v>147</v>
      </c>
      <c r="C70" s="53" t="s">
        <v>669</v>
      </c>
      <c r="D70" s="53" t="s">
        <v>45</v>
      </c>
      <c r="E70" s="53" t="s">
        <v>46</v>
      </c>
      <c r="F70" s="54" t="s">
        <v>105</v>
      </c>
      <c r="G70" s="53"/>
      <c r="H70" s="52">
        <f>H71+H82</f>
        <v>500.4</v>
      </c>
      <c r="I70" s="52">
        <f>I71+I82</f>
        <v>500.4</v>
      </c>
      <c r="J70" s="300">
        <f t="shared" si="0"/>
        <v>0</v>
      </c>
      <c r="K70" s="52">
        <f>K71+K82</f>
        <v>110.4</v>
      </c>
      <c r="L70" s="52">
        <f>L71+L82</f>
        <v>674.4</v>
      </c>
      <c r="M70" s="300">
        <f t="shared" si="1"/>
        <v>174</v>
      </c>
      <c r="N70" s="52">
        <f>N71+N82</f>
        <v>110.4</v>
      </c>
      <c r="O70" s="300">
        <f t="shared" si="2"/>
        <v>0</v>
      </c>
      <c r="P70" s="52">
        <f>P71+P82</f>
        <v>110.4</v>
      </c>
      <c r="Q70" s="52">
        <f>Q71+Q82</f>
        <v>110.4</v>
      </c>
      <c r="R70" s="333">
        <f t="shared" si="3"/>
        <v>0</v>
      </c>
    </row>
    <row r="71" spans="2:18" s="32" customFormat="1" ht="17.25" customHeight="1" x14ac:dyDescent="0.2">
      <c r="B71" s="77" t="s">
        <v>66</v>
      </c>
      <c r="C71" s="53" t="s">
        <v>669</v>
      </c>
      <c r="D71" s="53" t="s">
        <v>45</v>
      </c>
      <c r="E71" s="53" t="s">
        <v>46</v>
      </c>
      <c r="F71" s="74" t="s">
        <v>591</v>
      </c>
      <c r="G71" s="73"/>
      <c r="H71" s="52">
        <f>H72+H75</f>
        <v>390</v>
      </c>
      <c r="I71" s="52">
        <f>I72+I75</f>
        <v>390</v>
      </c>
      <c r="J71" s="300">
        <f t="shared" si="0"/>
        <v>0</v>
      </c>
      <c r="K71" s="52">
        <f>K72+K75</f>
        <v>0</v>
      </c>
      <c r="L71" s="52">
        <f>L72+L75</f>
        <v>390</v>
      </c>
      <c r="M71" s="300">
        <f t="shared" si="1"/>
        <v>0</v>
      </c>
      <c r="N71" s="52">
        <f>N72+N75</f>
        <v>0</v>
      </c>
      <c r="O71" s="300">
        <f t="shared" si="2"/>
        <v>0</v>
      </c>
      <c r="P71" s="52">
        <f>P72+P75</f>
        <v>0</v>
      </c>
      <c r="Q71" s="52">
        <f>Q72+Q75</f>
        <v>0</v>
      </c>
      <c r="R71" s="333">
        <f t="shared" si="3"/>
        <v>0</v>
      </c>
    </row>
    <row r="72" spans="2:18" s="32" customFormat="1" ht="29.25" customHeight="1" x14ac:dyDescent="0.2">
      <c r="B72" s="77" t="s">
        <v>590</v>
      </c>
      <c r="C72" s="53" t="s">
        <v>669</v>
      </c>
      <c r="D72" s="53" t="s">
        <v>45</v>
      </c>
      <c r="E72" s="53" t="s">
        <v>46</v>
      </c>
      <c r="F72" s="74" t="s">
        <v>589</v>
      </c>
      <c r="G72" s="73"/>
      <c r="H72" s="52">
        <f t="shared" ref="H72:Q73" si="16">H73</f>
        <v>300</v>
      </c>
      <c r="I72" s="52">
        <f t="shared" si="16"/>
        <v>300</v>
      </c>
      <c r="J72" s="300">
        <f t="shared" si="0"/>
        <v>0</v>
      </c>
      <c r="K72" s="52">
        <f t="shared" si="16"/>
        <v>0</v>
      </c>
      <c r="L72" s="52">
        <f t="shared" si="16"/>
        <v>300</v>
      </c>
      <c r="M72" s="300">
        <f t="shared" ref="M72:M139" si="17">L72-I72</f>
        <v>0</v>
      </c>
      <c r="N72" s="52">
        <f t="shared" si="16"/>
        <v>0</v>
      </c>
      <c r="O72" s="300">
        <f t="shared" si="2"/>
        <v>0</v>
      </c>
      <c r="P72" s="52">
        <f t="shared" si="16"/>
        <v>0</v>
      </c>
      <c r="Q72" s="52">
        <f t="shared" si="16"/>
        <v>0</v>
      </c>
      <c r="R72" s="333">
        <f t="shared" si="3"/>
        <v>0</v>
      </c>
    </row>
    <row r="73" spans="2:18" s="32" customFormat="1" ht="27.75" customHeight="1" x14ac:dyDescent="0.2">
      <c r="B73" s="76" t="s">
        <v>588</v>
      </c>
      <c r="C73" s="53" t="s">
        <v>669</v>
      </c>
      <c r="D73" s="53" t="s">
        <v>45</v>
      </c>
      <c r="E73" s="53" t="s">
        <v>46</v>
      </c>
      <c r="F73" s="74" t="s">
        <v>587</v>
      </c>
      <c r="G73" s="73"/>
      <c r="H73" s="52">
        <f t="shared" si="16"/>
        <v>300</v>
      </c>
      <c r="I73" s="52">
        <f t="shared" si="16"/>
        <v>300</v>
      </c>
      <c r="J73" s="300">
        <f t="shared" si="0"/>
        <v>0</v>
      </c>
      <c r="K73" s="52">
        <f t="shared" si="16"/>
        <v>0</v>
      </c>
      <c r="L73" s="52">
        <f t="shared" si="16"/>
        <v>300</v>
      </c>
      <c r="M73" s="300">
        <f t="shared" si="17"/>
        <v>0</v>
      </c>
      <c r="N73" s="52">
        <f t="shared" si="16"/>
        <v>0</v>
      </c>
      <c r="O73" s="300">
        <f t="shared" si="2"/>
        <v>0</v>
      </c>
      <c r="P73" s="52">
        <f t="shared" si="16"/>
        <v>0</v>
      </c>
      <c r="Q73" s="52">
        <f t="shared" si="16"/>
        <v>0</v>
      </c>
      <c r="R73" s="333">
        <f t="shared" si="3"/>
        <v>0</v>
      </c>
    </row>
    <row r="74" spans="2:18" s="32" customFormat="1" ht="39.75" customHeight="1" x14ac:dyDescent="0.2">
      <c r="B74" s="56" t="s">
        <v>426</v>
      </c>
      <c r="C74" s="53" t="s">
        <v>669</v>
      </c>
      <c r="D74" s="53" t="s">
        <v>45</v>
      </c>
      <c r="E74" s="53" t="s">
        <v>46</v>
      </c>
      <c r="F74" s="74" t="s">
        <v>587</v>
      </c>
      <c r="G74" s="73" t="s">
        <v>424</v>
      </c>
      <c r="H74" s="52">
        <v>300</v>
      </c>
      <c r="I74" s="52">
        <v>300</v>
      </c>
      <c r="J74" s="300">
        <f t="shared" si="0"/>
        <v>0</v>
      </c>
      <c r="K74" s="52">
        <v>0</v>
      </c>
      <c r="L74" s="52">
        <v>300</v>
      </c>
      <c r="M74" s="300">
        <f t="shared" si="17"/>
        <v>0</v>
      </c>
      <c r="N74" s="52">
        <v>0</v>
      </c>
      <c r="O74" s="300">
        <f t="shared" si="2"/>
        <v>0</v>
      </c>
      <c r="P74" s="52">
        <v>0</v>
      </c>
      <c r="Q74" s="52">
        <v>0</v>
      </c>
      <c r="R74" s="333">
        <f t="shared" si="3"/>
        <v>0</v>
      </c>
    </row>
    <row r="75" spans="2:18" s="32" customFormat="1" ht="15" customHeight="1" x14ac:dyDescent="0.2">
      <c r="B75" s="77" t="s">
        <v>586</v>
      </c>
      <c r="C75" s="53" t="s">
        <v>669</v>
      </c>
      <c r="D75" s="53" t="s">
        <v>45</v>
      </c>
      <c r="E75" s="53" t="s">
        <v>46</v>
      </c>
      <c r="F75" s="74" t="s">
        <v>585</v>
      </c>
      <c r="G75" s="73"/>
      <c r="H75" s="52">
        <f>H76+H79</f>
        <v>90</v>
      </c>
      <c r="I75" s="52">
        <f>I76+I79</f>
        <v>90</v>
      </c>
      <c r="J75" s="300">
        <f t="shared" si="0"/>
        <v>0</v>
      </c>
      <c r="K75" s="52">
        <f>K76+K79</f>
        <v>0</v>
      </c>
      <c r="L75" s="52">
        <f>L76+L79</f>
        <v>90</v>
      </c>
      <c r="M75" s="300">
        <f t="shared" si="17"/>
        <v>0</v>
      </c>
      <c r="N75" s="52">
        <f>N76+N79</f>
        <v>0</v>
      </c>
      <c r="O75" s="300">
        <f t="shared" si="2"/>
        <v>0</v>
      </c>
      <c r="P75" s="52">
        <f>P76+P79</f>
        <v>0</v>
      </c>
      <c r="Q75" s="52">
        <f>Q76+Q79</f>
        <v>0</v>
      </c>
      <c r="R75" s="333">
        <f t="shared" si="3"/>
        <v>0</v>
      </c>
    </row>
    <row r="76" spans="2:18" s="32" customFormat="1" ht="26.25" customHeight="1" x14ac:dyDescent="0.2">
      <c r="B76" s="56" t="s">
        <v>584</v>
      </c>
      <c r="C76" s="53" t="s">
        <v>669</v>
      </c>
      <c r="D76" s="53" t="s">
        <v>45</v>
      </c>
      <c r="E76" s="53" t="s">
        <v>46</v>
      </c>
      <c r="F76" s="54" t="s">
        <v>583</v>
      </c>
      <c r="G76" s="60"/>
      <c r="H76" s="52">
        <f>H77+H78</f>
        <v>90</v>
      </c>
      <c r="I76" s="52">
        <f>I77+I78</f>
        <v>90</v>
      </c>
      <c r="J76" s="300">
        <f t="shared" ref="J76:J143" si="18">I76-H76</f>
        <v>0</v>
      </c>
      <c r="K76" s="52">
        <f>K77+K78</f>
        <v>0</v>
      </c>
      <c r="L76" s="52">
        <f>L77+L78</f>
        <v>90</v>
      </c>
      <c r="M76" s="300">
        <f t="shared" si="17"/>
        <v>0</v>
      </c>
      <c r="N76" s="52">
        <f>N77+N78</f>
        <v>0</v>
      </c>
      <c r="O76" s="300">
        <f t="shared" ref="O76:O143" si="19">N76-K76</f>
        <v>0</v>
      </c>
      <c r="P76" s="52">
        <f>P77+P78</f>
        <v>0</v>
      </c>
      <c r="Q76" s="52">
        <f>Q77+Q78</f>
        <v>0</v>
      </c>
      <c r="R76" s="333">
        <f t="shared" ref="R76:R143" si="20">Q76-P76</f>
        <v>0</v>
      </c>
    </row>
    <row r="77" spans="2:18" s="32" customFormat="1" ht="25.5" customHeight="1" x14ac:dyDescent="0.2">
      <c r="B77" s="69" t="s">
        <v>73</v>
      </c>
      <c r="C77" s="53" t="s">
        <v>669</v>
      </c>
      <c r="D77" s="53" t="s">
        <v>45</v>
      </c>
      <c r="E77" s="53" t="s">
        <v>46</v>
      </c>
      <c r="F77" s="54" t="s">
        <v>583</v>
      </c>
      <c r="G77" s="60" t="s">
        <v>70</v>
      </c>
      <c r="H77" s="52">
        <v>10</v>
      </c>
      <c r="I77" s="52">
        <v>10</v>
      </c>
      <c r="J77" s="300">
        <f t="shared" si="18"/>
        <v>0</v>
      </c>
      <c r="K77" s="52">
        <v>0</v>
      </c>
      <c r="L77" s="52">
        <v>10</v>
      </c>
      <c r="M77" s="300">
        <f t="shared" si="17"/>
        <v>0</v>
      </c>
      <c r="N77" s="52">
        <v>0</v>
      </c>
      <c r="O77" s="300">
        <f t="shared" si="19"/>
        <v>0</v>
      </c>
      <c r="P77" s="52">
        <v>0</v>
      </c>
      <c r="Q77" s="52">
        <v>0</v>
      </c>
      <c r="R77" s="333">
        <f t="shared" si="20"/>
        <v>0</v>
      </c>
    </row>
    <row r="78" spans="2:18" s="32" customFormat="1" ht="16.5" customHeight="1" x14ac:dyDescent="0.2">
      <c r="B78" s="64" t="s">
        <v>98</v>
      </c>
      <c r="C78" s="53" t="s">
        <v>669</v>
      </c>
      <c r="D78" s="53" t="s">
        <v>45</v>
      </c>
      <c r="E78" s="53" t="s">
        <v>46</v>
      </c>
      <c r="F78" s="54" t="s">
        <v>583</v>
      </c>
      <c r="G78" s="60" t="s">
        <v>81</v>
      </c>
      <c r="H78" s="52">
        <v>80</v>
      </c>
      <c r="I78" s="52">
        <v>80</v>
      </c>
      <c r="J78" s="300">
        <f t="shared" si="18"/>
        <v>0</v>
      </c>
      <c r="K78" s="52">
        <v>0</v>
      </c>
      <c r="L78" s="52">
        <v>80</v>
      </c>
      <c r="M78" s="300">
        <f t="shared" si="17"/>
        <v>0</v>
      </c>
      <c r="N78" s="52">
        <v>0</v>
      </c>
      <c r="O78" s="300">
        <f t="shared" si="19"/>
        <v>0</v>
      </c>
      <c r="P78" s="52">
        <v>0</v>
      </c>
      <c r="Q78" s="52">
        <v>0</v>
      </c>
      <c r="R78" s="333">
        <f t="shared" si="20"/>
        <v>0</v>
      </c>
    </row>
    <row r="79" spans="2:18" s="32" customFormat="1" ht="24.75" hidden="1" customHeight="1" x14ac:dyDescent="0.2">
      <c r="B79" s="56" t="s">
        <v>582</v>
      </c>
      <c r="C79" s="53" t="s">
        <v>669</v>
      </c>
      <c r="D79" s="53" t="s">
        <v>45</v>
      </c>
      <c r="E79" s="53" t="s">
        <v>46</v>
      </c>
      <c r="F79" s="54" t="s">
        <v>580</v>
      </c>
      <c r="G79" s="60"/>
      <c r="H79" s="52">
        <f t="shared" ref="H79:Q80" si="21">H80</f>
        <v>0</v>
      </c>
      <c r="I79" s="52">
        <f t="shared" si="21"/>
        <v>0</v>
      </c>
      <c r="J79" s="300">
        <f t="shared" si="18"/>
        <v>0</v>
      </c>
      <c r="K79" s="52">
        <f t="shared" si="21"/>
        <v>0</v>
      </c>
      <c r="L79" s="52">
        <f t="shared" si="21"/>
        <v>0</v>
      </c>
      <c r="M79" s="300">
        <f t="shared" si="17"/>
        <v>0</v>
      </c>
      <c r="N79" s="52">
        <f t="shared" si="21"/>
        <v>0</v>
      </c>
      <c r="O79" s="300">
        <f t="shared" si="19"/>
        <v>0</v>
      </c>
      <c r="P79" s="52">
        <f t="shared" si="21"/>
        <v>0</v>
      </c>
      <c r="Q79" s="52">
        <f t="shared" si="21"/>
        <v>0</v>
      </c>
      <c r="R79" s="333">
        <f t="shared" si="20"/>
        <v>0</v>
      </c>
    </row>
    <row r="80" spans="2:18" s="32" customFormat="1" ht="17.25" hidden="1" customHeight="1" x14ac:dyDescent="0.2">
      <c r="B80" s="81" t="s">
        <v>581</v>
      </c>
      <c r="C80" s="53" t="s">
        <v>669</v>
      </c>
      <c r="D80" s="53" t="s">
        <v>45</v>
      </c>
      <c r="E80" s="53" t="s">
        <v>46</v>
      </c>
      <c r="F80" s="54" t="s">
        <v>580</v>
      </c>
      <c r="G80" s="60"/>
      <c r="H80" s="52">
        <f t="shared" si="21"/>
        <v>0</v>
      </c>
      <c r="I80" s="52">
        <f t="shared" si="21"/>
        <v>0</v>
      </c>
      <c r="J80" s="300">
        <f t="shared" si="18"/>
        <v>0</v>
      </c>
      <c r="K80" s="52">
        <f t="shared" si="21"/>
        <v>0</v>
      </c>
      <c r="L80" s="52">
        <f t="shared" si="21"/>
        <v>0</v>
      </c>
      <c r="M80" s="300">
        <f t="shared" si="17"/>
        <v>0</v>
      </c>
      <c r="N80" s="52">
        <f t="shared" si="21"/>
        <v>0</v>
      </c>
      <c r="O80" s="300">
        <f t="shared" si="19"/>
        <v>0</v>
      </c>
      <c r="P80" s="52">
        <f t="shared" si="21"/>
        <v>0</v>
      </c>
      <c r="Q80" s="52">
        <f t="shared" si="21"/>
        <v>0</v>
      </c>
      <c r="R80" s="333">
        <f t="shared" si="20"/>
        <v>0</v>
      </c>
    </row>
    <row r="81" spans="2:21" s="32" customFormat="1" ht="18" hidden="1" customHeight="1" x14ac:dyDescent="0.2">
      <c r="B81" s="64" t="s">
        <v>98</v>
      </c>
      <c r="C81" s="53" t="s">
        <v>669</v>
      </c>
      <c r="D81" s="53" t="s">
        <v>45</v>
      </c>
      <c r="E81" s="53" t="s">
        <v>46</v>
      </c>
      <c r="F81" s="54" t="s">
        <v>580</v>
      </c>
      <c r="G81" s="60" t="s">
        <v>81</v>
      </c>
      <c r="H81" s="52"/>
      <c r="I81" s="52"/>
      <c r="J81" s="300">
        <f t="shared" si="18"/>
        <v>0</v>
      </c>
      <c r="K81" s="52"/>
      <c r="L81" s="52"/>
      <c r="M81" s="300">
        <f t="shared" si="17"/>
        <v>0</v>
      </c>
      <c r="N81" s="52"/>
      <c r="O81" s="300">
        <f t="shared" si="19"/>
        <v>0</v>
      </c>
      <c r="P81" s="52"/>
      <c r="Q81" s="52"/>
      <c r="R81" s="333">
        <f t="shared" si="20"/>
        <v>0</v>
      </c>
    </row>
    <row r="82" spans="2:21" s="32" customFormat="1" ht="18" customHeight="1" x14ac:dyDescent="0.2">
      <c r="B82" s="77" t="s">
        <v>52</v>
      </c>
      <c r="C82" s="53" t="s">
        <v>669</v>
      </c>
      <c r="D82" s="53" t="s">
        <v>45</v>
      </c>
      <c r="E82" s="53" t="s">
        <v>46</v>
      </c>
      <c r="F82" s="54" t="s">
        <v>104</v>
      </c>
      <c r="G82" s="60"/>
      <c r="H82" s="52">
        <f t="shared" ref="H82:Q84" si="22">H83</f>
        <v>110.4</v>
      </c>
      <c r="I82" s="52">
        <f t="shared" si="22"/>
        <v>110.4</v>
      </c>
      <c r="J82" s="300">
        <f t="shared" si="18"/>
        <v>0</v>
      </c>
      <c r="K82" s="52">
        <f t="shared" si="22"/>
        <v>110.4</v>
      </c>
      <c r="L82" s="52">
        <f t="shared" si="22"/>
        <v>284.39999999999998</v>
      </c>
      <c r="M82" s="300">
        <f t="shared" si="17"/>
        <v>173.99999999999997</v>
      </c>
      <c r="N82" s="52">
        <f t="shared" si="22"/>
        <v>110.4</v>
      </c>
      <c r="O82" s="300">
        <f t="shared" si="19"/>
        <v>0</v>
      </c>
      <c r="P82" s="52">
        <f t="shared" si="22"/>
        <v>110.4</v>
      </c>
      <c r="Q82" s="52">
        <f t="shared" si="22"/>
        <v>110.4</v>
      </c>
      <c r="R82" s="333">
        <f t="shared" si="20"/>
        <v>0</v>
      </c>
    </row>
    <row r="83" spans="2:21" s="32" customFormat="1" ht="28.5" customHeight="1" x14ac:dyDescent="0.2">
      <c r="B83" s="147" t="s">
        <v>103</v>
      </c>
      <c r="C83" s="53" t="s">
        <v>669</v>
      </c>
      <c r="D83" s="53" t="s">
        <v>45</v>
      </c>
      <c r="E83" s="53" t="s">
        <v>46</v>
      </c>
      <c r="F83" s="54" t="s">
        <v>102</v>
      </c>
      <c r="G83" s="60"/>
      <c r="H83" s="52">
        <f t="shared" si="22"/>
        <v>110.4</v>
      </c>
      <c r="I83" s="52">
        <f>I84+I86+I88</f>
        <v>110.4</v>
      </c>
      <c r="J83" s="52">
        <f t="shared" ref="J83:Q83" si="23">J84+J86+J88</f>
        <v>0</v>
      </c>
      <c r="K83" s="52">
        <f t="shared" si="23"/>
        <v>110.4</v>
      </c>
      <c r="L83" s="52">
        <f t="shared" si="23"/>
        <v>284.39999999999998</v>
      </c>
      <c r="M83" s="300">
        <f t="shared" si="17"/>
        <v>173.99999999999997</v>
      </c>
      <c r="N83" s="52">
        <f t="shared" si="23"/>
        <v>110.4</v>
      </c>
      <c r="O83" s="52">
        <f t="shared" si="23"/>
        <v>0</v>
      </c>
      <c r="P83" s="52">
        <f t="shared" si="23"/>
        <v>110.4</v>
      </c>
      <c r="Q83" s="52">
        <f t="shared" si="23"/>
        <v>110.4</v>
      </c>
      <c r="R83" s="333">
        <f t="shared" si="20"/>
        <v>0</v>
      </c>
    </row>
    <row r="84" spans="2:21" s="32" customFormat="1" ht="25.5" customHeight="1" x14ac:dyDescent="0.2">
      <c r="B84" s="56" t="s">
        <v>579</v>
      </c>
      <c r="C84" s="53" t="s">
        <v>669</v>
      </c>
      <c r="D84" s="53" t="s">
        <v>45</v>
      </c>
      <c r="E84" s="53" t="s">
        <v>46</v>
      </c>
      <c r="F84" s="53" t="s">
        <v>578</v>
      </c>
      <c r="G84" s="73"/>
      <c r="H84" s="52">
        <f t="shared" si="22"/>
        <v>110.4</v>
      </c>
      <c r="I84" s="52">
        <f t="shared" si="22"/>
        <v>110.4</v>
      </c>
      <c r="J84" s="300">
        <f t="shared" si="18"/>
        <v>0</v>
      </c>
      <c r="K84" s="52">
        <f t="shared" si="22"/>
        <v>110.4</v>
      </c>
      <c r="L84" s="52">
        <f t="shared" si="22"/>
        <v>110.4</v>
      </c>
      <c r="M84" s="300">
        <f t="shared" si="17"/>
        <v>0</v>
      </c>
      <c r="N84" s="52">
        <f t="shared" si="22"/>
        <v>110.4</v>
      </c>
      <c r="O84" s="300">
        <f t="shared" si="19"/>
        <v>0</v>
      </c>
      <c r="P84" s="52">
        <f t="shared" si="22"/>
        <v>110.4</v>
      </c>
      <c r="Q84" s="52">
        <f t="shared" si="22"/>
        <v>110.4</v>
      </c>
      <c r="R84" s="333">
        <f t="shared" si="20"/>
        <v>0</v>
      </c>
    </row>
    <row r="85" spans="2:21" s="32" customFormat="1" ht="18" customHeight="1" x14ac:dyDescent="0.2">
      <c r="B85" s="120" t="s">
        <v>573</v>
      </c>
      <c r="C85" s="53" t="s">
        <v>669</v>
      </c>
      <c r="D85" s="53" t="s">
        <v>45</v>
      </c>
      <c r="E85" s="53" t="s">
        <v>46</v>
      </c>
      <c r="F85" s="53" t="s">
        <v>578</v>
      </c>
      <c r="G85" s="73" t="s">
        <v>571</v>
      </c>
      <c r="H85" s="52">
        <v>110.4</v>
      </c>
      <c r="I85" s="52">
        <v>110.4</v>
      </c>
      <c r="J85" s="300">
        <f t="shared" si="18"/>
        <v>0</v>
      </c>
      <c r="K85" s="52">
        <v>110.4</v>
      </c>
      <c r="L85" s="52">
        <v>110.4</v>
      </c>
      <c r="M85" s="300">
        <f t="shared" si="17"/>
        <v>0</v>
      </c>
      <c r="N85" s="52">
        <v>110.4</v>
      </c>
      <c r="O85" s="300">
        <f t="shared" si="19"/>
        <v>0</v>
      </c>
      <c r="P85" s="52">
        <v>110.4</v>
      </c>
      <c r="Q85" s="52">
        <v>110.4</v>
      </c>
      <c r="R85" s="333">
        <f t="shared" si="20"/>
        <v>0</v>
      </c>
    </row>
    <row r="86" spans="2:21" s="32" customFormat="1" ht="42.75" customHeight="1" x14ac:dyDescent="0.2">
      <c r="B86" s="174" t="s">
        <v>1115</v>
      </c>
      <c r="C86" s="53" t="s">
        <v>669</v>
      </c>
      <c r="D86" s="53" t="s">
        <v>45</v>
      </c>
      <c r="E86" s="53" t="s">
        <v>46</v>
      </c>
      <c r="F86" s="53" t="s">
        <v>1118</v>
      </c>
      <c r="G86" s="60"/>
      <c r="H86" s="52"/>
      <c r="I86" s="52">
        <f>I87</f>
        <v>0</v>
      </c>
      <c r="J86" s="52">
        <f t="shared" ref="J86:Q86" si="24">J87</f>
        <v>0</v>
      </c>
      <c r="K86" s="52">
        <f t="shared" si="24"/>
        <v>0</v>
      </c>
      <c r="L86" s="52">
        <f t="shared" si="24"/>
        <v>15</v>
      </c>
      <c r="M86" s="300">
        <f t="shared" si="17"/>
        <v>15</v>
      </c>
      <c r="N86" s="52">
        <f t="shared" si="24"/>
        <v>0</v>
      </c>
      <c r="O86" s="52">
        <f t="shared" si="24"/>
        <v>0</v>
      </c>
      <c r="P86" s="52">
        <f t="shared" si="24"/>
        <v>0</v>
      </c>
      <c r="Q86" s="52">
        <f t="shared" si="24"/>
        <v>0</v>
      </c>
      <c r="R86" s="333"/>
    </row>
    <row r="87" spans="2:21" s="32" customFormat="1" ht="13.5" customHeight="1" x14ac:dyDescent="0.2">
      <c r="B87" s="88" t="s">
        <v>1116</v>
      </c>
      <c r="C87" s="53" t="s">
        <v>669</v>
      </c>
      <c r="D87" s="53" t="s">
        <v>45</v>
      </c>
      <c r="E87" s="53" t="s">
        <v>46</v>
      </c>
      <c r="F87" s="53" t="s">
        <v>1118</v>
      </c>
      <c r="G87" s="60" t="s">
        <v>571</v>
      </c>
      <c r="H87" s="52"/>
      <c r="I87" s="52">
        <v>0</v>
      </c>
      <c r="J87" s="315"/>
      <c r="K87" s="52"/>
      <c r="L87" s="52">
        <v>15</v>
      </c>
      <c r="M87" s="300">
        <f t="shared" si="17"/>
        <v>15</v>
      </c>
      <c r="N87" s="52">
        <v>0</v>
      </c>
      <c r="O87" s="320"/>
      <c r="P87" s="65"/>
      <c r="Q87" s="52">
        <v>0</v>
      </c>
      <c r="R87" s="333"/>
    </row>
    <row r="88" spans="2:21" s="32" customFormat="1" ht="27.75" customHeight="1" x14ac:dyDescent="0.2">
      <c r="B88" s="399" t="s">
        <v>1117</v>
      </c>
      <c r="C88" s="53" t="s">
        <v>669</v>
      </c>
      <c r="D88" s="53" t="s">
        <v>45</v>
      </c>
      <c r="E88" s="53" t="s">
        <v>46</v>
      </c>
      <c r="F88" s="53" t="s">
        <v>1119</v>
      </c>
      <c r="G88" s="60"/>
      <c r="H88" s="52"/>
      <c r="I88" s="52">
        <f>I89</f>
        <v>0</v>
      </c>
      <c r="J88" s="52">
        <f t="shared" ref="J88:Q88" si="25">J89</f>
        <v>0</v>
      </c>
      <c r="K88" s="52">
        <f t="shared" si="25"/>
        <v>0</v>
      </c>
      <c r="L88" s="52">
        <f t="shared" si="25"/>
        <v>159</v>
      </c>
      <c r="M88" s="300">
        <f t="shared" si="17"/>
        <v>159</v>
      </c>
      <c r="N88" s="52">
        <f t="shared" si="25"/>
        <v>0</v>
      </c>
      <c r="O88" s="52">
        <f t="shared" si="25"/>
        <v>0</v>
      </c>
      <c r="P88" s="52">
        <f t="shared" si="25"/>
        <v>0</v>
      </c>
      <c r="Q88" s="52">
        <f t="shared" si="25"/>
        <v>0</v>
      </c>
      <c r="R88" s="333"/>
    </row>
    <row r="89" spans="2:21" s="32" customFormat="1" ht="13.5" customHeight="1" x14ac:dyDescent="0.2">
      <c r="B89" s="88" t="s">
        <v>1116</v>
      </c>
      <c r="C89" s="53" t="s">
        <v>669</v>
      </c>
      <c r="D89" s="53" t="s">
        <v>45</v>
      </c>
      <c r="E89" s="53" t="s">
        <v>46</v>
      </c>
      <c r="F89" s="53" t="s">
        <v>1119</v>
      </c>
      <c r="G89" s="60" t="s">
        <v>571</v>
      </c>
      <c r="H89" s="52"/>
      <c r="I89" s="52">
        <v>0</v>
      </c>
      <c r="J89" s="315"/>
      <c r="K89" s="52"/>
      <c r="L89" s="52">
        <v>159</v>
      </c>
      <c r="M89" s="300">
        <f t="shared" si="17"/>
        <v>159</v>
      </c>
      <c r="N89" s="52">
        <v>0</v>
      </c>
      <c r="O89" s="320"/>
      <c r="P89" s="65"/>
      <c r="Q89" s="52">
        <v>0</v>
      </c>
      <c r="R89" s="333"/>
    </row>
    <row r="90" spans="2:21" s="51" customFormat="1" ht="27" customHeight="1" x14ac:dyDescent="0.2">
      <c r="B90" s="141" t="s">
        <v>577</v>
      </c>
      <c r="C90" s="53" t="s">
        <v>669</v>
      </c>
      <c r="D90" s="53" t="s">
        <v>45</v>
      </c>
      <c r="E90" s="53" t="s">
        <v>46</v>
      </c>
      <c r="F90" s="54" t="s">
        <v>535</v>
      </c>
      <c r="G90" s="53"/>
      <c r="H90" s="52">
        <f>H91</f>
        <v>3511.4</v>
      </c>
      <c r="I90" s="52">
        <f>I91</f>
        <v>4111.3999999999996</v>
      </c>
      <c r="J90" s="300">
        <f t="shared" si="18"/>
        <v>599.99999999999955</v>
      </c>
      <c r="K90" s="52">
        <f>K91</f>
        <v>3511.4</v>
      </c>
      <c r="L90" s="52">
        <f>L91</f>
        <v>4111.3999999999996</v>
      </c>
      <c r="M90" s="300">
        <f t="shared" si="17"/>
        <v>0</v>
      </c>
      <c r="N90" s="52">
        <f>N91</f>
        <v>3511.4</v>
      </c>
      <c r="O90" s="300">
        <f t="shared" si="19"/>
        <v>0</v>
      </c>
      <c r="P90" s="52">
        <f>P91</f>
        <v>3511.4</v>
      </c>
      <c r="Q90" s="52">
        <f>Q91</f>
        <v>3511.4</v>
      </c>
      <c r="R90" s="333">
        <f t="shared" si="20"/>
        <v>0</v>
      </c>
      <c r="S90" s="32"/>
      <c r="T90" s="32"/>
      <c r="U90" s="32"/>
    </row>
    <row r="91" spans="2:21" s="51" customFormat="1" ht="15.75" customHeight="1" x14ac:dyDescent="0.2">
      <c r="B91" s="139" t="s">
        <v>52</v>
      </c>
      <c r="C91" s="53" t="s">
        <v>669</v>
      </c>
      <c r="D91" s="53" t="s">
        <v>45</v>
      </c>
      <c r="E91" s="53" t="s">
        <v>46</v>
      </c>
      <c r="F91" s="54" t="s">
        <v>534</v>
      </c>
      <c r="G91" s="53"/>
      <c r="H91" s="52">
        <f>H92+H95+H98+H101+H110+H105</f>
        <v>3511.4</v>
      </c>
      <c r="I91" s="52">
        <f>I92+I95+I98+I101+I110+I105</f>
        <v>4111.3999999999996</v>
      </c>
      <c r="J91" s="300">
        <f t="shared" si="18"/>
        <v>599.99999999999955</v>
      </c>
      <c r="K91" s="52">
        <f>K92+K95+K98+K101+K110+K105</f>
        <v>3511.4</v>
      </c>
      <c r="L91" s="52">
        <f>L92+L95+L98+L101+L110+L105</f>
        <v>4111.3999999999996</v>
      </c>
      <c r="M91" s="300">
        <f t="shared" si="17"/>
        <v>0</v>
      </c>
      <c r="N91" s="52">
        <f>N92+N95+N98+N101+N110+N105</f>
        <v>3511.4</v>
      </c>
      <c r="O91" s="300">
        <f t="shared" si="19"/>
        <v>0</v>
      </c>
      <c r="P91" s="52">
        <f>P92+P95+P98+P101+P110+P105</f>
        <v>3511.4</v>
      </c>
      <c r="Q91" s="52">
        <f>Q92+Q95+Q98+Q101+Q110+Q105</f>
        <v>3511.4</v>
      </c>
      <c r="R91" s="333">
        <f t="shared" si="20"/>
        <v>0</v>
      </c>
      <c r="S91" s="32"/>
      <c r="T91" s="32"/>
      <c r="U91" s="32"/>
    </row>
    <row r="92" spans="2:21" s="51" customFormat="1" ht="28.5" customHeight="1" x14ac:dyDescent="0.2">
      <c r="B92" s="139" t="s">
        <v>576</v>
      </c>
      <c r="C92" s="53" t="s">
        <v>669</v>
      </c>
      <c r="D92" s="53" t="s">
        <v>45</v>
      </c>
      <c r="E92" s="53" t="s">
        <v>46</v>
      </c>
      <c r="F92" s="54" t="s">
        <v>575</v>
      </c>
      <c r="G92" s="53"/>
      <c r="H92" s="52">
        <f t="shared" ref="H92:Q93" si="26">H93</f>
        <v>390</v>
      </c>
      <c r="I92" s="52">
        <f t="shared" si="26"/>
        <v>390</v>
      </c>
      <c r="J92" s="300">
        <f t="shared" si="18"/>
        <v>0</v>
      </c>
      <c r="K92" s="52">
        <f t="shared" si="26"/>
        <v>390</v>
      </c>
      <c r="L92" s="52">
        <f t="shared" si="26"/>
        <v>390</v>
      </c>
      <c r="M92" s="300">
        <f t="shared" si="17"/>
        <v>0</v>
      </c>
      <c r="N92" s="52">
        <f t="shared" si="26"/>
        <v>390</v>
      </c>
      <c r="O92" s="300">
        <f t="shared" si="19"/>
        <v>0</v>
      </c>
      <c r="P92" s="52">
        <f t="shared" si="26"/>
        <v>390</v>
      </c>
      <c r="Q92" s="52">
        <f t="shared" si="26"/>
        <v>390</v>
      </c>
      <c r="R92" s="333">
        <f t="shared" si="20"/>
        <v>0</v>
      </c>
      <c r="S92" s="32"/>
      <c r="T92" s="32"/>
      <c r="U92" s="32"/>
    </row>
    <row r="93" spans="2:21" s="51" customFormat="1" ht="29.25" customHeight="1" x14ac:dyDescent="0.2">
      <c r="B93" s="56" t="s">
        <v>574</v>
      </c>
      <c r="C93" s="53" t="s">
        <v>669</v>
      </c>
      <c r="D93" s="53" t="s">
        <v>45</v>
      </c>
      <c r="E93" s="53" t="s">
        <v>46</v>
      </c>
      <c r="F93" s="54" t="s">
        <v>572</v>
      </c>
      <c r="G93" s="53"/>
      <c r="H93" s="52">
        <f t="shared" si="26"/>
        <v>390</v>
      </c>
      <c r="I93" s="52">
        <f t="shared" si="26"/>
        <v>390</v>
      </c>
      <c r="J93" s="300">
        <f t="shared" si="18"/>
        <v>0</v>
      </c>
      <c r="K93" s="52">
        <f t="shared" si="26"/>
        <v>390</v>
      </c>
      <c r="L93" s="52">
        <f t="shared" si="26"/>
        <v>390</v>
      </c>
      <c r="M93" s="300">
        <f t="shared" si="17"/>
        <v>0</v>
      </c>
      <c r="N93" s="52">
        <f t="shared" si="26"/>
        <v>390</v>
      </c>
      <c r="O93" s="300">
        <f t="shared" si="19"/>
        <v>0</v>
      </c>
      <c r="P93" s="52">
        <f t="shared" si="26"/>
        <v>390</v>
      </c>
      <c r="Q93" s="52">
        <f t="shared" si="26"/>
        <v>390</v>
      </c>
      <c r="R93" s="333">
        <f t="shared" si="20"/>
        <v>0</v>
      </c>
      <c r="S93" s="32"/>
      <c r="T93" s="32"/>
      <c r="U93" s="32"/>
    </row>
    <row r="94" spans="2:21" s="51" customFormat="1" ht="15.75" customHeight="1" x14ac:dyDescent="0.2">
      <c r="B94" s="96" t="s">
        <v>573</v>
      </c>
      <c r="C94" s="53" t="s">
        <v>669</v>
      </c>
      <c r="D94" s="53" t="s">
        <v>45</v>
      </c>
      <c r="E94" s="53" t="s">
        <v>46</v>
      </c>
      <c r="F94" s="54" t="s">
        <v>572</v>
      </c>
      <c r="G94" s="53" t="s">
        <v>571</v>
      </c>
      <c r="H94" s="52">
        <v>390</v>
      </c>
      <c r="I94" s="52">
        <v>390</v>
      </c>
      <c r="J94" s="300">
        <f t="shared" si="18"/>
        <v>0</v>
      </c>
      <c r="K94" s="52">
        <v>390</v>
      </c>
      <c r="L94" s="52">
        <v>390</v>
      </c>
      <c r="M94" s="300">
        <f t="shared" si="17"/>
        <v>0</v>
      </c>
      <c r="N94" s="52">
        <v>390</v>
      </c>
      <c r="O94" s="300">
        <f t="shared" si="19"/>
        <v>0</v>
      </c>
      <c r="P94" s="52">
        <v>390</v>
      </c>
      <c r="Q94" s="52">
        <v>390</v>
      </c>
      <c r="R94" s="333">
        <f t="shared" si="20"/>
        <v>0</v>
      </c>
      <c r="S94" s="32"/>
      <c r="T94" s="32"/>
      <c r="U94" s="32"/>
    </row>
    <row r="95" spans="2:21" s="51" customFormat="1" ht="30.75" customHeight="1" x14ac:dyDescent="0.2">
      <c r="B95" s="56" t="s">
        <v>570</v>
      </c>
      <c r="C95" s="53" t="s">
        <v>669</v>
      </c>
      <c r="D95" s="53" t="s">
        <v>45</v>
      </c>
      <c r="E95" s="53" t="s">
        <v>46</v>
      </c>
      <c r="F95" s="54" t="s">
        <v>569</v>
      </c>
      <c r="G95" s="53"/>
      <c r="H95" s="52">
        <f t="shared" ref="H95:Q96" si="27">H96</f>
        <v>80</v>
      </c>
      <c r="I95" s="52">
        <f t="shared" si="27"/>
        <v>680</v>
      </c>
      <c r="J95" s="300">
        <f t="shared" si="18"/>
        <v>600</v>
      </c>
      <c r="K95" s="52">
        <f t="shared" si="27"/>
        <v>80</v>
      </c>
      <c r="L95" s="52">
        <f t="shared" si="27"/>
        <v>680</v>
      </c>
      <c r="M95" s="300">
        <f t="shared" si="17"/>
        <v>0</v>
      </c>
      <c r="N95" s="52">
        <f t="shared" si="27"/>
        <v>80</v>
      </c>
      <c r="O95" s="300">
        <f t="shared" si="19"/>
        <v>0</v>
      </c>
      <c r="P95" s="52">
        <f t="shared" si="27"/>
        <v>80</v>
      </c>
      <c r="Q95" s="52">
        <f t="shared" si="27"/>
        <v>80</v>
      </c>
      <c r="R95" s="333">
        <f t="shared" si="20"/>
        <v>0</v>
      </c>
      <c r="S95" s="32"/>
      <c r="T95" s="32"/>
      <c r="U95" s="32"/>
    </row>
    <row r="96" spans="2:21" s="51" customFormat="1" ht="15" customHeight="1" x14ac:dyDescent="0.2">
      <c r="B96" s="56" t="s">
        <v>568</v>
      </c>
      <c r="C96" s="53" t="s">
        <v>669</v>
      </c>
      <c r="D96" s="53" t="s">
        <v>45</v>
      </c>
      <c r="E96" s="53" t="s">
        <v>46</v>
      </c>
      <c r="F96" s="54" t="s">
        <v>567</v>
      </c>
      <c r="G96" s="53"/>
      <c r="H96" s="52">
        <f>H97</f>
        <v>80</v>
      </c>
      <c r="I96" s="52">
        <f>I97</f>
        <v>680</v>
      </c>
      <c r="J96" s="300">
        <f t="shared" si="18"/>
        <v>600</v>
      </c>
      <c r="K96" s="52">
        <f t="shared" si="27"/>
        <v>80</v>
      </c>
      <c r="L96" s="52">
        <f>L97</f>
        <v>680</v>
      </c>
      <c r="M96" s="300">
        <f t="shared" si="17"/>
        <v>0</v>
      </c>
      <c r="N96" s="52">
        <f t="shared" si="27"/>
        <v>80</v>
      </c>
      <c r="O96" s="300">
        <f t="shared" si="19"/>
        <v>0</v>
      </c>
      <c r="P96" s="52">
        <f t="shared" si="27"/>
        <v>80</v>
      </c>
      <c r="Q96" s="52">
        <f t="shared" si="27"/>
        <v>80</v>
      </c>
      <c r="R96" s="333">
        <f t="shared" si="20"/>
        <v>0</v>
      </c>
      <c r="S96" s="32"/>
      <c r="T96" s="32"/>
      <c r="U96" s="32"/>
    </row>
    <row r="97" spans="2:21" s="51" customFormat="1" ht="24.75" customHeight="1" x14ac:dyDescent="0.2">
      <c r="B97" s="56" t="s">
        <v>73</v>
      </c>
      <c r="C97" s="53" t="s">
        <v>669</v>
      </c>
      <c r="D97" s="53" t="s">
        <v>45</v>
      </c>
      <c r="E97" s="53" t="s">
        <v>46</v>
      </c>
      <c r="F97" s="54" t="s">
        <v>567</v>
      </c>
      <c r="G97" s="53" t="s">
        <v>70</v>
      </c>
      <c r="H97" s="52">
        <v>80</v>
      </c>
      <c r="I97" s="52">
        <f>80+600</f>
        <v>680</v>
      </c>
      <c r="J97" s="300">
        <f t="shared" si="18"/>
        <v>600</v>
      </c>
      <c r="K97" s="52">
        <v>80</v>
      </c>
      <c r="L97" s="52">
        <f>80+600</f>
        <v>680</v>
      </c>
      <c r="M97" s="300">
        <f t="shared" si="17"/>
        <v>0</v>
      </c>
      <c r="N97" s="52">
        <v>80</v>
      </c>
      <c r="O97" s="300">
        <f t="shared" si="19"/>
        <v>0</v>
      </c>
      <c r="P97" s="52">
        <v>80</v>
      </c>
      <c r="Q97" s="52">
        <v>80</v>
      </c>
      <c r="R97" s="333">
        <f t="shared" si="20"/>
        <v>0</v>
      </c>
      <c r="S97" s="32"/>
      <c r="T97" s="32"/>
      <c r="U97" s="32"/>
    </row>
    <row r="98" spans="2:21" s="51" customFormat="1" ht="24.75" customHeight="1" x14ac:dyDescent="0.2">
      <c r="B98" s="139" t="s">
        <v>566</v>
      </c>
      <c r="C98" s="53" t="s">
        <v>669</v>
      </c>
      <c r="D98" s="53" t="s">
        <v>45</v>
      </c>
      <c r="E98" s="53" t="s">
        <v>46</v>
      </c>
      <c r="F98" s="54" t="s">
        <v>565</v>
      </c>
      <c r="G98" s="53"/>
      <c r="H98" s="52">
        <f t="shared" ref="H98:Q99" si="28">H99</f>
        <v>10</v>
      </c>
      <c r="I98" s="52">
        <f t="shared" si="28"/>
        <v>10</v>
      </c>
      <c r="J98" s="300">
        <f t="shared" si="18"/>
        <v>0</v>
      </c>
      <c r="K98" s="52">
        <f t="shared" si="28"/>
        <v>10</v>
      </c>
      <c r="L98" s="52">
        <f t="shared" si="28"/>
        <v>10</v>
      </c>
      <c r="M98" s="300">
        <f t="shared" si="17"/>
        <v>0</v>
      </c>
      <c r="N98" s="52">
        <f t="shared" si="28"/>
        <v>10</v>
      </c>
      <c r="O98" s="300">
        <f t="shared" si="19"/>
        <v>0</v>
      </c>
      <c r="P98" s="52">
        <f t="shared" si="28"/>
        <v>10</v>
      </c>
      <c r="Q98" s="52">
        <f t="shared" si="28"/>
        <v>10</v>
      </c>
      <c r="R98" s="333">
        <f t="shared" si="20"/>
        <v>0</v>
      </c>
      <c r="S98" s="32"/>
      <c r="T98" s="32"/>
      <c r="U98" s="32"/>
    </row>
    <row r="99" spans="2:21" s="51" customFormat="1" ht="26.25" customHeight="1" x14ac:dyDescent="0.2">
      <c r="B99" s="139" t="s">
        <v>564</v>
      </c>
      <c r="C99" s="53" t="s">
        <v>669</v>
      </c>
      <c r="D99" s="53" t="s">
        <v>45</v>
      </c>
      <c r="E99" s="53" t="s">
        <v>46</v>
      </c>
      <c r="F99" s="54" t="s">
        <v>563</v>
      </c>
      <c r="G99" s="53"/>
      <c r="H99" s="52">
        <f t="shared" si="28"/>
        <v>10</v>
      </c>
      <c r="I99" s="52">
        <f t="shared" si="28"/>
        <v>10</v>
      </c>
      <c r="J99" s="300">
        <f t="shared" si="18"/>
        <v>0</v>
      </c>
      <c r="K99" s="52">
        <f t="shared" si="28"/>
        <v>10</v>
      </c>
      <c r="L99" s="52">
        <f t="shared" si="28"/>
        <v>10</v>
      </c>
      <c r="M99" s="300">
        <f t="shared" si="17"/>
        <v>0</v>
      </c>
      <c r="N99" s="52">
        <f t="shared" si="28"/>
        <v>10</v>
      </c>
      <c r="O99" s="300">
        <f t="shared" si="19"/>
        <v>0</v>
      </c>
      <c r="P99" s="52">
        <f t="shared" si="28"/>
        <v>10</v>
      </c>
      <c r="Q99" s="52">
        <f t="shared" si="28"/>
        <v>10</v>
      </c>
      <c r="R99" s="333">
        <f t="shared" si="20"/>
        <v>0</v>
      </c>
      <c r="S99" s="32"/>
      <c r="T99" s="32"/>
      <c r="U99" s="32"/>
    </row>
    <row r="100" spans="2:21" s="51" customFormat="1" ht="27.75" customHeight="1" x14ac:dyDescent="0.2">
      <c r="B100" s="56" t="s">
        <v>73</v>
      </c>
      <c r="C100" s="53" t="s">
        <v>669</v>
      </c>
      <c r="D100" s="53" t="s">
        <v>45</v>
      </c>
      <c r="E100" s="53" t="s">
        <v>46</v>
      </c>
      <c r="F100" s="54" t="s">
        <v>563</v>
      </c>
      <c r="G100" s="53" t="s">
        <v>70</v>
      </c>
      <c r="H100" s="52">
        <v>10</v>
      </c>
      <c r="I100" s="52">
        <v>10</v>
      </c>
      <c r="J100" s="300">
        <f t="shared" si="18"/>
        <v>0</v>
      </c>
      <c r="K100" s="52">
        <v>10</v>
      </c>
      <c r="L100" s="52">
        <v>10</v>
      </c>
      <c r="M100" s="300">
        <f t="shared" si="17"/>
        <v>0</v>
      </c>
      <c r="N100" s="52">
        <v>10</v>
      </c>
      <c r="O100" s="300">
        <f t="shared" si="19"/>
        <v>0</v>
      </c>
      <c r="P100" s="52">
        <v>10</v>
      </c>
      <c r="Q100" s="52">
        <v>10</v>
      </c>
      <c r="R100" s="333">
        <f t="shared" si="20"/>
        <v>0</v>
      </c>
      <c r="S100" s="32"/>
      <c r="T100" s="32"/>
      <c r="U100" s="32"/>
    </row>
    <row r="101" spans="2:21" s="51" customFormat="1" ht="41.25" customHeight="1" x14ac:dyDescent="0.2">
      <c r="B101" s="66" t="s">
        <v>562</v>
      </c>
      <c r="C101" s="53" t="s">
        <v>669</v>
      </c>
      <c r="D101" s="53" t="s">
        <v>45</v>
      </c>
      <c r="E101" s="53" t="s">
        <v>46</v>
      </c>
      <c r="F101" s="54" t="s">
        <v>561</v>
      </c>
      <c r="G101" s="53"/>
      <c r="H101" s="52">
        <f>H102</f>
        <v>2744</v>
      </c>
      <c r="I101" s="52">
        <f>I102</f>
        <v>2744</v>
      </c>
      <c r="J101" s="300">
        <f t="shared" si="18"/>
        <v>0</v>
      </c>
      <c r="K101" s="52">
        <f>K102</f>
        <v>2744</v>
      </c>
      <c r="L101" s="52">
        <f>L102</f>
        <v>2744</v>
      </c>
      <c r="M101" s="300">
        <f t="shared" si="17"/>
        <v>0</v>
      </c>
      <c r="N101" s="52">
        <f>N102</f>
        <v>2744</v>
      </c>
      <c r="O101" s="300">
        <f t="shared" si="19"/>
        <v>0</v>
      </c>
      <c r="P101" s="52">
        <f>P102</f>
        <v>2744</v>
      </c>
      <c r="Q101" s="52">
        <f>Q102</f>
        <v>2744</v>
      </c>
      <c r="R101" s="333">
        <f t="shared" si="20"/>
        <v>0</v>
      </c>
      <c r="S101" s="32"/>
      <c r="T101" s="32"/>
      <c r="U101" s="32"/>
    </row>
    <row r="102" spans="2:21" s="51" customFormat="1" ht="70.5" customHeight="1" x14ac:dyDescent="0.2">
      <c r="B102" s="174" t="s">
        <v>560</v>
      </c>
      <c r="C102" s="53" t="s">
        <v>669</v>
      </c>
      <c r="D102" s="53" t="s">
        <v>45</v>
      </c>
      <c r="E102" s="53" t="s">
        <v>46</v>
      </c>
      <c r="F102" s="54" t="s">
        <v>559</v>
      </c>
      <c r="G102" s="53"/>
      <c r="H102" s="52">
        <f>H103+H104</f>
        <v>2744</v>
      </c>
      <c r="I102" s="52">
        <f>I103+I104</f>
        <v>2744</v>
      </c>
      <c r="J102" s="300">
        <f t="shared" si="18"/>
        <v>0</v>
      </c>
      <c r="K102" s="52">
        <f>K103+K104</f>
        <v>2744</v>
      </c>
      <c r="L102" s="52">
        <f>L103+L104</f>
        <v>2744</v>
      </c>
      <c r="M102" s="300">
        <f t="shared" si="17"/>
        <v>0</v>
      </c>
      <c r="N102" s="52">
        <f>N103+N104</f>
        <v>2744</v>
      </c>
      <c r="O102" s="300">
        <f t="shared" si="19"/>
        <v>0</v>
      </c>
      <c r="P102" s="52">
        <f>P103+P104</f>
        <v>2744</v>
      </c>
      <c r="Q102" s="52">
        <f>Q103+Q104</f>
        <v>2744</v>
      </c>
      <c r="R102" s="333">
        <f t="shared" si="20"/>
        <v>0</v>
      </c>
      <c r="S102" s="32"/>
      <c r="T102" s="32"/>
      <c r="U102" s="32"/>
    </row>
    <row r="103" spans="2:21" s="51" customFormat="1" ht="14.25" customHeight="1" x14ac:dyDescent="0.2">
      <c r="B103" s="85" t="s">
        <v>145</v>
      </c>
      <c r="C103" s="53" t="s">
        <v>669</v>
      </c>
      <c r="D103" s="53" t="s">
        <v>45</v>
      </c>
      <c r="E103" s="53" t="s">
        <v>46</v>
      </c>
      <c r="F103" s="54" t="s">
        <v>559</v>
      </c>
      <c r="G103" s="53" t="s">
        <v>144</v>
      </c>
      <c r="H103" s="52">
        <v>2360.4</v>
      </c>
      <c r="I103" s="52">
        <v>2360.4</v>
      </c>
      <c r="J103" s="300">
        <f t="shared" si="18"/>
        <v>0</v>
      </c>
      <c r="K103" s="52">
        <v>2360.4</v>
      </c>
      <c r="L103" s="52">
        <v>2360.4</v>
      </c>
      <c r="M103" s="300">
        <f t="shared" si="17"/>
        <v>0</v>
      </c>
      <c r="N103" s="52">
        <v>2360.4</v>
      </c>
      <c r="O103" s="300">
        <f t="shared" si="19"/>
        <v>0</v>
      </c>
      <c r="P103" s="52">
        <v>2360.4</v>
      </c>
      <c r="Q103" s="52">
        <v>2360.4</v>
      </c>
      <c r="R103" s="333">
        <f t="shared" si="20"/>
        <v>0</v>
      </c>
      <c r="S103" s="32"/>
      <c r="T103" s="32"/>
      <c r="U103" s="32"/>
    </row>
    <row r="104" spans="2:21" s="51" customFormat="1" ht="29.25" customHeight="1" x14ac:dyDescent="0.2">
      <c r="B104" s="56" t="s">
        <v>73</v>
      </c>
      <c r="C104" s="53" t="s">
        <v>669</v>
      </c>
      <c r="D104" s="53" t="s">
        <v>45</v>
      </c>
      <c r="E104" s="53" t="s">
        <v>46</v>
      </c>
      <c r="F104" s="54" t="s">
        <v>559</v>
      </c>
      <c r="G104" s="53" t="s">
        <v>70</v>
      </c>
      <c r="H104" s="52">
        <v>383.6</v>
      </c>
      <c r="I104" s="52">
        <v>383.6</v>
      </c>
      <c r="J104" s="300">
        <f t="shared" si="18"/>
        <v>0</v>
      </c>
      <c r="K104" s="52">
        <v>383.6</v>
      </c>
      <c r="L104" s="52">
        <v>383.6</v>
      </c>
      <c r="M104" s="300">
        <f t="shared" si="17"/>
        <v>0</v>
      </c>
      <c r="N104" s="52">
        <v>383.6</v>
      </c>
      <c r="O104" s="300">
        <f t="shared" si="19"/>
        <v>0</v>
      </c>
      <c r="P104" s="52">
        <v>383.6</v>
      </c>
      <c r="Q104" s="52">
        <v>383.6</v>
      </c>
      <c r="R104" s="333">
        <f t="shared" si="20"/>
        <v>0</v>
      </c>
      <c r="S104" s="32"/>
      <c r="T104" s="32"/>
      <c r="U104" s="32"/>
    </row>
    <row r="105" spans="2:21" s="51" customFormat="1" ht="27" customHeight="1" x14ac:dyDescent="0.2">
      <c r="B105" s="139" t="s">
        <v>533</v>
      </c>
      <c r="C105" s="53" t="s">
        <v>669</v>
      </c>
      <c r="D105" s="53" t="s">
        <v>45</v>
      </c>
      <c r="E105" s="53" t="s">
        <v>46</v>
      </c>
      <c r="F105" s="54" t="s">
        <v>532</v>
      </c>
      <c r="G105" s="78"/>
      <c r="H105" s="52">
        <f>H106+H108</f>
        <v>147</v>
      </c>
      <c r="I105" s="52">
        <f>I106+I108</f>
        <v>147</v>
      </c>
      <c r="J105" s="300">
        <f t="shared" si="18"/>
        <v>0</v>
      </c>
      <c r="K105" s="52">
        <f>K106+K108</f>
        <v>147</v>
      </c>
      <c r="L105" s="52">
        <f>L106+L108</f>
        <v>147</v>
      </c>
      <c r="M105" s="300">
        <f t="shared" si="17"/>
        <v>0</v>
      </c>
      <c r="N105" s="52">
        <f>N106+N108</f>
        <v>147</v>
      </c>
      <c r="O105" s="300">
        <f t="shared" si="19"/>
        <v>0</v>
      </c>
      <c r="P105" s="52">
        <f>P106+P108</f>
        <v>147</v>
      </c>
      <c r="Q105" s="52">
        <f>Q106+Q108</f>
        <v>147</v>
      </c>
      <c r="R105" s="333">
        <f t="shared" si="20"/>
        <v>0</v>
      </c>
      <c r="S105" s="32"/>
      <c r="T105" s="32"/>
      <c r="U105" s="32"/>
    </row>
    <row r="106" spans="2:21" s="51" customFormat="1" ht="15.75" customHeight="1" x14ac:dyDescent="0.2">
      <c r="B106" s="85" t="s">
        <v>558</v>
      </c>
      <c r="C106" s="53" t="s">
        <v>669</v>
      </c>
      <c r="D106" s="53" t="s">
        <v>45</v>
      </c>
      <c r="E106" s="53" t="s">
        <v>46</v>
      </c>
      <c r="F106" s="53" t="s">
        <v>557</v>
      </c>
      <c r="G106" s="78"/>
      <c r="H106" s="52">
        <f>H107</f>
        <v>138</v>
      </c>
      <c r="I106" s="52">
        <f>I107</f>
        <v>138</v>
      </c>
      <c r="J106" s="300">
        <f t="shared" si="18"/>
        <v>0</v>
      </c>
      <c r="K106" s="52">
        <f>K107</f>
        <v>138</v>
      </c>
      <c r="L106" s="52">
        <f>L107</f>
        <v>138</v>
      </c>
      <c r="M106" s="300">
        <f t="shared" si="17"/>
        <v>0</v>
      </c>
      <c r="N106" s="52">
        <f>N107</f>
        <v>138</v>
      </c>
      <c r="O106" s="300">
        <f t="shared" si="19"/>
        <v>0</v>
      </c>
      <c r="P106" s="52">
        <f>P107</f>
        <v>138</v>
      </c>
      <c r="Q106" s="52">
        <f>Q107</f>
        <v>138</v>
      </c>
      <c r="R106" s="333">
        <f t="shared" si="20"/>
        <v>0</v>
      </c>
      <c r="S106" s="32"/>
      <c r="T106" s="32"/>
      <c r="U106" s="32"/>
    </row>
    <row r="107" spans="2:21" s="51" customFormat="1" ht="14.25" customHeight="1" x14ac:dyDescent="0.2">
      <c r="B107" s="56" t="s">
        <v>413</v>
      </c>
      <c r="C107" s="53" t="s">
        <v>669</v>
      </c>
      <c r="D107" s="53" t="s">
        <v>45</v>
      </c>
      <c r="E107" s="53" t="s">
        <v>46</v>
      </c>
      <c r="F107" s="53" t="s">
        <v>557</v>
      </c>
      <c r="G107" s="78" t="s">
        <v>320</v>
      </c>
      <c r="H107" s="52">
        <v>138</v>
      </c>
      <c r="I107" s="52">
        <v>138</v>
      </c>
      <c r="J107" s="300">
        <f t="shared" si="18"/>
        <v>0</v>
      </c>
      <c r="K107" s="52">
        <v>138</v>
      </c>
      <c r="L107" s="52">
        <v>138</v>
      </c>
      <c r="M107" s="300">
        <f t="shared" si="17"/>
        <v>0</v>
      </c>
      <c r="N107" s="52">
        <v>138</v>
      </c>
      <c r="O107" s="300">
        <f t="shared" si="19"/>
        <v>0</v>
      </c>
      <c r="P107" s="52">
        <v>138</v>
      </c>
      <c r="Q107" s="52">
        <v>138</v>
      </c>
      <c r="R107" s="333">
        <f t="shared" si="20"/>
        <v>0</v>
      </c>
      <c r="S107" s="32"/>
      <c r="T107" s="32"/>
      <c r="U107" s="32"/>
    </row>
    <row r="108" spans="2:21" s="51" customFormat="1" ht="18" customHeight="1" x14ac:dyDescent="0.2">
      <c r="B108" s="56" t="s">
        <v>556</v>
      </c>
      <c r="C108" s="53" t="s">
        <v>669</v>
      </c>
      <c r="D108" s="53" t="s">
        <v>45</v>
      </c>
      <c r="E108" s="53" t="s">
        <v>46</v>
      </c>
      <c r="F108" s="53" t="s">
        <v>555</v>
      </c>
      <c r="G108" s="78"/>
      <c r="H108" s="52">
        <f>H109</f>
        <v>9</v>
      </c>
      <c r="I108" s="52">
        <f>I109</f>
        <v>9</v>
      </c>
      <c r="J108" s="300">
        <f t="shared" si="18"/>
        <v>0</v>
      </c>
      <c r="K108" s="52">
        <f>K109</f>
        <v>9</v>
      </c>
      <c r="L108" s="52">
        <f>L109</f>
        <v>9</v>
      </c>
      <c r="M108" s="300">
        <f t="shared" si="17"/>
        <v>0</v>
      </c>
      <c r="N108" s="52">
        <f>N109</f>
        <v>9</v>
      </c>
      <c r="O108" s="300">
        <f t="shared" si="19"/>
        <v>0</v>
      </c>
      <c r="P108" s="52">
        <f>P109</f>
        <v>9</v>
      </c>
      <c r="Q108" s="52">
        <f>Q109</f>
        <v>9</v>
      </c>
      <c r="R108" s="333">
        <f t="shared" si="20"/>
        <v>0</v>
      </c>
      <c r="S108" s="32"/>
      <c r="T108" s="32"/>
      <c r="U108" s="32"/>
    </row>
    <row r="109" spans="2:21" s="51" customFormat="1" ht="15.75" customHeight="1" x14ac:dyDescent="0.2">
      <c r="B109" s="56" t="s">
        <v>413</v>
      </c>
      <c r="C109" s="53" t="s">
        <v>669</v>
      </c>
      <c r="D109" s="53" t="s">
        <v>45</v>
      </c>
      <c r="E109" s="53" t="s">
        <v>46</v>
      </c>
      <c r="F109" s="53" t="s">
        <v>555</v>
      </c>
      <c r="G109" s="78" t="s">
        <v>320</v>
      </c>
      <c r="H109" s="52">
        <v>9</v>
      </c>
      <c r="I109" s="52">
        <v>9</v>
      </c>
      <c r="J109" s="300">
        <f t="shared" si="18"/>
        <v>0</v>
      </c>
      <c r="K109" s="52">
        <v>9</v>
      </c>
      <c r="L109" s="52">
        <v>9</v>
      </c>
      <c r="M109" s="300">
        <f t="shared" si="17"/>
        <v>0</v>
      </c>
      <c r="N109" s="52">
        <v>9</v>
      </c>
      <c r="O109" s="300">
        <f t="shared" si="19"/>
        <v>0</v>
      </c>
      <c r="P109" s="52">
        <v>9</v>
      </c>
      <c r="Q109" s="52">
        <v>9</v>
      </c>
      <c r="R109" s="333">
        <f t="shared" si="20"/>
        <v>0</v>
      </c>
      <c r="S109" s="32"/>
      <c r="T109" s="32"/>
      <c r="U109" s="32"/>
    </row>
    <row r="110" spans="2:21" s="51" customFormat="1" ht="27.75" customHeight="1" x14ac:dyDescent="0.2">
      <c r="B110" s="62" t="s">
        <v>554</v>
      </c>
      <c r="C110" s="53" t="s">
        <v>669</v>
      </c>
      <c r="D110" s="53" t="s">
        <v>45</v>
      </c>
      <c r="E110" s="53" t="s">
        <v>46</v>
      </c>
      <c r="F110" s="54" t="s">
        <v>553</v>
      </c>
      <c r="G110" s="60"/>
      <c r="H110" s="52">
        <f t="shared" ref="H110:Q111" si="29">H111</f>
        <v>140.4</v>
      </c>
      <c r="I110" s="52">
        <f t="shared" si="29"/>
        <v>140.4</v>
      </c>
      <c r="J110" s="300">
        <f t="shared" si="18"/>
        <v>0</v>
      </c>
      <c r="K110" s="52">
        <f t="shared" si="29"/>
        <v>140.4</v>
      </c>
      <c r="L110" s="52">
        <f t="shared" si="29"/>
        <v>140.4</v>
      </c>
      <c r="M110" s="300">
        <f t="shared" si="17"/>
        <v>0</v>
      </c>
      <c r="N110" s="52">
        <f t="shared" si="29"/>
        <v>140.4</v>
      </c>
      <c r="O110" s="300">
        <f t="shared" si="19"/>
        <v>0</v>
      </c>
      <c r="P110" s="52">
        <f t="shared" si="29"/>
        <v>140.4</v>
      </c>
      <c r="Q110" s="52">
        <f t="shared" si="29"/>
        <v>140.4</v>
      </c>
      <c r="R110" s="333">
        <f t="shared" si="20"/>
        <v>0</v>
      </c>
      <c r="S110" s="32"/>
      <c r="T110" s="32"/>
      <c r="U110" s="32"/>
    </row>
    <row r="111" spans="2:21" s="51" customFormat="1" ht="16.5" customHeight="1" x14ac:dyDescent="0.2">
      <c r="B111" s="81" t="s">
        <v>552</v>
      </c>
      <c r="C111" s="53" t="s">
        <v>669</v>
      </c>
      <c r="D111" s="53" t="s">
        <v>45</v>
      </c>
      <c r="E111" s="53" t="s">
        <v>46</v>
      </c>
      <c r="F111" s="54" t="s">
        <v>551</v>
      </c>
      <c r="G111" s="60"/>
      <c r="H111" s="52">
        <f t="shared" si="29"/>
        <v>140.4</v>
      </c>
      <c r="I111" s="52">
        <f t="shared" si="29"/>
        <v>140.4</v>
      </c>
      <c r="J111" s="300">
        <f t="shared" si="18"/>
        <v>0</v>
      </c>
      <c r="K111" s="52">
        <f t="shared" si="29"/>
        <v>140.4</v>
      </c>
      <c r="L111" s="52">
        <f t="shared" si="29"/>
        <v>140.4</v>
      </c>
      <c r="M111" s="300">
        <f t="shared" si="17"/>
        <v>0</v>
      </c>
      <c r="N111" s="52">
        <f t="shared" si="29"/>
        <v>140.4</v>
      </c>
      <c r="O111" s="300">
        <f t="shared" si="19"/>
        <v>0</v>
      </c>
      <c r="P111" s="52">
        <f t="shared" si="29"/>
        <v>140.4</v>
      </c>
      <c r="Q111" s="52">
        <f t="shared" si="29"/>
        <v>140.4</v>
      </c>
      <c r="R111" s="333">
        <f t="shared" si="20"/>
        <v>0</v>
      </c>
      <c r="S111" s="32"/>
      <c r="T111" s="32"/>
      <c r="U111" s="32"/>
    </row>
    <row r="112" spans="2:21" s="51" customFormat="1" ht="29.25" customHeight="1" x14ac:dyDescent="0.2">
      <c r="B112" s="81" t="s">
        <v>73</v>
      </c>
      <c r="C112" s="53" t="s">
        <v>669</v>
      </c>
      <c r="D112" s="53" t="s">
        <v>45</v>
      </c>
      <c r="E112" s="53" t="s">
        <v>46</v>
      </c>
      <c r="F112" s="54" t="s">
        <v>551</v>
      </c>
      <c r="G112" s="60" t="s">
        <v>70</v>
      </c>
      <c r="H112" s="52">
        <v>140.4</v>
      </c>
      <c r="I112" s="52">
        <v>140.4</v>
      </c>
      <c r="J112" s="300">
        <f t="shared" si="18"/>
        <v>0</v>
      </c>
      <c r="K112" s="52">
        <v>140.4</v>
      </c>
      <c r="L112" s="52">
        <v>140.4</v>
      </c>
      <c r="M112" s="300">
        <f t="shared" si="17"/>
        <v>0</v>
      </c>
      <c r="N112" s="52">
        <v>140.4</v>
      </c>
      <c r="O112" s="300">
        <f t="shared" si="19"/>
        <v>0</v>
      </c>
      <c r="P112" s="52">
        <v>140.4</v>
      </c>
      <c r="Q112" s="52">
        <v>140.4</v>
      </c>
      <c r="R112" s="333">
        <f t="shared" si="20"/>
        <v>0</v>
      </c>
      <c r="S112" s="32"/>
      <c r="T112" s="32"/>
      <c r="U112" s="32"/>
    </row>
    <row r="113" spans="2:21" s="51" customFormat="1" ht="40.5" customHeight="1" x14ac:dyDescent="0.2">
      <c r="B113" s="56" t="s">
        <v>68</v>
      </c>
      <c r="C113" s="53" t="s">
        <v>669</v>
      </c>
      <c r="D113" s="53" t="s">
        <v>45</v>
      </c>
      <c r="E113" s="53" t="s">
        <v>46</v>
      </c>
      <c r="F113" s="54" t="s">
        <v>67</v>
      </c>
      <c r="G113" s="53"/>
      <c r="H113" s="52">
        <f>H114+H120</f>
        <v>240</v>
      </c>
      <c r="I113" s="52">
        <f>I114+I120</f>
        <v>240</v>
      </c>
      <c r="J113" s="300">
        <f t="shared" si="18"/>
        <v>0</v>
      </c>
      <c r="K113" s="52">
        <f>K114+K120</f>
        <v>840</v>
      </c>
      <c r="L113" s="52">
        <f>L114+L120</f>
        <v>240</v>
      </c>
      <c r="M113" s="300">
        <f t="shared" si="17"/>
        <v>0</v>
      </c>
      <c r="N113" s="52">
        <f>N114+N120</f>
        <v>840</v>
      </c>
      <c r="O113" s="300">
        <f t="shared" si="19"/>
        <v>0</v>
      </c>
      <c r="P113" s="52">
        <f>P114+P120</f>
        <v>840</v>
      </c>
      <c r="Q113" s="52">
        <f>Q114+Q120</f>
        <v>840</v>
      </c>
      <c r="R113" s="333">
        <f t="shared" si="20"/>
        <v>0</v>
      </c>
      <c r="S113" s="32"/>
      <c r="T113" s="32"/>
      <c r="U113" s="32"/>
    </row>
    <row r="114" spans="2:21" s="51" customFormat="1" ht="17.25" hidden="1" customHeight="1" x14ac:dyDescent="0.2">
      <c r="B114" s="62" t="s">
        <v>66</v>
      </c>
      <c r="C114" s="53" t="s">
        <v>669</v>
      </c>
      <c r="D114" s="53" t="s">
        <v>45</v>
      </c>
      <c r="E114" s="53" t="s">
        <v>46</v>
      </c>
      <c r="F114" s="54" t="s">
        <v>65</v>
      </c>
      <c r="G114" s="60"/>
      <c r="H114" s="52">
        <f t="shared" ref="H114:Q115" si="30">H115</f>
        <v>0</v>
      </c>
      <c r="I114" s="52">
        <f t="shared" si="30"/>
        <v>0</v>
      </c>
      <c r="J114" s="300">
        <f t="shared" si="18"/>
        <v>0</v>
      </c>
      <c r="K114" s="52">
        <f t="shared" si="30"/>
        <v>0</v>
      </c>
      <c r="L114" s="52">
        <f t="shared" si="30"/>
        <v>0</v>
      </c>
      <c r="M114" s="300">
        <f t="shared" si="17"/>
        <v>0</v>
      </c>
      <c r="N114" s="52">
        <f t="shared" si="30"/>
        <v>0</v>
      </c>
      <c r="O114" s="300">
        <f t="shared" si="19"/>
        <v>0</v>
      </c>
      <c r="P114" s="52">
        <f t="shared" si="30"/>
        <v>0</v>
      </c>
      <c r="Q114" s="52">
        <f t="shared" si="30"/>
        <v>0</v>
      </c>
      <c r="R114" s="333">
        <f t="shared" si="20"/>
        <v>0</v>
      </c>
      <c r="S114" s="32"/>
      <c r="T114" s="32"/>
      <c r="U114" s="32"/>
    </row>
    <row r="115" spans="2:21" s="51" customFormat="1" ht="27" hidden="1" customHeight="1" x14ac:dyDescent="0.2">
      <c r="B115" s="62" t="s">
        <v>550</v>
      </c>
      <c r="C115" s="53" t="s">
        <v>669</v>
      </c>
      <c r="D115" s="53" t="s">
        <v>45</v>
      </c>
      <c r="E115" s="53" t="s">
        <v>46</v>
      </c>
      <c r="F115" s="54" t="s">
        <v>549</v>
      </c>
      <c r="G115" s="60"/>
      <c r="H115" s="52">
        <f t="shared" si="30"/>
        <v>0</v>
      </c>
      <c r="I115" s="52">
        <f t="shared" si="30"/>
        <v>0</v>
      </c>
      <c r="J115" s="300">
        <f t="shared" si="18"/>
        <v>0</v>
      </c>
      <c r="K115" s="52">
        <f t="shared" si="30"/>
        <v>0</v>
      </c>
      <c r="L115" s="52">
        <f t="shared" si="30"/>
        <v>0</v>
      </c>
      <c r="M115" s="300">
        <f t="shared" si="17"/>
        <v>0</v>
      </c>
      <c r="N115" s="52">
        <f t="shared" si="30"/>
        <v>0</v>
      </c>
      <c r="O115" s="300">
        <f t="shared" si="19"/>
        <v>0</v>
      </c>
      <c r="P115" s="52">
        <f t="shared" si="30"/>
        <v>0</v>
      </c>
      <c r="Q115" s="52">
        <f t="shared" si="30"/>
        <v>0</v>
      </c>
      <c r="R115" s="333">
        <f t="shared" si="20"/>
        <v>0</v>
      </c>
      <c r="S115" s="32"/>
      <c r="T115" s="32"/>
      <c r="U115" s="32"/>
    </row>
    <row r="116" spans="2:21" s="51" customFormat="1" ht="27" hidden="1" customHeight="1" x14ac:dyDescent="0.2">
      <c r="B116" s="62" t="s">
        <v>546</v>
      </c>
      <c r="C116" s="53" t="s">
        <v>669</v>
      </c>
      <c r="D116" s="53" t="s">
        <v>45</v>
      </c>
      <c r="E116" s="53" t="s">
        <v>46</v>
      </c>
      <c r="F116" s="54" t="s">
        <v>1093</v>
      </c>
      <c r="G116" s="60"/>
      <c r="H116" s="52">
        <f>H117+H118+H119</f>
        <v>0</v>
      </c>
      <c r="I116" s="52">
        <f>I117+I118+I119</f>
        <v>0</v>
      </c>
      <c r="J116" s="300">
        <f t="shared" si="18"/>
        <v>0</v>
      </c>
      <c r="K116" s="52">
        <f>K117+K118+K119</f>
        <v>0</v>
      </c>
      <c r="L116" s="52">
        <f>L117+L118+L119</f>
        <v>0</v>
      </c>
      <c r="M116" s="300">
        <f t="shared" si="17"/>
        <v>0</v>
      </c>
      <c r="N116" s="52">
        <f>N117+N118+N119</f>
        <v>0</v>
      </c>
      <c r="O116" s="300">
        <f t="shared" si="19"/>
        <v>0</v>
      </c>
      <c r="P116" s="52">
        <f>P117+P118+P119</f>
        <v>0</v>
      </c>
      <c r="Q116" s="52">
        <f>Q117+Q118+Q119</f>
        <v>0</v>
      </c>
      <c r="R116" s="333">
        <f t="shared" si="20"/>
        <v>0</v>
      </c>
      <c r="S116" s="32"/>
      <c r="T116" s="32"/>
      <c r="U116" s="32"/>
    </row>
    <row r="117" spans="2:21" s="51" customFormat="1" ht="27" hidden="1" customHeight="1" x14ac:dyDescent="0.2">
      <c r="B117" s="56" t="s">
        <v>73</v>
      </c>
      <c r="C117" s="53" t="s">
        <v>669</v>
      </c>
      <c r="D117" s="53" t="s">
        <v>45</v>
      </c>
      <c r="E117" s="53" t="s">
        <v>46</v>
      </c>
      <c r="F117" s="54" t="s">
        <v>1093</v>
      </c>
      <c r="G117" s="60" t="s">
        <v>70</v>
      </c>
      <c r="H117" s="52"/>
      <c r="I117" s="52"/>
      <c r="J117" s="300">
        <f t="shared" si="18"/>
        <v>0</v>
      </c>
      <c r="K117" s="52"/>
      <c r="L117" s="52"/>
      <c r="M117" s="300">
        <f t="shared" si="17"/>
        <v>0</v>
      </c>
      <c r="N117" s="52"/>
      <c r="O117" s="300">
        <f t="shared" si="19"/>
        <v>0</v>
      </c>
      <c r="P117" s="52"/>
      <c r="Q117" s="52"/>
      <c r="R117" s="333">
        <f t="shared" si="20"/>
        <v>0</v>
      </c>
      <c r="S117" s="32"/>
      <c r="T117" s="32"/>
      <c r="U117" s="32"/>
    </row>
    <row r="118" spans="2:21" s="51" customFormat="1" ht="14.25" hidden="1" customHeight="1" x14ac:dyDescent="0.2">
      <c r="B118" s="64" t="s">
        <v>82</v>
      </c>
      <c r="C118" s="53" t="s">
        <v>669</v>
      </c>
      <c r="D118" s="53" t="s">
        <v>45</v>
      </c>
      <c r="E118" s="53" t="s">
        <v>46</v>
      </c>
      <c r="F118" s="54" t="s">
        <v>1093</v>
      </c>
      <c r="G118" s="60" t="s">
        <v>81</v>
      </c>
      <c r="H118" s="52"/>
      <c r="I118" s="52"/>
      <c r="J118" s="300">
        <f t="shared" si="18"/>
        <v>0</v>
      </c>
      <c r="K118" s="52"/>
      <c r="L118" s="52"/>
      <c r="M118" s="300">
        <f t="shared" si="17"/>
        <v>0</v>
      </c>
      <c r="N118" s="52"/>
      <c r="O118" s="300">
        <f t="shared" si="19"/>
        <v>0</v>
      </c>
      <c r="P118" s="52"/>
      <c r="Q118" s="52"/>
      <c r="R118" s="333">
        <f t="shared" si="20"/>
        <v>0</v>
      </c>
      <c r="S118" s="32"/>
      <c r="T118" s="32"/>
      <c r="U118" s="32"/>
    </row>
    <row r="119" spans="2:21" s="51" customFormat="1" ht="18" hidden="1" customHeight="1" x14ac:dyDescent="0.2">
      <c r="B119" s="61" t="s">
        <v>61</v>
      </c>
      <c r="C119" s="53" t="s">
        <v>669</v>
      </c>
      <c r="D119" s="53" t="s">
        <v>45</v>
      </c>
      <c r="E119" s="53" t="s">
        <v>46</v>
      </c>
      <c r="F119" s="54" t="s">
        <v>1093</v>
      </c>
      <c r="G119" s="60" t="s">
        <v>57</v>
      </c>
      <c r="H119" s="52"/>
      <c r="I119" s="52"/>
      <c r="J119" s="300">
        <f t="shared" si="18"/>
        <v>0</v>
      </c>
      <c r="K119" s="52"/>
      <c r="L119" s="52"/>
      <c r="M119" s="300">
        <f t="shared" si="17"/>
        <v>0</v>
      </c>
      <c r="N119" s="52"/>
      <c r="O119" s="300">
        <f t="shared" si="19"/>
        <v>0</v>
      </c>
      <c r="P119" s="52"/>
      <c r="Q119" s="52"/>
      <c r="R119" s="333">
        <f t="shared" si="20"/>
        <v>0</v>
      </c>
      <c r="S119" s="32"/>
      <c r="T119" s="32"/>
      <c r="U119" s="32"/>
    </row>
    <row r="120" spans="2:21" s="51" customFormat="1" ht="17.25" customHeight="1" x14ac:dyDescent="0.2">
      <c r="B120" s="62" t="s">
        <v>52</v>
      </c>
      <c r="C120" s="53" t="s">
        <v>669</v>
      </c>
      <c r="D120" s="53" t="s">
        <v>45</v>
      </c>
      <c r="E120" s="53" t="s">
        <v>46</v>
      </c>
      <c r="F120" s="54" t="s">
        <v>92</v>
      </c>
      <c r="G120" s="53"/>
      <c r="H120" s="52">
        <f>H121+H124</f>
        <v>240</v>
      </c>
      <c r="I120" s="52">
        <f>I121+I124</f>
        <v>240</v>
      </c>
      <c r="J120" s="300">
        <f t="shared" si="18"/>
        <v>0</v>
      </c>
      <c r="K120" s="52">
        <f>K121+K124</f>
        <v>840</v>
      </c>
      <c r="L120" s="52">
        <f>L121+L124</f>
        <v>240</v>
      </c>
      <c r="M120" s="300">
        <f t="shared" si="17"/>
        <v>0</v>
      </c>
      <c r="N120" s="52">
        <f>N121+N124</f>
        <v>840</v>
      </c>
      <c r="O120" s="300">
        <f t="shared" si="19"/>
        <v>0</v>
      </c>
      <c r="P120" s="52">
        <f>P121+P124</f>
        <v>840</v>
      </c>
      <c r="Q120" s="52">
        <f>Q121+Q124</f>
        <v>840</v>
      </c>
      <c r="R120" s="333">
        <f t="shared" si="20"/>
        <v>0</v>
      </c>
      <c r="S120" s="32"/>
      <c r="T120" s="32"/>
      <c r="U120" s="32"/>
    </row>
    <row r="121" spans="2:21" s="51" customFormat="1" ht="26.25" hidden="1" customHeight="1" x14ac:dyDescent="0.2">
      <c r="B121" s="62" t="s">
        <v>180</v>
      </c>
      <c r="C121" s="53" t="s">
        <v>669</v>
      </c>
      <c r="D121" s="53" t="s">
        <v>45</v>
      </c>
      <c r="E121" s="53" t="s">
        <v>46</v>
      </c>
      <c r="F121" s="54" t="s">
        <v>179</v>
      </c>
      <c r="G121" s="53"/>
      <c r="H121" s="52">
        <f t="shared" ref="H121:Q122" si="31">H122</f>
        <v>0</v>
      </c>
      <c r="I121" s="52">
        <f t="shared" si="31"/>
        <v>0</v>
      </c>
      <c r="J121" s="300">
        <f t="shared" si="18"/>
        <v>0</v>
      </c>
      <c r="K121" s="52">
        <f t="shared" si="31"/>
        <v>0</v>
      </c>
      <c r="L121" s="52">
        <f t="shared" si="31"/>
        <v>0</v>
      </c>
      <c r="M121" s="300">
        <f t="shared" si="17"/>
        <v>0</v>
      </c>
      <c r="N121" s="52">
        <f t="shared" si="31"/>
        <v>0</v>
      </c>
      <c r="O121" s="300">
        <f t="shared" si="19"/>
        <v>0</v>
      </c>
      <c r="P121" s="52">
        <f t="shared" si="31"/>
        <v>0</v>
      </c>
      <c r="Q121" s="52">
        <f t="shared" si="31"/>
        <v>0</v>
      </c>
      <c r="R121" s="333">
        <f t="shared" si="20"/>
        <v>0</v>
      </c>
      <c r="S121" s="32"/>
      <c r="T121" s="32"/>
      <c r="U121" s="32"/>
    </row>
    <row r="122" spans="2:21" s="51" customFormat="1" ht="15" hidden="1" customHeight="1" x14ac:dyDescent="0.2">
      <c r="B122" s="64" t="s">
        <v>178</v>
      </c>
      <c r="C122" s="53" t="s">
        <v>669</v>
      </c>
      <c r="D122" s="53" t="s">
        <v>45</v>
      </c>
      <c r="E122" s="53" t="s">
        <v>46</v>
      </c>
      <c r="F122" s="54" t="s">
        <v>177</v>
      </c>
      <c r="G122" s="53"/>
      <c r="H122" s="52">
        <f t="shared" si="31"/>
        <v>0</v>
      </c>
      <c r="I122" s="52">
        <f t="shared" si="31"/>
        <v>0</v>
      </c>
      <c r="J122" s="300">
        <f t="shared" si="18"/>
        <v>0</v>
      </c>
      <c r="K122" s="52">
        <f t="shared" si="31"/>
        <v>0</v>
      </c>
      <c r="L122" s="52">
        <f t="shared" si="31"/>
        <v>0</v>
      </c>
      <c r="M122" s="300">
        <f t="shared" si="17"/>
        <v>0</v>
      </c>
      <c r="N122" s="52">
        <f t="shared" si="31"/>
        <v>0</v>
      </c>
      <c r="O122" s="300">
        <f t="shared" si="19"/>
        <v>0</v>
      </c>
      <c r="P122" s="52">
        <f t="shared" si="31"/>
        <v>0</v>
      </c>
      <c r="Q122" s="52">
        <f t="shared" si="31"/>
        <v>0</v>
      </c>
      <c r="R122" s="333">
        <f t="shared" si="20"/>
        <v>0</v>
      </c>
      <c r="S122" s="32"/>
      <c r="T122" s="32"/>
      <c r="U122" s="32"/>
    </row>
    <row r="123" spans="2:21" s="51" customFormat="1" ht="27" hidden="1" customHeight="1" x14ac:dyDescent="0.2">
      <c r="B123" s="56" t="s">
        <v>73</v>
      </c>
      <c r="C123" s="53" t="s">
        <v>669</v>
      </c>
      <c r="D123" s="53" t="s">
        <v>45</v>
      </c>
      <c r="E123" s="53" t="s">
        <v>46</v>
      </c>
      <c r="F123" s="54" t="s">
        <v>177</v>
      </c>
      <c r="G123" s="53" t="s">
        <v>70</v>
      </c>
      <c r="H123" s="52">
        <v>0</v>
      </c>
      <c r="I123" s="52">
        <v>0</v>
      </c>
      <c r="J123" s="300">
        <f t="shared" si="18"/>
        <v>0</v>
      </c>
      <c r="K123" s="52">
        <v>0</v>
      </c>
      <c r="L123" s="52">
        <v>0</v>
      </c>
      <c r="M123" s="300">
        <f t="shared" si="17"/>
        <v>0</v>
      </c>
      <c r="N123" s="52">
        <v>0</v>
      </c>
      <c r="O123" s="300">
        <f t="shared" si="19"/>
        <v>0</v>
      </c>
      <c r="P123" s="52">
        <v>0</v>
      </c>
      <c r="Q123" s="52">
        <v>0</v>
      </c>
      <c r="R123" s="333">
        <f t="shared" si="20"/>
        <v>0</v>
      </c>
      <c r="S123" s="32"/>
      <c r="T123" s="32"/>
      <c r="U123" s="32"/>
    </row>
    <row r="124" spans="2:21" s="51" customFormat="1" ht="27" customHeight="1" x14ac:dyDescent="0.2">
      <c r="B124" s="62" t="s">
        <v>548</v>
      </c>
      <c r="C124" s="53" t="s">
        <v>669</v>
      </c>
      <c r="D124" s="53" t="s">
        <v>45</v>
      </c>
      <c r="E124" s="53" t="s">
        <v>46</v>
      </c>
      <c r="F124" s="54" t="s">
        <v>547</v>
      </c>
      <c r="G124" s="60"/>
      <c r="H124" s="52">
        <f>H125</f>
        <v>240</v>
      </c>
      <c r="I124" s="52">
        <f>I125</f>
        <v>240</v>
      </c>
      <c r="J124" s="300">
        <f t="shared" si="18"/>
        <v>0</v>
      </c>
      <c r="K124" s="52">
        <f>K125</f>
        <v>840</v>
      </c>
      <c r="L124" s="52">
        <f>L125</f>
        <v>240</v>
      </c>
      <c r="M124" s="300">
        <f t="shared" si="17"/>
        <v>0</v>
      </c>
      <c r="N124" s="52">
        <f>N125</f>
        <v>840</v>
      </c>
      <c r="O124" s="300">
        <f t="shared" si="19"/>
        <v>0</v>
      </c>
      <c r="P124" s="52">
        <f>P125</f>
        <v>840</v>
      </c>
      <c r="Q124" s="52">
        <f>Q125</f>
        <v>840</v>
      </c>
      <c r="R124" s="333">
        <f t="shared" si="20"/>
        <v>0</v>
      </c>
      <c r="S124" s="32"/>
      <c r="T124" s="32"/>
      <c r="U124" s="32"/>
    </row>
    <row r="125" spans="2:21" s="51" customFormat="1" ht="19.5" customHeight="1" x14ac:dyDescent="0.2">
      <c r="B125" s="62" t="s">
        <v>546</v>
      </c>
      <c r="C125" s="53" t="s">
        <v>669</v>
      </c>
      <c r="D125" s="53" t="s">
        <v>45</v>
      </c>
      <c r="E125" s="53" t="s">
        <v>46</v>
      </c>
      <c r="F125" s="54" t="s">
        <v>545</v>
      </c>
      <c r="G125" s="60"/>
      <c r="H125" s="52">
        <f>H126+H127</f>
        <v>240</v>
      </c>
      <c r="I125" s="52">
        <f>I126+I127</f>
        <v>240</v>
      </c>
      <c r="J125" s="300">
        <f t="shared" si="18"/>
        <v>0</v>
      </c>
      <c r="K125" s="52">
        <f>K126+K127</f>
        <v>840</v>
      </c>
      <c r="L125" s="52">
        <f>L126+L127</f>
        <v>240</v>
      </c>
      <c r="M125" s="300">
        <f t="shared" si="17"/>
        <v>0</v>
      </c>
      <c r="N125" s="52">
        <f>N126+N127</f>
        <v>840</v>
      </c>
      <c r="O125" s="300">
        <f t="shared" si="19"/>
        <v>0</v>
      </c>
      <c r="P125" s="52">
        <f>P126+P127</f>
        <v>840</v>
      </c>
      <c r="Q125" s="52">
        <f>Q126+Q127</f>
        <v>840</v>
      </c>
      <c r="R125" s="333">
        <f t="shared" si="20"/>
        <v>0</v>
      </c>
      <c r="S125" s="32"/>
      <c r="T125" s="32"/>
      <c r="U125" s="32"/>
    </row>
    <row r="126" spans="2:21" s="51" customFormat="1" ht="13.5" customHeight="1" x14ac:dyDescent="0.2">
      <c r="B126" s="64" t="s">
        <v>82</v>
      </c>
      <c r="C126" s="53" t="s">
        <v>669</v>
      </c>
      <c r="D126" s="53" t="s">
        <v>45</v>
      </c>
      <c r="E126" s="53" t="s">
        <v>46</v>
      </c>
      <c r="F126" s="54" t="s">
        <v>545</v>
      </c>
      <c r="G126" s="60" t="s">
        <v>81</v>
      </c>
      <c r="H126" s="52">
        <f>340-200</f>
        <v>140</v>
      </c>
      <c r="I126" s="52">
        <f>340-200</f>
        <v>140</v>
      </c>
      <c r="J126" s="300">
        <f t="shared" si="18"/>
        <v>0</v>
      </c>
      <c r="K126" s="52">
        <v>340</v>
      </c>
      <c r="L126" s="52">
        <f>340-200</f>
        <v>140</v>
      </c>
      <c r="M126" s="300">
        <f t="shared" si="17"/>
        <v>0</v>
      </c>
      <c r="N126" s="52">
        <v>340</v>
      </c>
      <c r="O126" s="300">
        <f t="shared" si="19"/>
        <v>0</v>
      </c>
      <c r="P126" s="65">
        <v>340</v>
      </c>
      <c r="Q126" s="65">
        <v>340</v>
      </c>
      <c r="R126" s="333">
        <f t="shared" si="20"/>
        <v>0</v>
      </c>
      <c r="S126" s="32"/>
      <c r="T126" s="32"/>
      <c r="U126" s="32"/>
    </row>
    <row r="127" spans="2:21" s="51" customFormat="1" ht="16.5" customHeight="1" x14ac:dyDescent="0.2">
      <c r="B127" s="61" t="s">
        <v>61</v>
      </c>
      <c r="C127" s="53" t="s">
        <v>669</v>
      </c>
      <c r="D127" s="53" t="s">
        <v>45</v>
      </c>
      <c r="E127" s="53" t="s">
        <v>46</v>
      </c>
      <c r="F127" s="54" t="s">
        <v>545</v>
      </c>
      <c r="G127" s="60" t="s">
        <v>57</v>
      </c>
      <c r="H127" s="52">
        <f>500-500+100</f>
        <v>100</v>
      </c>
      <c r="I127" s="52">
        <f>500-500+100</f>
        <v>100</v>
      </c>
      <c r="J127" s="300">
        <f t="shared" si="18"/>
        <v>0</v>
      </c>
      <c r="K127" s="52">
        <v>500</v>
      </c>
      <c r="L127" s="52">
        <f>500-500+100</f>
        <v>100</v>
      </c>
      <c r="M127" s="300">
        <f t="shared" si="17"/>
        <v>0</v>
      </c>
      <c r="N127" s="52">
        <v>500</v>
      </c>
      <c r="O127" s="300">
        <f t="shared" si="19"/>
        <v>0</v>
      </c>
      <c r="P127" s="65">
        <v>500</v>
      </c>
      <c r="Q127" s="65">
        <v>500</v>
      </c>
      <c r="R127" s="333">
        <f t="shared" si="20"/>
        <v>0</v>
      </c>
      <c r="S127" s="32"/>
      <c r="T127" s="32"/>
      <c r="U127" s="32"/>
    </row>
    <row r="128" spans="2:21" s="51" customFormat="1" ht="27.75" customHeight="1" x14ac:dyDescent="0.2">
      <c r="B128" s="56" t="s">
        <v>453</v>
      </c>
      <c r="C128" s="53" t="s">
        <v>669</v>
      </c>
      <c r="D128" s="53" t="s">
        <v>45</v>
      </c>
      <c r="E128" s="53" t="s">
        <v>46</v>
      </c>
      <c r="F128" s="54" t="s">
        <v>452</v>
      </c>
      <c r="G128" s="53"/>
      <c r="H128" s="52">
        <f t="shared" ref="H128:Q131" si="32">H129</f>
        <v>30</v>
      </c>
      <c r="I128" s="52">
        <f t="shared" si="32"/>
        <v>30</v>
      </c>
      <c r="J128" s="300">
        <f t="shared" si="18"/>
        <v>0</v>
      </c>
      <c r="K128" s="52">
        <f t="shared" si="32"/>
        <v>30</v>
      </c>
      <c r="L128" s="52">
        <f t="shared" si="32"/>
        <v>30</v>
      </c>
      <c r="M128" s="300">
        <f t="shared" si="17"/>
        <v>0</v>
      </c>
      <c r="N128" s="52">
        <f t="shared" si="32"/>
        <v>30</v>
      </c>
      <c r="O128" s="300">
        <f t="shared" si="19"/>
        <v>0</v>
      </c>
      <c r="P128" s="52">
        <f t="shared" si="32"/>
        <v>30</v>
      </c>
      <c r="Q128" s="52">
        <f t="shared" si="32"/>
        <v>30</v>
      </c>
      <c r="R128" s="333">
        <f t="shared" si="20"/>
        <v>0</v>
      </c>
      <c r="S128" s="32"/>
      <c r="T128" s="32"/>
      <c r="U128" s="32"/>
    </row>
    <row r="129" spans="2:21" s="51" customFormat="1" ht="15.75" customHeight="1" x14ac:dyDescent="0.2">
      <c r="B129" s="56" t="s">
        <v>52</v>
      </c>
      <c r="C129" s="53" t="s">
        <v>669</v>
      </c>
      <c r="D129" s="53" t="s">
        <v>45</v>
      </c>
      <c r="E129" s="53" t="s">
        <v>46</v>
      </c>
      <c r="F129" s="54" t="s">
        <v>451</v>
      </c>
      <c r="G129" s="53"/>
      <c r="H129" s="52">
        <f t="shared" si="32"/>
        <v>30</v>
      </c>
      <c r="I129" s="52">
        <f t="shared" si="32"/>
        <v>30</v>
      </c>
      <c r="J129" s="300">
        <f t="shared" si="18"/>
        <v>0</v>
      </c>
      <c r="K129" s="52">
        <f t="shared" si="32"/>
        <v>30</v>
      </c>
      <c r="L129" s="52">
        <f t="shared" si="32"/>
        <v>30</v>
      </c>
      <c r="M129" s="300">
        <f t="shared" si="17"/>
        <v>0</v>
      </c>
      <c r="N129" s="52">
        <f t="shared" si="32"/>
        <v>30</v>
      </c>
      <c r="O129" s="300">
        <f t="shared" si="19"/>
        <v>0</v>
      </c>
      <c r="P129" s="52">
        <f t="shared" si="32"/>
        <v>30</v>
      </c>
      <c r="Q129" s="52">
        <f t="shared" si="32"/>
        <v>30</v>
      </c>
      <c r="R129" s="333">
        <f t="shared" si="20"/>
        <v>0</v>
      </c>
      <c r="S129" s="32"/>
      <c r="T129" s="32"/>
      <c r="U129" s="32"/>
    </row>
    <row r="130" spans="2:21" s="51" customFormat="1" ht="30" customHeight="1" x14ac:dyDescent="0.2">
      <c r="B130" s="56" t="s">
        <v>450</v>
      </c>
      <c r="C130" s="53" t="s">
        <v>669</v>
      </c>
      <c r="D130" s="53" t="s">
        <v>45</v>
      </c>
      <c r="E130" s="53" t="s">
        <v>46</v>
      </c>
      <c r="F130" s="54" t="s">
        <v>449</v>
      </c>
      <c r="G130" s="53"/>
      <c r="H130" s="52">
        <f t="shared" si="32"/>
        <v>30</v>
      </c>
      <c r="I130" s="52">
        <f t="shared" si="32"/>
        <v>30</v>
      </c>
      <c r="J130" s="300">
        <f t="shared" si="18"/>
        <v>0</v>
      </c>
      <c r="K130" s="52">
        <f t="shared" si="32"/>
        <v>30</v>
      </c>
      <c r="L130" s="52">
        <f t="shared" si="32"/>
        <v>30</v>
      </c>
      <c r="M130" s="300">
        <f t="shared" si="17"/>
        <v>0</v>
      </c>
      <c r="N130" s="52">
        <f t="shared" si="32"/>
        <v>30</v>
      </c>
      <c r="O130" s="300">
        <f t="shared" si="19"/>
        <v>0</v>
      </c>
      <c r="P130" s="52">
        <f t="shared" si="32"/>
        <v>30</v>
      </c>
      <c r="Q130" s="52">
        <f t="shared" si="32"/>
        <v>30</v>
      </c>
      <c r="R130" s="333">
        <f t="shared" si="20"/>
        <v>0</v>
      </c>
      <c r="S130" s="32"/>
      <c r="T130" s="32"/>
      <c r="U130" s="32"/>
    </row>
    <row r="131" spans="2:21" s="51" customFormat="1" ht="55.5" customHeight="1" x14ac:dyDescent="0.2">
      <c r="B131" s="56" t="s">
        <v>491</v>
      </c>
      <c r="C131" s="53" t="s">
        <v>669</v>
      </c>
      <c r="D131" s="53" t="s">
        <v>45</v>
      </c>
      <c r="E131" s="53" t="s">
        <v>46</v>
      </c>
      <c r="F131" s="54" t="s">
        <v>488</v>
      </c>
      <c r="G131" s="53"/>
      <c r="H131" s="52">
        <f>H132</f>
        <v>30</v>
      </c>
      <c r="I131" s="52">
        <f>I132</f>
        <v>30</v>
      </c>
      <c r="J131" s="300">
        <f t="shared" si="18"/>
        <v>0</v>
      </c>
      <c r="K131" s="52">
        <f t="shared" si="32"/>
        <v>30</v>
      </c>
      <c r="L131" s="52">
        <f>L132</f>
        <v>30</v>
      </c>
      <c r="M131" s="300">
        <f t="shared" si="17"/>
        <v>0</v>
      </c>
      <c r="N131" s="52">
        <f t="shared" si="32"/>
        <v>30</v>
      </c>
      <c r="O131" s="300">
        <f t="shared" si="19"/>
        <v>0</v>
      </c>
      <c r="P131" s="52">
        <f t="shared" si="32"/>
        <v>30</v>
      </c>
      <c r="Q131" s="52">
        <f t="shared" si="32"/>
        <v>30</v>
      </c>
      <c r="R131" s="333">
        <f t="shared" si="20"/>
        <v>0</v>
      </c>
      <c r="S131" s="32"/>
      <c r="T131" s="32"/>
      <c r="U131" s="32"/>
    </row>
    <row r="132" spans="2:21" s="51" customFormat="1" ht="24.75" customHeight="1" x14ac:dyDescent="0.2">
      <c r="B132" s="56" t="s">
        <v>73</v>
      </c>
      <c r="C132" s="53" t="s">
        <v>669</v>
      </c>
      <c r="D132" s="53" t="s">
        <v>45</v>
      </c>
      <c r="E132" s="53" t="s">
        <v>46</v>
      </c>
      <c r="F132" s="54" t="s">
        <v>488</v>
      </c>
      <c r="G132" s="60" t="s">
        <v>70</v>
      </c>
      <c r="H132" s="52">
        <f>10+20</f>
        <v>30</v>
      </c>
      <c r="I132" s="52">
        <f>10+20</f>
        <v>30</v>
      </c>
      <c r="J132" s="300">
        <f t="shared" si="18"/>
        <v>0</v>
      </c>
      <c r="K132" s="52">
        <f>10+20</f>
        <v>30</v>
      </c>
      <c r="L132" s="52">
        <f>10+20</f>
        <v>30</v>
      </c>
      <c r="M132" s="300">
        <f t="shared" si="17"/>
        <v>0</v>
      </c>
      <c r="N132" s="52">
        <f>10+20</f>
        <v>30</v>
      </c>
      <c r="O132" s="300">
        <f t="shared" si="19"/>
        <v>0</v>
      </c>
      <c r="P132" s="52">
        <f>10+20</f>
        <v>30</v>
      </c>
      <c r="Q132" s="52">
        <f>10+20</f>
        <v>30</v>
      </c>
      <c r="R132" s="333">
        <f t="shared" si="20"/>
        <v>0</v>
      </c>
      <c r="S132" s="32"/>
      <c r="T132" s="32"/>
      <c r="U132" s="32"/>
    </row>
    <row r="133" spans="2:21" s="51" customFormat="1" ht="17.25" hidden="1" customHeight="1" x14ac:dyDescent="0.2">
      <c r="B133" s="59" t="s">
        <v>538</v>
      </c>
      <c r="C133" s="48" t="s">
        <v>669</v>
      </c>
      <c r="D133" s="48" t="s">
        <v>72</v>
      </c>
      <c r="E133" s="48"/>
      <c r="F133" s="54"/>
      <c r="G133" s="53"/>
      <c r="H133" s="44">
        <f t="shared" ref="H133:Q138" si="33">H134</f>
        <v>0</v>
      </c>
      <c r="I133" s="44">
        <f t="shared" si="33"/>
        <v>0</v>
      </c>
      <c r="J133" s="300">
        <f t="shared" si="18"/>
        <v>0</v>
      </c>
      <c r="K133" s="44">
        <f t="shared" si="33"/>
        <v>0</v>
      </c>
      <c r="L133" s="44">
        <f t="shared" si="33"/>
        <v>0</v>
      </c>
      <c r="M133" s="300">
        <f t="shared" si="17"/>
        <v>0</v>
      </c>
      <c r="N133" s="44">
        <f t="shared" si="33"/>
        <v>0</v>
      </c>
      <c r="O133" s="300">
        <f t="shared" si="19"/>
        <v>0</v>
      </c>
      <c r="P133" s="44">
        <f t="shared" si="33"/>
        <v>0</v>
      </c>
      <c r="Q133" s="44">
        <f t="shared" si="33"/>
        <v>0</v>
      </c>
      <c r="R133" s="333">
        <f t="shared" si="20"/>
        <v>0</v>
      </c>
      <c r="S133" s="32"/>
      <c r="T133" s="32"/>
      <c r="U133" s="32"/>
    </row>
    <row r="134" spans="2:21" s="51" customFormat="1" ht="19.5" hidden="1" customHeight="1" x14ac:dyDescent="0.2">
      <c r="B134" s="59" t="s">
        <v>537</v>
      </c>
      <c r="C134" s="48" t="s">
        <v>669</v>
      </c>
      <c r="D134" s="48" t="s">
        <v>72</v>
      </c>
      <c r="E134" s="48" t="s">
        <v>111</v>
      </c>
      <c r="F134" s="54"/>
      <c r="G134" s="53"/>
      <c r="H134" s="52">
        <f t="shared" si="33"/>
        <v>0</v>
      </c>
      <c r="I134" s="52">
        <f t="shared" si="33"/>
        <v>0</v>
      </c>
      <c r="J134" s="300">
        <f t="shared" si="18"/>
        <v>0</v>
      </c>
      <c r="K134" s="52">
        <f t="shared" si="33"/>
        <v>0</v>
      </c>
      <c r="L134" s="52">
        <f t="shared" si="33"/>
        <v>0</v>
      </c>
      <c r="M134" s="300">
        <f t="shared" si="17"/>
        <v>0</v>
      </c>
      <c r="N134" s="52">
        <f t="shared" si="33"/>
        <v>0</v>
      </c>
      <c r="O134" s="300">
        <f t="shared" si="19"/>
        <v>0</v>
      </c>
      <c r="P134" s="52">
        <f t="shared" si="33"/>
        <v>0</v>
      </c>
      <c r="Q134" s="52">
        <f t="shared" si="33"/>
        <v>0</v>
      </c>
      <c r="R134" s="333">
        <f t="shared" si="20"/>
        <v>0</v>
      </c>
      <c r="S134" s="32"/>
      <c r="T134" s="32"/>
      <c r="U134" s="32"/>
    </row>
    <row r="135" spans="2:21" s="51" customFormat="1" ht="27" hidden="1" customHeight="1" x14ac:dyDescent="0.2">
      <c r="B135" s="56" t="s">
        <v>536</v>
      </c>
      <c r="C135" s="55" t="s">
        <v>669</v>
      </c>
      <c r="D135" s="55" t="s">
        <v>72</v>
      </c>
      <c r="E135" s="55" t="s">
        <v>111</v>
      </c>
      <c r="F135" s="55" t="s">
        <v>535</v>
      </c>
      <c r="G135" s="53"/>
      <c r="H135" s="52">
        <f t="shared" si="33"/>
        <v>0</v>
      </c>
      <c r="I135" s="52">
        <f t="shared" si="33"/>
        <v>0</v>
      </c>
      <c r="J135" s="300">
        <f t="shared" si="18"/>
        <v>0</v>
      </c>
      <c r="K135" s="52">
        <f t="shared" si="33"/>
        <v>0</v>
      </c>
      <c r="L135" s="52">
        <f t="shared" si="33"/>
        <v>0</v>
      </c>
      <c r="M135" s="300">
        <f t="shared" si="17"/>
        <v>0</v>
      </c>
      <c r="N135" s="52">
        <f t="shared" si="33"/>
        <v>0</v>
      </c>
      <c r="O135" s="300">
        <f t="shared" si="19"/>
        <v>0</v>
      </c>
      <c r="P135" s="52">
        <f t="shared" si="33"/>
        <v>0</v>
      </c>
      <c r="Q135" s="52">
        <f t="shared" si="33"/>
        <v>0</v>
      </c>
      <c r="R135" s="333">
        <f t="shared" si="20"/>
        <v>0</v>
      </c>
      <c r="S135" s="32"/>
      <c r="T135" s="32"/>
      <c r="U135" s="32"/>
    </row>
    <row r="136" spans="2:21" s="51" customFormat="1" ht="17.25" hidden="1" customHeight="1" x14ac:dyDescent="0.2">
      <c r="B136" s="77" t="s">
        <v>52</v>
      </c>
      <c r="C136" s="55" t="s">
        <v>669</v>
      </c>
      <c r="D136" s="55" t="s">
        <v>72</v>
      </c>
      <c r="E136" s="55" t="s">
        <v>111</v>
      </c>
      <c r="F136" s="128" t="s">
        <v>534</v>
      </c>
      <c r="G136" s="53"/>
      <c r="H136" s="52">
        <f t="shared" si="33"/>
        <v>0</v>
      </c>
      <c r="I136" s="52">
        <f t="shared" si="33"/>
        <v>0</v>
      </c>
      <c r="J136" s="300">
        <f t="shared" si="18"/>
        <v>0</v>
      </c>
      <c r="K136" s="52">
        <f t="shared" si="33"/>
        <v>0</v>
      </c>
      <c r="L136" s="52">
        <f t="shared" si="33"/>
        <v>0</v>
      </c>
      <c r="M136" s="300">
        <f t="shared" si="17"/>
        <v>0</v>
      </c>
      <c r="N136" s="52">
        <f t="shared" si="33"/>
        <v>0</v>
      </c>
      <c r="O136" s="300">
        <f t="shared" si="19"/>
        <v>0</v>
      </c>
      <c r="P136" s="52">
        <f t="shared" si="33"/>
        <v>0</v>
      </c>
      <c r="Q136" s="52">
        <f t="shared" si="33"/>
        <v>0</v>
      </c>
      <c r="R136" s="333">
        <f t="shared" si="20"/>
        <v>0</v>
      </c>
      <c r="S136" s="32"/>
      <c r="T136" s="32"/>
      <c r="U136" s="32"/>
    </row>
    <row r="137" spans="2:21" s="51" customFormat="1" ht="27.75" hidden="1" customHeight="1" x14ac:dyDescent="0.2">
      <c r="B137" s="139" t="s">
        <v>533</v>
      </c>
      <c r="C137" s="55" t="s">
        <v>669</v>
      </c>
      <c r="D137" s="55" t="s">
        <v>72</v>
      </c>
      <c r="E137" s="55" t="s">
        <v>111</v>
      </c>
      <c r="F137" s="128" t="s">
        <v>532</v>
      </c>
      <c r="G137" s="53"/>
      <c r="H137" s="52">
        <f t="shared" si="33"/>
        <v>0</v>
      </c>
      <c r="I137" s="52">
        <f t="shared" si="33"/>
        <v>0</v>
      </c>
      <c r="J137" s="300">
        <f t="shared" si="18"/>
        <v>0</v>
      </c>
      <c r="K137" s="52">
        <f t="shared" si="33"/>
        <v>0</v>
      </c>
      <c r="L137" s="52">
        <f t="shared" si="33"/>
        <v>0</v>
      </c>
      <c r="M137" s="300">
        <f t="shared" si="17"/>
        <v>0</v>
      </c>
      <c r="N137" s="52">
        <f t="shared" si="33"/>
        <v>0</v>
      </c>
      <c r="O137" s="300">
        <f t="shared" si="19"/>
        <v>0</v>
      </c>
      <c r="P137" s="52">
        <f t="shared" si="33"/>
        <v>0</v>
      </c>
      <c r="Q137" s="52">
        <f t="shared" si="33"/>
        <v>0</v>
      </c>
      <c r="R137" s="333">
        <f t="shared" si="20"/>
        <v>0</v>
      </c>
      <c r="S137" s="32"/>
      <c r="T137" s="32"/>
      <c r="U137" s="32"/>
    </row>
    <row r="138" spans="2:21" s="51" customFormat="1" ht="25.5" hidden="1" customHeight="1" x14ac:dyDescent="0.2">
      <c r="B138" s="56" t="s">
        <v>531</v>
      </c>
      <c r="C138" s="53" t="s">
        <v>669</v>
      </c>
      <c r="D138" s="53" t="s">
        <v>72</v>
      </c>
      <c r="E138" s="53" t="s">
        <v>111</v>
      </c>
      <c r="F138" s="54" t="s">
        <v>530</v>
      </c>
      <c r="G138" s="53"/>
      <c r="H138" s="52">
        <f t="shared" si="33"/>
        <v>0</v>
      </c>
      <c r="I138" s="52">
        <f t="shared" si="33"/>
        <v>0</v>
      </c>
      <c r="J138" s="300">
        <f t="shared" si="18"/>
        <v>0</v>
      </c>
      <c r="K138" s="52">
        <f t="shared" si="33"/>
        <v>0</v>
      </c>
      <c r="L138" s="52">
        <f t="shared" si="33"/>
        <v>0</v>
      </c>
      <c r="M138" s="300">
        <f t="shared" si="17"/>
        <v>0</v>
      </c>
      <c r="N138" s="52">
        <f t="shared" si="33"/>
        <v>0</v>
      </c>
      <c r="O138" s="300">
        <f t="shared" si="19"/>
        <v>0</v>
      </c>
      <c r="P138" s="52">
        <f t="shared" si="33"/>
        <v>0</v>
      </c>
      <c r="Q138" s="52">
        <f t="shared" si="33"/>
        <v>0</v>
      </c>
      <c r="R138" s="333">
        <f t="shared" si="20"/>
        <v>0</v>
      </c>
      <c r="S138" s="32"/>
      <c r="T138" s="32"/>
      <c r="U138" s="32"/>
    </row>
    <row r="139" spans="2:21" s="51" customFormat="1" ht="25.5" hidden="1" customHeight="1" x14ac:dyDescent="0.2">
      <c r="B139" s="56" t="s">
        <v>84</v>
      </c>
      <c r="C139" s="53" t="s">
        <v>669</v>
      </c>
      <c r="D139" s="53" t="s">
        <v>72</v>
      </c>
      <c r="E139" s="53" t="s">
        <v>111</v>
      </c>
      <c r="F139" s="54" t="s">
        <v>530</v>
      </c>
      <c r="G139" s="53" t="s">
        <v>83</v>
      </c>
      <c r="H139" s="52"/>
      <c r="I139" s="52"/>
      <c r="J139" s="300">
        <f t="shared" si="18"/>
        <v>0</v>
      </c>
      <c r="K139" s="52"/>
      <c r="L139" s="52"/>
      <c r="M139" s="300">
        <f t="shared" si="17"/>
        <v>0</v>
      </c>
      <c r="N139" s="52"/>
      <c r="O139" s="300">
        <f t="shared" si="19"/>
        <v>0</v>
      </c>
      <c r="P139" s="52"/>
      <c r="Q139" s="52"/>
      <c r="R139" s="333">
        <f t="shared" si="20"/>
        <v>0</v>
      </c>
      <c r="S139" s="32"/>
      <c r="T139" s="32"/>
      <c r="U139" s="32"/>
    </row>
    <row r="140" spans="2:21" s="43" customFormat="1" ht="17.25" customHeight="1" x14ac:dyDescent="0.2">
      <c r="B140" s="175" t="s">
        <v>674</v>
      </c>
      <c r="C140" s="48" t="s">
        <v>669</v>
      </c>
      <c r="D140" s="48" t="s">
        <v>111</v>
      </c>
      <c r="E140" s="48"/>
      <c r="F140" s="48"/>
      <c r="G140" s="48"/>
      <c r="H140" s="44">
        <f>H141+H159</f>
        <v>7478.0000000000009</v>
      </c>
      <c r="I140" s="44">
        <f>I141+I159</f>
        <v>7478.0000000000009</v>
      </c>
      <c r="J140" s="300">
        <f t="shared" si="18"/>
        <v>0</v>
      </c>
      <c r="K140" s="44">
        <f>K141+K159</f>
        <v>5540.9000000000005</v>
      </c>
      <c r="L140" s="44">
        <f>L141+L159</f>
        <v>7478.0000000000009</v>
      </c>
      <c r="M140" s="300">
        <f t="shared" ref="M140:M203" si="34">L140-I140</f>
        <v>0</v>
      </c>
      <c r="N140" s="44">
        <f>N141+N159</f>
        <v>5540.9000000000005</v>
      </c>
      <c r="O140" s="300">
        <f t="shared" si="19"/>
        <v>0</v>
      </c>
      <c r="P140" s="44">
        <f>P141+P159</f>
        <v>18340.900000000001</v>
      </c>
      <c r="Q140" s="44">
        <f>Q141+Q159</f>
        <v>18340.900000000001</v>
      </c>
      <c r="R140" s="333">
        <f t="shared" si="20"/>
        <v>0</v>
      </c>
    </row>
    <row r="141" spans="2:21" s="43" customFormat="1" ht="15.75" customHeight="1" x14ac:dyDescent="0.2">
      <c r="B141" s="105" t="s">
        <v>528</v>
      </c>
      <c r="C141" s="48" t="s">
        <v>669</v>
      </c>
      <c r="D141" s="48" t="s">
        <v>111</v>
      </c>
      <c r="E141" s="48" t="s">
        <v>160</v>
      </c>
      <c r="F141" s="48"/>
      <c r="G141" s="48"/>
      <c r="H141" s="52">
        <f t="shared" ref="H141:Q142" si="35">H142</f>
        <v>5750.7000000000007</v>
      </c>
      <c r="I141" s="52">
        <f t="shared" si="35"/>
        <v>5750.7000000000007</v>
      </c>
      <c r="J141" s="300">
        <f t="shared" si="18"/>
        <v>0</v>
      </c>
      <c r="K141" s="52">
        <f t="shared" si="35"/>
        <v>5170.7000000000007</v>
      </c>
      <c r="L141" s="52">
        <f t="shared" si="35"/>
        <v>5750.7000000000007</v>
      </c>
      <c r="M141" s="300">
        <f t="shared" si="34"/>
        <v>0</v>
      </c>
      <c r="N141" s="52">
        <f t="shared" si="35"/>
        <v>5170.7000000000007</v>
      </c>
      <c r="O141" s="300">
        <f t="shared" si="19"/>
        <v>0</v>
      </c>
      <c r="P141" s="52">
        <f t="shared" si="35"/>
        <v>5670.7000000000007</v>
      </c>
      <c r="Q141" s="52">
        <f t="shared" si="35"/>
        <v>5670.7000000000007</v>
      </c>
      <c r="R141" s="333">
        <f t="shared" si="20"/>
        <v>0</v>
      </c>
    </row>
    <row r="142" spans="2:21" s="51" customFormat="1" ht="32.25" customHeight="1" x14ac:dyDescent="0.2">
      <c r="B142" s="56" t="s">
        <v>453</v>
      </c>
      <c r="C142" s="53" t="s">
        <v>669</v>
      </c>
      <c r="D142" s="53" t="s">
        <v>111</v>
      </c>
      <c r="E142" s="53" t="s">
        <v>160</v>
      </c>
      <c r="F142" s="54" t="s">
        <v>452</v>
      </c>
      <c r="G142" s="53"/>
      <c r="H142" s="52">
        <f t="shared" si="35"/>
        <v>5750.7000000000007</v>
      </c>
      <c r="I142" s="52">
        <f t="shared" si="35"/>
        <v>5750.7000000000007</v>
      </c>
      <c r="J142" s="300">
        <f t="shared" si="18"/>
        <v>0</v>
      </c>
      <c r="K142" s="52">
        <f t="shared" si="35"/>
        <v>5170.7000000000007</v>
      </c>
      <c r="L142" s="52">
        <f t="shared" si="35"/>
        <v>5750.7000000000007</v>
      </c>
      <c r="M142" s="300">
        <f t="shared" si="34"/>
        <v>0</v>
      </c>
      <c r="N142" s="52">
        <f t="shared" si="35"/>
        <v>5170.7000000000007</v>
      </c>
      <c r="O142" s="300">
        <f t="shared" si="19"/>
        <v>0</v>
      </c>
      <c r="P142" s="52">
        <f t="shared" si="35"/>
        <v>5670.7000000000007</v>
      </c>
      <c r="Q142" s="52">
        <f t="shared" si="35"/>
        <v>5670.7000000000007</v>
      </c>
      <c r="R142" s="333">
        <f t="shared" si="20"/>
        <v>0</v>
      </c>
      <c r="S142" s="32"/>
      <c r="T142" s="32"/>
      <c r="U142" s="32"/>
    </row>
    <row r="143" spans="2:21" s="51" customFormat="1" ht="16.5" customHeight="1" x14ac:dyDescent="0.2">
      <c r="B143" s="77" t="s">
        <v>52</v>
      </c>
      <c r="C143" s="53" t="s">
        <v>669</v>
      </c>
      <c r="D143" s="53" t="s">
        <v>111</v>
      </c>
      <c r="E143" s="53" t="s">
        <v>160</v>
      </c>
      <c r="F143" s="54" t="s">
        <v>451</v>
      </c>
      <c r="G143" s="53"/>
      <c r="H143" s="52">
        <f>H144+H155</f>
        <v>5750.7000000000007</v>
      </c>
      <c r="I143" s="52">
        <f>I144+I155</f>
        <v>5750.7000000000007</v>
      </c>
      <c r="J143" s="300">
        <f t="shared" si="18"/>
        <v>0</v>
      </c>
      <c r="K143" s="52">
        <f>K144+K155</f>
        <v>5170.7000000000007</v>
      </c>
      <c r="L143" s="52">
        <f>L144+L155</f>
        <v>5750.7000000000007</v>
      </c>
      <c r="M143" s="300">
        <f t="shared" si="34"/>
        <v>0</v>
      </c>
      <c r="N143" s="52">
        <f>N144+N155</f>
        <v>5170.7000000000007</v>
      </c>
      <c r="O143" s="300">
        <f t="shared" si="19"/>
        <v>0</v>
      </c>
      <c r="P143" s="52">
        <f>P144+P155</f>
        <v>5670.7000000000007</v>
      </c>
      <c r="Q143" s="52">
        <f>Q144+Q155</f>
        <v>5670.7000000000007</v>
      </c>
      <c r="R143" s="333">
        <f t="shared" si="20"/>
        <v>0</v>
      </c>
      <c r="S143" s="32"/>
      <c r="T143" s="32"/>
      <c r="U143" s="32"/>
    </row>
    <row r="144" spans="2:21" s="51" customFormat="1" ht="29.25" customHeight="1" x14ac:dyDescent="0.2">
      <c r="B144" s="56" t="s">
        <v>450</v>
      </c>
      <c r="C144" s="53" t="s">
        <v>669</v>
      </c>
      <c r="D144" s="53" t="s">
        <v>111</v>
      </c>
      <c r="E144" s="53" t="s">
        <v>160</v>
      </c>
      <c r="F144" s="54" t="s">
        <v>449</v>
      </c>
      <c r="G144" s="53"/>
      <c r="H144" s="52">
        <f>H151+H149+H145+H147+H153</f>
        <v>1714.1</v>
      </c>
      <c r="I144" s="52">
        <f>I151+I149+I145+I147+I153</f>
        <v>1714.1</v>
      </c>
      <c r="J144" s="300">
        <f t="shared" ref="J144:J207" si="36">I144-H144</f>
        <v>0</v>
      </c>
      <c r="K144" s="52">
        <f>K151+K149+K145+K147+K153</f>
        <v>1144.0999999999999</v>
      </c>
      <c r="L144" s="52">
        <f>L151+L149+L145+L147+L153</f>
        <v>1714.1</v>
      </c>
      <c r="M144" s="300">
        <f t="shared" si="34"/>
        <v>0</v>
      </c>
      <c r="N144" s="52">
        <f>N151+N149+N145+N147+N153</f>
        <v>1144.0999999999999</v>
      </c>
      <c r="O144" s="300">
        <f t="shared" ref="O144:O207" si="37">N144-K144</f>
        <v>0</v>
      </c>
      <c r="P144" s="52">
        <f>P151+P149+P145+P147+P153</f>
        <v>1644.1</v>
      </c>
      <c r="Q144" s="52">
        <f>Q151+Q149+Q145+Q147+Q153</f>
        <v>1644.1</v>
      </c>
      <c r="R144" s="333">
        <f t="shared" ref="R144:R207" si="38">Q144-P144</f>
        <v>0</v>
      </c>
      <c r="S144" s="32"/>
      <c r="T144" s="32"/>
      <c r="U144" s="32"/>
    </row>
    <row r="145" spans="2:21" s="51" customFormat="1" ht="41.25" customHeight="1" x14ac:dyDescent="0.2">
      <c r="B145" s="84" t="s">
        <v>1094</v>
      </c>
      <c r="C145" s="53" t="s">
        <v>669</v>
      </c>
      <c r="D145" s="53" t="s">
        <v>111</v>
      </c>
      <c r="E145" s="53" t="s">
        <v>160</v>
      </c>
      <c r="F145" s="54" t="s">
        <v>527</v>
      </c>
      <c r="G145" s="60"/>
      <c r="H145" s="52">
        <f>H146</f>
        <v>140.30000000000001</v>
      </c>
      <c r="I145" s="52">
        <f>I146</f>
        <v>140.30000000000001</v>
      </c>
      <c r="J145" s="300">
        <f t="shared" si="36"/>
        <v>0</v>
      </c>
      <c r="K145" s="52">
        <f>K146</f>
        <v>140.30000000000001</v>
      </c>
      <c r="L145" s="52">
        <f>L146</f>
        <v>140.30000000000001</v>
      </c>
      <c r="M145" s="300">
        <f t="shared" si="34"/>
        <v>0</v>
      </c>
      <c r="N145" s="52">
        <f>N146</f>
        <v>140.30000000000001</v>
      </c>
      <c r="O145" s="300">
        <f t="shared" si="37"/>
        <v>0</v>
      </c>
      <c r="P145" s="52">
        <f>P146</f>
        <v>140.30000000000001</v>
      </c>
      <c r="Q145" s="52">
        <f>Q146</f>
        <v>140.30000000000001</v>
      </c>
      <c r="R145" s="333">
        <f t="shared" si="38"/>
        <v>0</v>
      </c>
      <c r="S145" s="32"/>
      <c r="T145" s="32"/>
      <c r="U145" s="32"/>
    </row>
    <row r="146" spans="2:21" s="51" customFormat="1" ht="29.25" customHeight="1" x14ac:dyDescent="0.2">
      <c r="B146" s="56" t="s">
        <v>73</v>
      </c>
      <c r="C146" s="53" t="s">
        <v>669</v>
      </c>
      <c r="D146" s="53" t="s">
        <v>111</v>
      </c>
      <c r="E146" s="53" t="s">
        <v>160</v>
      </c>
      <c r="F146" s="54" t="s">
        <v>527</v>
      </c>
      <c r="G146" s="60" t="s">
        <v>70</v>
      </c>
      <c r="H146" s="52">
        <v>140.30000000000001</v>
      </c>
      <c r="I146" s="52">
        <v>140.30000000000001</v>
      </c>
      <c r="J146" s="300">
        <f t="shared" si="36"/>
        <v>0</v>
      </c>
      <c r="K146" s="52">
        <v>140.30000000000001</v>
      </c>
      <c r="L146" s="52">
        <v>140.30000000000001</v>
      </c>
      <c r="M146" s="300">
        <f t="shared" si="34"/>
        <v>0</v>
      </c>
      <c r="N146" s="52">
        <v>140.30000000000001</v>
      </c>
      <c r="O146" s="300">
        <f t="shared" si="37"/>
        <v>0</v>
      </c>
      <c r="P146" s="52">
        <v>140.30000000000001</v>
      </c>
      <c r="Q146" s="52">
        <v>140.30000000000001</v>
      </c>
      <c r="R146" s="333">
        <f t="shared" si="38"/>
        <v>0</v>
      </c>
      <c r="S146" s="32"/>
      <c r="T146" s="32"/>
      <c r="U146" s="32"/>
    </row>
    <row r="147" spans="2:21" s="51" customFormat="1" ht="17.25" customHeight="1" x14ac:dyDescent="0.2">
      <c r="B147" s="56" t="s">
        <v>526</v>
      </c>
      <c r="C147" s="53" t="s">
        <v>669</v>
      </c>
      <c r="D147" s="53" t="s">
        <v>111</v>
      </c>
      <c r="E147" s="53" t="s">
        <v>160</v>
      </c>
      <c r="F147" s="54" t="s">
        <v>525</v>
      </c>
      <c r="G147" s="60"/>
      <c r="H147" s="52">
        <f>H148</f>
        <v>883.8</v>
      </c>
      <c r="I147" s="52">
        <f>I148</f>
        <v>883.8</v>
      </c>
      <c r="J147" s="300">
        <f t="shared" si="36"/>
        <v>0</v>
      </c>
      <c r="K147" s="52">
        <f>K148</f>
        <v>883.8</v>
      </c>
      <c r="L147" s="52">
        <f>L148</f>
        <v>1037.5999999999999</v>
      </c>
      <c r="M147" s="300">
        <f t="shared" si="34"/>
        <v>153.79999999999995</v>
      </c>
      <c r="N147" s="52">
        <f>N148</f>
        <v>883.8</v>
      </c>
      <c r="O147" s="300">
        <f t="shared" si="37"/>
        <v>0</v>
      </c>
      <c r="P147" s="52">
        <f>P148</f>
        <v>883.8</v>
      </c>
      <c r="Q147" s="52">
        <f>Q148</f>
        <v>883.8</v>
      </c>
      <c r="R147" s="333">
        <f t="shared" si="38"/>
        <v>0</v>
      </c>
      <c r="S147" s="32"/>
      <c r="T147" s="32"/>
      <c r="U147" s="32"/>
    </row>
    <row r="148" spans="2:21" s="51" customFormat="1" ht="29.25" customHeight="1" x14ac:dyDescent="0.2">
      <c r="B148" s="56" t="s">
        <v>73</v>
      </c>
      <c r="C148" s="53" t="s">
        <v>669</v>
      </c>
      <c r="D148" s="53" t="s">
        <v>111</v>
      </c>
      <c r="E148" s="53" t="s">
        <v>160</v>
      </c>
      <c r="F148" s="54" t="s">
        <v>525</v>
      </c>
      <c r="G148" s="60" t="s">
        <v>70</v>
      </c>
      <c r="H148" s="52">
        <v>883.8</v>
      </c>
      <c r="I148" s="52">
        <v>883.8</v>
      </c>
      <c r="J148" s="300">
        <f t="shared" si="36"/>
        <v>0</v>
      </c>
      <c r="K148" s="52">
        <v>883.8</v>
      </c>
      <c r="L148" s="52">
        <f>883.8+153.8</f>
        <v>1037.5999999999999</v>
      </c>
      <c r="M148" s="300">
        <f t="shared" si="34"/>
        <v>153.79999999999995</v>
      </c>
      <c r="N148" s="52">
        <v>883.8</v>
      </c>
      <c r="O148" s="300">
        <f t="shared" si="37"/>
        <v>0</v>
      </c>
      <c r="P148" s="52">
        <v>883.8</v>
      </c>
      <c r="Q148" s="52">
        <v>883.8</v>
      </c>
      <c r="R148" s="333">
        <f t="shared" si="38"/>
        <v>0</v>
      </c>
      <c r="S148" s="32"/>
      <c r="T148" s="32"/>
      <c r="U148" s="32"/>
    </row>
    <row r="149" spans="2:21" s="51" customFormat="1" ht="42" customHeight="1" x14ac:dyDescent="0.2">
      <c r="B149" s="56" t="s">
        <v>524</v>
      </c>
      <c r="C149" s="53" t="s">
        <v>669</v>
      </c>
      <c r="D149" s="53" t="s">
        <v>111</v>
      </c>
      <c r="E149" s="53" t="s">
        <v>160</v>
      </c>
      <c r="F149" s="54" t="s">
        <v>523</v>
      </c>
      <c r="G149" s="60"/>
      <c r="H149" s="52">
        <f>H150</f>
        <v>500</v>
      </c>
      <c r="I149" s="52">
        <f>I150</f>
        <v>500</v>
      </c>
      <c r="J149" s="300">
        <f t="shared" si="36"/>
        <v>0</v>
      </c>
      <c r="K149" s="52">
        <f>K150</f>
        <v>0</v>
      </c>
      <c r="L149" s="52">
        <f>L150</f>
        <v>346.2</v>
      </c>
      <c r="M149" s="300">
        <f t="shared" si="34"/>
        <v>-153.80000000000001</v>
      </c>
      <c r="N149" s="52">
        <f>N150</f>
        <v>0</v>
      </c>
      <c r="O149" s="300">
        <f t="shared" si="37"/>
        <v>0</v>
      </c>
      <c r="P149" s="52">
        <f>P150</f>
        <v>500</v>
      </c>
      <c r="Q149" s="52">
        <f>Q150</f>
        <v>500</v>
      </c>
      <c r="R149" s="333">
        <f t="shared" si="38"/>
        <v>0</v>
      </c>
      <c r="S149" s="32"/>
      <c r="T149" s="32"/>
      <c r="U149" s="32"/>
    </row>
    <row r="150" spans="2:21" s="51" customFormat="1" ht="29.25" customHeight="1" x14ac:dyDescent="0.2">
      <c r="B150" s="56" t="s">
        <v>73</v>
      </c>
      <c r="C150" s="53" t="s">
        <v>669</v>
      </c>
      <c r="D150" s="53" t="s">
        <v>111</v>
      </c>
      <c r="E150" s="53" t="s">
        <v>160</v>
      </c>
      <c r="F150" s="54" t="s">
        <v>523</v>
      </c>
      <c r="G150" s="60" t="s">
        <v>70</v>
      </c>
      <c r="H150" s="52">
        <v>500</v>
      </c>
      <c r="I150" s="52">
        <v>500</v>
      </c>
      <c r="J150" s="300">
        <f t="shared" si="36"/>
        <v>0</v>
      </c>
      <c r="K150" s="52">
        <v>0</v>
      </c>
      <c r="L150" s="52">
        <f>500-153.8</f>
        <v>346.2</v>
      </c>
      <c r="M150" s="300">
        <f t="shared" si="34"/>
        <v>-153.80000000000001</v>
      </c>
      <c r="N150" s="52">
        <v>0</v>
      </c>
      <c r="O150" s="300">
        <f t="shared" si="37"/>
        <v>0</v>
      </c>
      <c r="P150" s="52">
        <v>500</v>
      </c>
      <c r="Q150" s="52">
        <v>500</v>
      </c>
      <c r="R150" s="333">
        <f t="shared" si="38"/>
        <v>0</v>
      </c>
      <c r="S150" s="32"/>
      <c r="T150" s="32"/>
      <c r="U150" s="32"/>
    </row>
    <row r="151" spans="2:21" s="51" customFormat="1" ht="51" customHeight="1" x14ac:dyDescent="0.2">
      <c r="B151" s="56" t="s">
        <v>491</v>
      </c>
      <c r="C151" s="53" t="s">
        <v>669</v>
      </c>
      <c r="D151" s="53" t="s">
        <v>111</v>
      </c>
      <c r="E151" s="53" t="s">
        <v>160</v>
      </c>
      <c r="F151" s="54" t="s">
        <v>488</v>
      </c>
      <c r="G151" s="53"/>
      <c r="H151" s="52">
        <f>H152</f>
        <v>90</v>
      </c>
      <c r="I151" s="52">
        <f>I152</f>
        <v>90</v>
      </c>
      <c r="J151" s="300">
        <f t="shared" si="36"/>
        <v>0</v>
      </c>
      <c r="K151" s="52">
        <f>K152</f>
        <v>20</v>
      </c>
      <c r="L151" s="52">
        <f>L152</f>
        <v>90</v>
      </c>
      <c r="M151" s="300">
        <f t="shared" si="34"/>
        <v>0</v>
      </c>
      <c r="N151" s="52">
        <f>N152</f>
        <v>20</v>
      </c>
      <c r="O151" s="300">
        <f t="shared" si="37"/>
        <v>0</v>
      </c>
      <c r="P151" s="52">
        <f>P152</f>
        <v>20</v>
      </c>
      <c r="Q151" s="52">
        <f>Q152</f>
        <v>20</v>
      </c>
      <c r="R151" s="333">
        <f t="shared" si="38"/>
        <v>0</v>
      </c>
      <c r="S151" s="32"/>
      <c r="T151" s="32"/>
      <c r="U151" s="32"/>
    </row>
    <row r="152" spans="2:21" s="51" customFormat="1" ht="24.75" customHeight="1" x14ac:dyDescent="0.2">
      <c r="B152" s="137" t="s">
        <v>73</v>
      </c>
      <c r="C152" s="53" t="s">
        <v>669</v>
      </c>
      <c r="D152" s="53" t="s">
        <v>111</v>
      </c>
      <c r="E152" s="53" t="s">
        <v>160</v>
      </c>
      <c r="F152" s="54" t="s">
        <v>488</v>
      </c>
      <c r="G152" s="60" t="s">
        <v>70</v>
      </c>
      <c r="H152" s="52">
        <v>90</v>
      </c>
      <c r="I152" s="52">
        <v>90</v>
      </c>
      <c r="J152" s="300">
        <f t="shared" si="36"/>
        <v>0</v>
      </c>
      <c r="K152" s="52">
        <v>20</v>
      </c>
      <c r="L152" s="52">
        <v>90</v>
      </c>
      <c r="M152" s="300">
        <f t="shared" si="34"/>
        <v>0</v>
      </c>
      <c r="N152" s="52">
        <v>20</v>
      </c>
      <c r="O152" s="300">
        <f t="shared" si="37"/>
        <v>0</v>
      </c>
      <c r="P152" s="52">
        <v>20</v>
      </c>
      <c r="Q152" s="52">
        <v>20</v>
      </c>
      <c r="R152" s="333">
        <f t="shared" si="38"/>
        <v>0</v>
      </c>
      <c r="S152" s="32"/>
      <c r="T152" s="32"/>
      <c r="U152" s="32"/>
    </row>
    <row r="153" spans="2:21" s="51" customFormat="1" ht="24.75" customHeight="1" x14ac:dyDescent="0.2">
      <c r="B153" s="137" t="s">
        <v>522</v>
      </c>
      <c r="C153" s="53" t="s">
        <v>669</v>
      </c>
      <c r="D153" s="53" t="s">
        <v>111</v>
      </c>
      <c r="E153" s="53" t="s">
        <v>160</v>
      </c>
      <c r="F153" s="54" t="s">
        <v>521</v>
      </c>
      <c r="G153" s="60"/>
      <c r="H153" s="52">
        <f>H154</f>
        <v>100</v>
      </c>
      <c r="I153" s="52">
        <f>I154</f>
        <v>100</v>
      </c>
      <c r="J153" s="300">
        <f t="shared" si="36"/>
        <v>0</v>
      </c>
      <c r="K153" s="52">
        <f>K154</f>
        <v>100</v>
      </c>
      <c r="L153" s="52">
        <f>L154</f>
        <v>100</v>
      </c>
      <c r="M153" s="300">
        <f t="shared" si="34"/>
        <v>0</v>
      </c>
      <c r="N153" s="52">
        <f>N154</f>
        <v>100</v>
      </c>
      <c r="O153" s="300">
        <f t="shared" si="37"/>
        <v>0</v>
      </c>
      <c r="P153" s="52">
        <f>P154</f>
        <v>100</v>
      </c>
      <c r="Q153" s="52">
        <f>Q154</f>
        <v>100</v>
      </c>
      <c r="R153" s="333">
        <f t="shared" si="38"/>
        <v>0</v>
      </c>
      <c r="S153" s="32"/>
      <c r="T153" s="32"/>
      <c r="U153" s="32"/>
    </row>
    <row r="154" spans="2:21" s="51" customFormat="1" ht="24.75" customHeight="1" x14ac:dyDescent="0.2">
      <c r="B154" s="137" t="s">
        <v>73</v>
      </c>
      <c r="C154" s="53" t="s">
        <v>669</v>
      </c>
      <c r="D154" s="53" t="s">
        <v>111</v>
      </c>
      <c r="E154" s="53" t="s">
        <v>160</v>
      </c>
      <c r="F154" s="54" t="s">
        <v>521</v>
      </c>
      <c r="G154" s="60" t="s">
        <v>70</v>
      </c>
      <c r="H154" s="52">
        <v>100</v>
      </c>
      <c r="I154" s="52">
        <v>100</v>
      </c>
      <c r="J154" s="300">
        <f t="shared" si="36"/>
        <v>0</v>
      </c>
      <c r="K154" s="52">
        <v>100</v>
      </c>
      <c r="L154" s="52">
        <v>100</v>
      </c>
      <c r="M154" s="300">
        <f t="shared" si="34"/>
        <v>0</v>
      </c>
      <c r="N154" s="52">
        <v>100</v>
      </c>
      <c r="O154" s="300">
        <f t="shared" si="37"/>
        <v>0</v>
      </c>
      <c r="P154" s="52">
        <v>100</v>
      </c>
      <c r="Q154" s="52">
        <v>100</v>
      </c>
      <c r="R154" s="333">
        <f t="shared" si="38"/>
        <v>0</v>
      </c>
      <c r="S154" s="32"/>
      <c r="T154" s="32"/>
      <c r="U154" s="32"/>
    </row>
    <row r="155" spans="2:21" s="51" customFormat="1" ht="15" customHeight="1" x14ac:dyDescent="0.2">
      <c r="B155" s="76" t="s">
        <v>520</v>
      </c>
      <c r="C155" s="53" t="s">
        <v>669</v>
      </c>
      <c r="D155" s="53" t="s">
        <v>111</v>
      </c>
      <c r="E155" s="53" t="s">
        <v>160</v>
      </c>
      <c r="F155" s="54" t="s">
        <v>519</v>
      </c>
      <c r="G155" s="60"/>
      <c r="H155" s="52">
        <f>H156</f>
        <v>4036.6000000000004</v>
      </c>
      <c r="I155" s="52">
        <f>I156</f>
        <v>4036.6000000000004</v>
      </c>
      <c r="J155" s="300">
        <f t="shared" si="36"/>
        <v>0</v>
      </c>
      <c r="K155" s="52">
        <f>K156</f>
        <v>4026.6000000000004</v>
      </c>
      <c r="L155" s="52">
        <f>L156</f>
        <v>4036.6000000000004</v>
      </c>
      <c r="M155" s="300">
        <f t="shared" si="34"/>
        <v>0</v>
      </c>
      <c r="N155" s="52">
        <f>N156</f>
        <v>4026.6000000000004</v>
      </c>
      <c r="O155" s="300">
        <f t="shared" si="37"/>
        <v>0</v>
      </c>
      <c r="P155" s="52">
        <f>P156</f>
        <v>4026.6000000000004</v>
      </c>
      <c r="Q155" s="52">
        <f>Q156</f>
        <v>4026.6000000000004</v>
      </c>
      <c r="R155" s="333">
        <f t="shared" si="38"/>
        <v>0</v>
      </c>
      <c r="S155" s="32"/>
      <c r="T155" s="32"/>
      <c r="U155" s="32"/>
    </row>
    <row r="156" spans="2:21" s="51" customFormat="1" ht="28.5" customHeight="1" x14ac:dyDescent="0.2">
      <c r="B156" s="57" t="s">
        <v>518</v>
      </c>
      <c r="C156" s="53" t="s">
        <v>669</v>
      </c>
      <c r="D156" s="53" t="s">
        <v>111</v>
      </c>
      <c r="E156" s="53" t="s">
        <v>160</v>
      </c>
      <c r="F156" s="54" t="s">
        <v>517</v>
      </c>
      <c r="G156" s="60"/>
      <c r="H156" s="52">
        <f>H157+H158</f>
        <v>4036.6000000000004</v>
      </c>
      <c r="I156" s="52">
        <f>I157+I158</f>
        <v>4036.6000000000004</v>
      </c>
      <c r="J156" s="300">
        <f t="shared" si="36"/>
        <v>0</v>
      </c>
      <c r="K156" s="52">
        <f>K157+K158</f>
        <v>4026.6000000000004</v>
      </c>
      <c r="L156" s="52">
        <f>L157+L158</f>
        <v>4036.6000000000004</v>
      </c>
      <c r="M156" s="300">
        <f t="shared" si="34"/>
        <v>0</v>
      </c>
      <c r="N156" s="52">
        <f>N157+N158</f>
        <v>4026.6000000000004</v>
      </c>
      <c r="O156" s="300">
        <f t="shared" si="37"/>
        <v>0</v>
      </c>
      <c r="P156" s="52">
        <f>P157+P158</f>
        <v>4026.6000000000004</v>
      </c>
      <c r="Q156" s="52">
        <f>Q157+Q158</f>
        <v>4026.6000000000004</v>
      </c>
      <c r="R156" s="333">
        <f t="shared" si="38"/>
        <v>0</v>
      </c>
      <c r="S156" s="32"/>
      <c r="T156" s="32"/>
      <c r="U156" s="32"/>
    </row>
    <row r="157" spans="2:21" s="51" customFormat="1" ht="18" customHeight="1" x14ac:dyDescent="0.2">
      <c r="B157" s="56" t="s">
        <v>84</v>
      </c>
      <c r="C157" s="53" t="s">
        <v>669</v>
      </c>
      <c r="D157" s="53" t="s">
        <v>111</v>
      </c>
      <c r="E157" s="53" t="s">
        <v>160</v>
      </c>
      <c r="F157" s="54" t="s">
        <v>517</v>
      </c>
      <c r="G157" s="60" t="s">
        <v>83</v>
      </c>
      <c r="H157" s="52">
        <f>3887.8+34.5</f>
        <v>3922.3</v>
      </c>
      <c r="I157" s="52">
        <f>3887.8+34.5</f>
        <v>3922.3</v>
      </c>
      <c r="J157" s="300">
        <f t="shared" si="36"/>
        <v>0</v>
      </c>
      <c r="K157" s="52">
        <f>3887.8+34.5</f>
        <v>3922.3</v>
      </c>
      <c r="L157" s="52">
        <f>3887.8+34.5</f>
        <v>3922.3</v>
      </c>
      <c r="M157" s="300">
        <f t="shared" si="34"/>
        <v>0</v>
      </c>
      <c r="N157" s="52">
        <f>3887.8+34.5</f>
        <v>3922.3</v>
      </c>
      <c r="O157" s="300">
        <f t="shared" si="37"/>
        <v>0</v>
      </c>
      <c r="P157" s="52">
        <f>3887.8+34.5</f>
        <v>3922.3</v>
      </c>
      <c r="Q157" s="52">
        <f>3887.8+34.5</f>
        <v>3922.3</v>
      </c>
      <c r="R157" s="333">
        <f t="shared" si="38"/>
        <v>0</v>
      </c>
      <c r="S157" s="32"/>
      <c r="T157" s="32"/>
      <c r="U157" s="32"/>
    </row>
    <row r="158" spans="2:21" s="51" customFormat="1" ht="24.75" customHeight="1" x14ac:dyDescent="0.2">
      <c r="B158" s="56" t="s">
        <v>73</v>
      </c>
      <c r="C158" s="53" t="s">
        <v>669</v>
      </c>
      <c r="D158" s="53" t="s">
        <v>111</v>
      </c>
      <c r="E158" s="53" t="s">
        <v>160</v>
      </c>
      <c r="F158" s="54" t="s">
        <v>517</v>
      </c>
      <c r="G158" s="60" t="s">
        <v>70</v>
      </c>
      <c r="H158" s="52">
        <v>114.3</v>
      </c>
      <c r="I158" s="52">
        <v>114.3</v>
      </c>
      <c r="J158" s="300">
        <f t="shared" si="36"/>
        <v>0</v>
      </c>
      <c r="K158" s="52">
        <v>104.3</v>
      </c>
      <c r="L158" s="52">
        <v>114.3</v>
      </c>
      <c r="M158" s="300">
        <f t="shared" si="34"/>
        <v>0</v>
      </c>
      <c r="N158" s="52">
        <v>104.3</v>
      </c>
      <c r="O158" s="300">
        <f t="shared" si="37"/>
        <v>0</v>
      </c>
      <c r="P158" s="52">
        <v>104.3</v>
      </c>
      <c r="Q158" s="52">
        <v>104.3</v>
      </c>
      <c r="R158" s="333">
        <f t="shared" si="38"/>
        <v>0</v>
      </c>
      <c r="S158" s="32"/>
      <c r="T158" s="32"/>
      <c r="U158" s="32"/>
    </row>
    <row r="159" spans="2:21" s="43" customFormat="1" ht="26.25" customHeight="1" x14ac:dyDescent="0.2">
      <c r="B159" s="175" t="s">
        <v>506</v>
      </c>
      <c r="C159" s="48" t="s">
        <v>669</v>
      </c>
      <c r="D159" s="48" t="s">
        <v>111</v>
      </c>
      <c r="E159" s="48" t="s">
        <v>489</v>
      </c>
      <c r="F159" s="48"/>
      <c r="G159" s="48"/>
      <c r="H159" s="52">
        <f>H160</f>
        <v>1727.3</v>
      </c>
      <c r="I159" s="52">
        <f>I160</f>
        <v>1727.3</v>
      </c>
      <c r="J159" s="300">
        <f t="shared" si="36"/>
        <v>0</v>
      </c>
      <c r="K159" s="52">
        <f>K160</f>
        <v>370.2</v>
      </c>
      <c r="L159" s="52">
        <f>L160</f>
        <v>1727.3</v>
      </c>
      <c r="M159" s="300">
        <f t="shared" si="34"/>
        <v>0</v>
      </c>
      <c r="N159" s="52">
        <f>N160</f>
        <v>370.2</v>
      </c>
      <c r="O159" s="300">
        <f t="shared" si="37"/>
        <v>0</v>
      </c>
      <c r="P159" s="52">
        <f>P160</f>
        <v>12670.2</v>
      </c>
      <c r="Q159" s="52">
        <f>Q160</f>
        <v>12670.2</v>
      </c>
      <c r="R159" s="333">
        <f t="shared" si="38"/>
        <v>0</v>
      </c>
    </row>
    <row r="160" spans="2:21" s="51" customFormat="1" ht="30" customHeight="1" x14ac:dyDescent="0.2">
      <c r="B160" s="56" t="s">
        <v>453</v>
      </c>
      <c r="C160" s="53" t="s">
        <v>669</v>
      </c>
      <c r="D160" s="53" t="s">
        <v>111</v>
      </c>
      <c r="E160" s="53" t="s">
        <v>489</v>
      </c>
      <c r="F160" s="54" t="s">
        <v>452</v>
      </c>
      <c r="G160" s="78"/>
      <c r="H160" s="52">
        <f>H161+H170</f>
        <v>1727.3</v>
      </c>
      <c r="I160" s="52">
        <f>I161+I170</f>
        <v>1727.3</v>
      </c>
      <c r="J160" s="300">
        <f t="shared" si="36"/>
        <v>0</v>
      </c>
      <c r="K160" s="52">
        <f>K161+K170</f>
        <v>370.2</v>
      </c>
      <c r="L160" s="52">
        <f>L161+L170</f>
        <v>1727.3</v>
      </c>
      <c r="M160" s="300">
        <f t="shared" si="34"/>
        <v>0</v>
      </c>
      <c r="N160" s="52">
        <f>N161+N170</f>
        <v>370.2</v>
      </c>
      <c r="O160" s="300">
        <f t="shared" si="37"/>
        <v>0</v>
      </c>
      <c r="P160" s="52">
        <f>P161+P170</f>
        <v>12670.2</v>
      </c>
      <c r="Q160" s="52">
        <f>Q161+Q170</f>
        <v>12670.2</v>
      </c>
      <c r="R160" s="333">
        <f t="shared" si="38"/>
        <v>0</v>
      </c>
      <c r="S160" s="32"/>
      <c r="T160" s="32"/>
      <c r="U160" s="32"/>
    </row>
    <row r="161" spans="2:21" s="51" customFormat="1" ht="15" customHeight="1" x14ac:dyDescent="0.2">
      <c r="B161" s="62" t="s">
        <v>66</v>
      </c>
      <c r="C161" s="53" t="s">
        <v>669</v>
      </c>
      <c r="D161" s="53" t="s">
        <v>111</v>
      </c>
      <c r="E161" s="53" t="s">
        <v>489</v>
      </c>
      <c r="F161" s="54" t="s">
        <v>504</v>
      </c>
      <c r="G161" s="78"/>
      <c r="H161" s="52">
        <f>H162+H167</f>
        <v>1317.3</v>
      </c>
      <c r="I161" s="52">
        <f>I162+I167</f>
        <v>1317.3</v>
      </c>
      <c r="J161" s="300">
        <f t="shared" si="36"/>
        <v>0</v>
      </c>
      <c r="K161" s="52">
        <f>K162+K167</f>
        <v>60.2</v>
      </c>
      <c r="L161" s="52">
        <f>L162+L167</f>
        <v>1317.3</v>
      </c>
      <c r="M161" s="300">
        <f t="shared" si="34"/>
        <v>0</v>
      </c>
      <c r="N161" s="52">
        <f>N162+N167</f>
        <v>60.2</v>
      </c>
      <c r="O161" s="300">
        <f t="shared" si="37"/>
        <v>0</v>
      </c>
      <c r="P161" s="52">
        <f>P162+P167</f>
        <v>12360.2</v>
      </c>
      <c r="Q161" s="52">
        <f>Q162+Q167</f>
        <v>12360.2</v>
      </c>
      <c r="R161" s="333">
        <f t="shared" si="38"/>
        <v>0</v>
      </c>
      <c r="S161" s="32"/>
      <c r="T161" s="32"/>
      <c r="U161" s="32"/>
    </row>
    <row r="162" spans="2:21" s="51" customFormat="1" ht="25.5" x14ac:dyDescent="0.2">
      <c r="B162" s="176" t="s">
        <v>503</v>
      </c>
      <c r="C162" s="53" t="s">
        <v>669</v>
      </c>
      <c r="D162" s="53" t="s">
        <v>111</v>
      </c>
      <c r="E162" s="53" t="s">
        <v>489</v>
      </c>
      <c r="F162" s="54" t="s">
        <v>502</v>
      </c>
      <c r="G162" s="78"/>
      <c r="H162" s="52">
        <f>H163+H165</f>
        <v>1317.3</v>
      </c>
      <c r="I162" s="52">
        <f t="shared" ref="I162:Q162" si="39">I163+I165</f>
        <v>1317.3</v>
      </c>
      <c r="J162" s="300">
        <f t="shared" si="36"/>
        <v>0</v>
      </c>
      <c r="K162" s="52">
        <f t="shared" si="39"/>
        <v>60.2</v>
      </c>
      <c r="L162" s="52">
        <f t="shared" si="39"/>
        <v>1317.3</v>
      </c>
      <c r="M162" s="300">
        <f t="shared" si="34"/>
        <v>0</v>
      </c>
      <c r="N162" s="52">
        <f t="shared" si="39"/>
        <v>60.2</v>
      </c>
      <c r="O162" s="300">
        <f t="shared" si="37"/>
        <v>0</v>
      </c>
      <c r="P162" s="52">
        <f t="shared" si="39"/>
        <v>60.2</v>
      </c>
      <c r="Q162" s="52">
        <f t="shared" si="39"/>
        <v>60.2</v>
      </c>
      <c r="R162" s="333">
        <f t="shared" si="38"/>
        <v>0</v>
      </c>
      <c r="S162" s="32"/>
      <c r="T162" s="32"/>
      <c r="U162" s="32"/>
    </row>
    <row r="163" spans="2:21" s="51" customFormat="1" ht="25.5" x14ac:dyDescent="0.2">
      <c r="B163" s="99" t="s">
        <v>501</v>
      </c>
      <c r="C163" s="53" t="s">
        <v>669</v>
      </c>
      <c r="D163" s="53" t="s">
        <v>111</v>
      </c>
      <c r="E163" s="53" t="s">
        <v>489</v>
      </c>
      <c r="F163" s="54" t="s">
        <v>500</v>
      </c>
      <c r="G163" s="78"/>
      <c r="H163" s="52">
        <f>H164</f>
        <v>417.3</v>
      </c>
      <c r="I163" s="52">
        <f>I164</f>
        <v>417.3</v>
      </c>
      <c r="J163" s="300">
        <f t="shared" si="36"/>
        <v>0</v>
      </c>
      <c r="K163" s="52">
        <f>K164</f>
        <v>60.2</v>
      </c>
      <c r="L163" s="52">
        <f>L164</f>
        <v>417.3</v>
      </c>
      <c r="M163" s="300">
        <f t="shared" si="34"/>
        <v>0</v>
      </c>
      <c r="N163" s="52">
        <f>N164</f>
        <v>60.2</v>
      </c>
      <c r="O163" s="300">
        <f t="shared" si="37"/>
        <v>0</v>
      </c>
      <c r="P163" s="52">
        <f>P164</f>
        <v>60.2</v>
      </c>
      <c r="Q163" s="52">
        <f>Q164</f>
        <v>60.2</v>
      </c>
      <c r="R163" s="333">
        <f t="shared" si="38"/>
        <v>0</v>
      </c>
      <c r="S163" s="32"/>
      <c r="T163" s="32"/>
      <c r="U163" s="32"/>
    </row>
    <row r="164" spans="2:21" s="135" customFormat="1" ht="25.5" x14ac:dyDescent="0.2">
      <c r="B164" s="99" t="s">
        <v>73</v>
      </c>
      <c r="C164" s="53" t="s">
        <v>669</v>
      </c>
      <c r="D164" s="53" t="s">
        <v>111</v>
      </c>
      <c r="E164" s="53" t="s">
        <v>489</v>
      </c>
      <c r="F164" s="54" t="s">
        <v>500</v>
      </c>
      <c r="G164" s="78" t="s">
        <v>70</v>
      </c>
      <c r="H164" s="52">
        <f>177.9+9.4+230</f>
        <v>417.3</v>
      </c>
      <c r="I164" s="52">
        <f>177.9+9.4+230</f>
        <v>417.3</v>
      </c>
      <c r="J164" s="300">
        <f t="shared" si="36"/>
        <v>0</v>
      </c>
      <c r="K164" s="52">
        <f>57.2+3</f>
        <v>60.2</v>
      </c>
      <c r="L164" s="52">
        <f>177.9+9.4+230</f>
        <v>417.3</v>
      </c>
      <c r="M164" s="300">
        <f t="shared" si="34"/>
        <v>0</v>
      </c>
      <c r="N164" s="52">
        <f>57.2+3</f>
        <v>60.2</v>
      </c>
      <c r="O164" s="300">
        <f t="shared" si="37"/>
        <v>0</v>
      </c>
      <c r="P164" s="52">
        <f>57.2+3</f>
        <v>60.2</v>
      </c>
      <c r="Q164" s="52">
        <f>57.2+3</f>
        <v>60.2</v>
      </c>
      <c r="R164" s="333">
        <f t="shared" si="38"/>
        <v>0</v>
      </c>
      <c r="S164" s="136"/>
      <c r="T164" s="136"/>
      <c r="U164" s="136"/>
    </row>
    <row r="165" spans="2:21" s="135" customFormat="1" ht="25.5" x14ac:dyDescent="0.2">
      <c r="B165" s="176" t="s">
        <v>499</v>
      </c>
      <c r="C165" s="53" t="s">
        <v>669</v>
      </c>
      <c r="D165" s="53" t="s">
        <v>111</v>
      </c>
      <c r="E165" s="53" t="s">
        <v>489</v>
      </c>
      <c r="F165" s="54" t="s">
        <v>498</v>
      </c>
      <c r="G165" s="78"/>
      <c r="H165" s="52">
        <f>H166</f>
        <v>900</v>
      </c>
      <c r="I165" s="52">
        <f t="shared" ref="I165:Q165" si="40">I166</f>
        <v>900</v>
      </c>
      <c r="J165" s="300">
        <f t="shared" si="36"/>
        <v>0</v>
      </c>
      <c r="K165" s="52">
        <f t="shared" si="40"/>
        <v>0</v>
      </c>
      <c r="L165" s="52">
        <f t="shared" si="40"/>
        <v>900</v>
      </c>
      <c r="M165" s="300">
        <f t="shared" si="34"/>
        <v>0</v>
      </c>
      <c r="N165" s="52">
        <f t="shared" si="40"/>
        <v>0</v>
      </c>
      <c r="O165" s="300">
        <f t="shared" si="37"/>
        <v>0</v>
      </c>
      <c r="P165" s="52">
        <f t="shared" si="40"/>
        <v>0</v>
      </c>
      <c r="Q165" s="52">
        <f t="shared" si="40"/>
        <v>0</v>
      </c>
      <c r="R165" s="333">
        <f t="shared" si="38"/>
        <v>0</v>
      </c>
      <c r="S165" s="136"/>
      <c r="T165" s="136"/>
      <c r="U165" s="136"/>
    </row>
    <row r="166" spans="2:21" s="135" customFormat="1" ht="25.5" x14ac:dyDescent="0.2">
      <c r="B166" s="99" t="s">
        <v>73</v>
      </c>
      <c r="C166" s="53" t="s">
        <v>669</v>
      </c>
      <c r="D166" s="53" t="s">
        <v>111</v>
      </c>
      <c r="E166" s="53" t="s">
        <v>489</v>
      </c>
      <c r="F166" s="54" t="s">
        <v>498</v>
      </c>
      <c r="G166" s="78" t="s">
        <v>70</v>
      </c>
      <c r="H166" s="52">
        <f>855+45</f>
        <v>900</v>
      </c>
      <c r="I166" s="52">
        <f>855+45</f>
        <v>900</v>
      </c>
      <c r="J166" s="300">
        <f t="shared" si="36"/>
        <v>0</v>
      </c>
      <c r="K166" s="52">
        <v>0</v>
      </c>
      <c r="L166" s="52">
        <f>855+45</f>
        <v>900</v>
      </c>
      <c r="M166" s="300">
        <f t="shared" si="34"/>
        <v>0</v>
      </c>
      <c r="N166" s="52">
        <v>0</v>
      </c>
      <c r="O166" s="300">
        <f t="shared" si="37"/>
        <v>0</v>
      </c>
      <c r="P166" s="52">
        <v>0</v>
      </c>
      <c r="Q166" s="52">
        <v>0</v>
      </c>
      <c r="R166" s="333">
        <f t="shared" si="38"/>
        <v>0</v>
      </c>
      <c r="S166" s="136"/>
      <c r="T166" s="136"/>
      <c r="U166" s="136"/>
    </row>
    <row r="167" spans="2:21" s="51" customFormat="1" ht="25.5" x14ac:dyDescent="0.2">
      <c r="B167" s="66" t="s">
        <v>497</v>
      </c>
      <c r="C167" s="53" t="s">
        <v>669</v>
      </c>
      <c r="D167" s="53" t="s">
        <v>111</v>
      </c>
      <c r="E167" s="53" t="s">
        <v>489</v>
      </c>
      <c r="F167" s="54" t="s">
        <v>496</v>
      </c>
      <c r="G167" s="60"/>
      <c r="H167" s="52">
        <f t="shared" ref="H167:Q168" si="41">H168</f>
        <v>0</v>
      </c>
      <c r="I167" s="52">
        <f t="shared" si="41"/>
        <v>0</v>
      </c>
      <c r="J167" s="300">
        <f t="shared" si="36"/>
        <v>0</v>
      </c>
      <c r="K167" s="52">
        <f t="shared" si="41"/>
        <v>0</v>
      </c>
      <c r="L167" s="52">
        <f t="shared" si="41"/>
        <v>0</v>
      </c>
      <c r="M167" s="300">
        <f t="shared" si="34"/>
        <v>0</v>
      </c>
      <c r="N167" s="52">
        <f t="shared" si="41"/>
        <v>0</v>
      </c>
      <c r="O167" s="300">
        <f t="shared" si="37"/>
        <v>0</v>
      </c>
      <c r="P167" s="52">
        <f t="shared" si="41"/>
        <v>12300</v>
      </c>
      <c r="Q167" s="52">
        <f t="shared" si="41"/>
        <v>12300</v>
      </c>
      <c r="R167" s="333">
        <f t="shared" si="38"/>
        <v>0</v>
      </c>
      <c r="S167" s="32"/>
      <c r="T167" s="32"/>
      <c r="U167" s="32"/>
    </row>
    <row r="168" spans="2:21" s="51" customFormat="1" x14ac:dyDescent="0.2">
      <c r="B168" s="66" t="s">
        <v>495</v>
      </c>
      <c r="C168" s="53" t="s">
        <v>669</v>
      </c>
      <c r="D168" s="53" t="s">
        <v>111</v>
      </c>
      <c r="E168" s="53" t="s">
        <v>489</v>
      </c>
      <c r="F168" s="54" t="s">
        <v>494</v>
      </c>
      <c r="G168" s="60"/>
      <c r="H168" s="52">
        <f t="shared" si="41"/>
        <v>0</v>
      </c>
      <c r="I168" s="52">
        <f t="shared" si="41"/>
        <v>0</v>
      </c>
      <c r="J168" s="300">
        <f t="shared" si="36"/>
        <v>0</v>
      </c>
      <c r="K168" s="52">
        <f t="shared" si="41"/>
        <v>0</v>
      </c>
      <c r="L168" s="52">
        <f t="shared" si="41"/>
        <v>0</v>
      </c>
      <c r="M168" s="300">
        <f t="shared" si="34"/>
        <v>0</v>
      </c>
      <c r="N168" s="52">
        <f t="shared" si="41"/>
        <v>0</v>
      </c>
      <c r="O168" s="300">
        <f t="shared" si="37"/>
        <v>0</v>
      </c>
      <c r="P168" s="52">
        <f t="shared" si="41"/>
        <v>12300</v>
      </c>
      <c r="Q168" s="52">
        <f t="shared" si="41"/>
        <v>12300</v>
      </c>
      <c r="R168" s="333">
        <f t="shared" si="38"/>
        <v>0</v>
      </c>
      <c r="S168" s="32"/>
      <c r="T168" s="32"/>
      <c r="U168" s="32"/>
    </row>
    <row r="169" spans="2:21" s="51" customFormat="1" ht="25.5" x14ac:dyDescent="0.2">
      <c r="B169" s="99" t="s">
        <v>73</v>
      </c>
      <c r="C169" s="53" t="s">
        <v>669</v>
      </c>
      <c r="D169" s="53" t="s">
        <v>111</v>
      </c>
      <c r="E169" s="53" t="s">
        <v>489</v>
      </c>
      <c r="F169" s="54" t="s">
        <v>494</v>
      </c>
      <c r="G169" s="60" t="s">
        <v>70</v>
      </c>
      <c r="H169" s="52">
        <v>0</v>
      </c>
      <c r="I169" s="52">
        <v>0</v>
      </c>
      <c r="J169" s="300">
        <f t="shared" si="36"/>
        <v>0</v>
      </c>
      <c r="K169" s="52">
        <v>0</v>
      </c>
      <c r="L169" s="52">
        <v>0</v>
      </c>
      <c r="M169" s="300">
        <f t="shared" si="34"/>
        <v>0</v>
      </c>
      <c r="N169" s="52">
        <v>0</v>
      </c>
      <c r="O169" s="300">
        <f t="shared" si="37"/>
        <v>0</v>
      </c>
      <c r="P169" s="52">
        <v>12300</v>
      </c>
      <c r="Q169" s="52">
        <v>12300</v>
      </c>
      <c r="R169" s="333">
        <f t="shared" si="38"/>
        <v>0</v>
      </c>
      <c r="S169" s="32"/>
      <c r="T169" s="32"/>
      <c r="U169" s="32"/>
    </row>
    <row r="170" spans="2:21" s="51" customFormat="1" x14ac:dyDescent="0.2">
      <c r="B170" s="99" t="s">
        <v>52</v>
      </c>
      <c r="C170" s="53" t="s">
        <v>669</v>
      </c>
      <c r="D170" s="53" t="s">
        <v>111</v>
      </c>
      <c r="E170" s="53" t="s">
        <v>489</v>
      </c>
      <c r="F170" s="54" t="s">
        <v>451</v>
      </c>
      <c r="G170" s="78"/>
      <c r="H170" s="52">
        <f>H171</f>
        <v>410</v>
      </c>
      <c r="I170" s="52">
        <f>I171</f>
        <v>410</v>
      </c>
      <c r="J170" s="300">
        <f t="shared" si="36"/>
        <v>0</v>
      </c>
      <c r="K170" s="52">
        <f>K171</f>
        <v>310</v>
      </c>
      <c r="L170" s="52">
        <f>L171</f>
        <v>410</v>
      </c>
      <c r="M170" s="300">
        <f t="shared" si="34"/>
        <v>0</v>
      </c>
      <c r="N170" s="52">
        <f>N171</f>
        <v>310</v>
      </c>
      <c r="O170" s="300">
        <f t="shared" si="37"/>
        <v>0</v>
      </c>
      <c r="P170" s="52">
        <f>P171</f>
        <v>310</v>
      </c>
      <c r="Q170" s="52">
        <f>Q171</f>
        <v>310</v>
      </c>
      <c r="R170" s="333">
        <f t="shared" si="38"/>
        <v>0</v>
      </c>
      <c r="S170" s="32"/>
      <c r="T170" s="32"/>
      <c r="U170" s="32"/>
    </row>
    <row r="171" spans="2:21" s="51" customFormat="1" ht="25.5" x14ac:dyDescent="0.2">
      <c r="B171" s="56" t="s">
        <v>450</v>
      </c>
      <c r="C171" s="53" t="s">
        <v>669</v>
      </c>
      <c r="D171" s="53" t="s">
        <v>111</v>
      </c>
      <c r="E171" s="53" t="s">
        <v>489</v>
      </c>
      <c r="F171" s="54" t="s">
        <v>449</v>
      </c>
      <c r="G171" s="60"/>
      <c r="H171" s="52">
        <f>H172+H174+H176</f>
        <v>410</v>
      </c>
      <c r="I171" s="52">
        <f>I172+I174+I176</f>
        <v>410</v>
      </c>
      <c r="J171" s="300">
        <f t="shared" si="36"/>
        <v>0</v>
      </c>
      <c r="K171" s="52">
        <f>K172+K174+K176</f>
        <v>310</v>
      </c>
      <c r="L171" s="52">
        <f>L172+L174+L176</f>
        <v>410</v>
      </c>
      <c r="M171" s="300">
        <f t="shared" si="34"/>
        <v>0</v>
      </c>
      <c r="N171" s="52">
        <f>N172+N174+N176</f>
        <v>310</v>
      </c>
      <c r="O171" s="300">
        <f t="shared" si="37"/>
        <v>0</v>
      </c>
      <c r="P171" s="52">
        <f>P172+P174+P176</f>
        <v>310</v>
      </c>
      <c r="Q171" s="52">
        <f>Q172+Q174+Q176</f>
        <v>310</v>
      </c>
      <c r="R171" s="333">
        <f t="shared" si="38"/>
        <v>0</v>
      </c>
      <c r="S171" s="32"/>
      <c r="T171" s="32"/>
      <c r="U171" s="32"/>
    </row>
    <row r="172" spans="2:21" s="51" customFormat="1" ht="54" customHeight="1" x14ac:dyDescent="0.2">
      <c r="B172" s="56" t="s">
        <v>493</v>
      </c>
      <c r="C172" s="53" t="s">
        <v>669</v>
      </c>
      <c r="D172" s="53" t="s">
        <v>111</v>
      </c>
      <c r="E172" s="53" t="s">
        <v>489</v>
      </c>
      <c r="F172" s="54" t="s">
        <v>492</v>
      </c>
      <c r="G172" s="60"/>
      <c r="H172" s="52">
        <f>H173</f>
        <v>80</v>
      </c>
      <c r="I172" s="52">
        <f>I173</f>
        <v>80</v>
      </c>
      <c r="J172" s="300">
        <f t="shared" si="36"/>
        <v>0</v>
      </c>
      <c r="K172" s="52">
        <f>K173</f>
        <v>20</v>
      </c>
      <c r="L172" s="52">
        <f>L173</f>
        <v>80</v>
      </c>
      <c r="M172" s="300">
        <f t="shared" si="34"/>
        <v>0</v>
      </c>
      <c r="N172" s="52">
        <f>N173</f>
        <v>20</v>
      </c>
      <c r="O172" s="300">
        <f t="shared" si="37"/>
        <v>0</v>
      </c>
      <c r="P172" s="52">
        <f>P173</f>
        <v>20</v>
      </c>
      <c r="Q172" s="52">
        <f>Q173</f>
        <v>20</v>
      </c>
      <c r="R172" s="333">
        <f t="shared" si="38"/>
        <v>0</v>
      </c>
      <c r="S172" s="32"/>
      <c r="T172" s="32"/>
      <c r="U172" s="32"/>
    </row>
    <row r="173" spans="2:21" s="51" customFormat="1" ht="25.5" x14ac:dyDescent="0.2">
      <c r="B173" s="56" t="s">
        <v>73</v>
      </c>
      <c r="C173" s="53" t="s">
        <v>669</v>
      </c>
      <c r="D173" s="53" t="s">
        <v>111</v>
      </c>
      <c r="E173" s="53" t="s">
        <v>489</v>
      </c>
      <c r="F173" s="54" t="s">
        <v>492</v>
      </c>
      <c r="G173" s="60" t="s">
        <v>70</v>
      </c>
      <c r="H173" s="52">
        <v>80</v>
      </c>
      <c r="I173" s="52">
        <v>80</v>
      </c>
      <c r="J173" s="300">
        <f t="shared" si="36"/>
        <v>0</v>
      </c>
      <c r="K173" s="52">
        <v>20</v>
      </c>
      <c r="L173" s="52">
        <v>80</v>
      </c>
      <c r="M173" s="300">
        <f t="shared" si="34"/>
        <v>0</v>
      </c>
      <c r="N173" s="52">
        <v>20</v>
      </c>
      <c r="O173" s="300">
        <f t="shared" si="37"/>
        <v>0</v>
      </c>
      <c r="P173" s="52">
        <v>20</v>
      </c>
      <c r="Q173" s="52">
        <v>20</v>
      </c>
      <c r="R173" s="333">
        <f t="shared" si="38"/>
        <v>0</v>
      </c>
      <c r="S173" s="32"/>
      <c r="T173" s="32"/>
      <c r="U173" s="32"/>
    </row>
    <row r="174" spans="2:21" s="51" customFormat="1" ht="25.5" x14ac:dyDescent="0.2">
      <c r="B174" s="56" t="s">
        <v>448</v>
      </c>
      <c r="C174" s="53" t="s">
        <v>669</v>
      </c>
      <c r="D174" s="53" t="s">
        <v>111</v>
      </c>
      <c r="E174" s="53" t="s">
        <v>489</v>
      </c>
      <c r="F174" s="54" t="s">
        <v>447</v>
      </c>
      <c r="G174" s="60"/>
      <c r="H174" s="52">
        <f>H175</f>
        <v>250</v>
      </c>
      <c r="I174" s="52">
        <f>I175</f>
        <v>250</v>
      </c>
      <c r="J174" s="300">
        <f t="shared" si="36"/>
        <v>0</v>
      </c>
      <c r="K174" s="52">
        <f>K175</f>
        <v>250</v>
      </c>
      <c r="L174" s="52">
        <f>L175</f>
        <v>250</v>
      </c>
      <c r="M174" s="300">
        <f t="shared" si="34"/>
        <v>0</v>
      </c>
      <c r="N174" s="52">
        <f>N175</f>
        <v>250</v>
      </c>
      <c r="O174" s="300">
        <f t="shared" si="37"/>
        <v>0</v>
      </c>
      <c r="P174" s="52">
        <f>P175</f>
        <v>250</v>
      </c>
      <c r="Q174" s="52">
        <f>Q175</f>
        <v>250</v>
      </c>
      <c r="R174" s="333">
        <f t="shared" si="38"/>
        <v>0</v>
      </c>
      <c r="S174" s="32"/>
      <c r="T174" s="32"/>
      <c r="U174" s="32"/>
    </row>
    <row r="175" spans="2:21" s="51" customFormat="1" ht="25.5" x14ac:dyDescent="0.2">
      <c r="B175" s="56" t="s">
        <v>73</v>
      </c>
      <c r="C175" s="53" t="s">
        <v>669</v>
      </c>
      <c r="D175" s="53" t="s">
        <v>111</v>
      </c>
      <c r="E175" s="53" t="s">
        <v>489</v>
      </c>
      <c r="F175" s="54" t="s">
        <v>447</v>
      </c>
      <c r="G175" s="60" t="s">
        <v>70</v>
      </c>
      <c r="H175" s="52">
        <v>250</v>
      </c>
      <c r="I175" s="52">
        <v>250</v>
      </c>
      <c r="J175" s="300">
        <f t="shared" si="36"/>
        <v>0</v>
      </c>
      <c r="K175" s="52">
        <v>250</v>
      </c>
      <c r="L175" s="52">
        <v>250</v>
      </c>
      <c r="M175" s="300">
        <f t="shared" si="34"/>
        <v>0</v>
      </c>
      <c r="N175" s="52">
        <v>250</v>
      </c>
      <c r="O175" s="300">
        <f t="shared" si="37"/>
        <v>0</v>
      </c>
      <c r="P175" s="52">
        <v>250</v>
      </c>
      <c r="Q175" s="52">
        <v>250</v>
      </c>
      <c r="R175" s="333">
        <f t="shared" si="38"/>
        <v>0</v>
      </c>
      <c r="S175" s="32"/>
      <c r="T175" s="32"/>
      <c r="U175" s="32"/>
    </row>
    <row r="176" spans="2:21" s="51" customFormat="1" ht="51" x14ac:dyDescent="0.2">
      <c r="B176" s="56" t="s">
        <v>491</v>
      </c>
      <c r="C176" s="53" t="s">
        <v>669</v>
      </c>
      <c r="D176" s="53" t="s">
        <v>111</v>
      </c>
      <c r="E176" s="53" t="s">
        <v>489</v>
      </c>
      <c r="F176" s="54" t="s">
        <v>488</v>
      </c>
      <c r="G176" s="60"/>
      <c r="H176" s="52">
        <f>H177+H178</f>
        <v>80</v>
      </c>
      <c r="I176" s="52">
        <f>I177+I178</f>
        <v>80</v>
      </c>
      <c r="J176" s="300">
        <f t="shared" si="36"/>
        <v>0</v>
      </c>
      <c r="K176" s="52">
        <f>K177+K178</f>
        <v>40</v>
      </c>
      <c r="L176" s="52">
        <f>L177+L178</f>
        <v>80</v>
      </c>
      <c r="M176" s="300">
        <f t="shared" si="34"/>
        <v>0</v>
      </c>
      <c r="N176" s="52">
        <f>N177+N178</f>
        <v>40</v>
      </c>
      <c r="O176" s="300">
        <f t="shared" si="37"/>
        <v>0</v>
      </c>
      <c r="P176" s="52">
        <f>P177+P178</f>
        <v>40</v>
      </c>
      <c r="Q176" s="52">
        <f>Q177+Q178</f>
        <v>40</v>
      </c>
      <c r="R176" s="333">
        <f t="shared" si="38"/>
        <v>0</v>
      </c>
      <c r="S176" s="32"/>
      <c r="T176" s="32"/>
      <c r="U176" s="32"/>
    </row>
    <row r="177" spans="2:21" s="51" customFormat="1" ht="25.5" x14ac:dyDescent="0.2">
      <c r="B177" s="56" t="s">
        <v>73</v>
      </c>
      <c r="C177" s="53" t="s">
        <v>669</v>
      </c>
      <c r="D177" s="53" t="s">
        <v>111</v>
      </c>
      <c r="E177" s="53" t="s">
        <v>489</v>
      </c>
      <c r="F177" s="54" t="s">
        <v>488</v>
      </c>
      <c r="G177" s="60" t="s">
        <v>70</v>
      </c>
      <c r="H177" s="52">
        <v>55</v>
      </c>
      <c r="I177" s="52">
        <v>55</v>
      </c>
      <c r="J177" s="300">
        <f t="shared" si="36"/>
        <v>0</v>
      </c>
      <c r="K177" s="52">
        <v>15</v>
      </c>
      <c r="L177" s="52">
        <v>55</v>
      </c>
      <c r="M177" s="300">
        <f t="shared" si="34"/>
        <v>0</v>
      </c>
      <c r="N177" s="52">
        <v>15</v>
      </c>
      <c r="O177" s="300">
        <f t="shared" si="37"/>
        <v>0</v>
      </c>
      <c r="P177" s="52">
        <v>15</v>
      </c>
      <c r="Q177" s="52">
        <v>15</v>
      </c>
      <c r="R177" s="333">
        <f t="shared" si="38"/>
        <v>0</v>
      </c>
      <c r="S177" s="32"/>
      <c r="T177" s="32"/>
      <c r="U177" s="32"/>
    </row>
    <row r="178" spans="2:21" s="51" customFormat="1" x14ac:dyDescent="0.2">
      <c r="B178" s="66" t="s">
        <v>490</v>
      </c>
      <c r="C178" s="53" t="s">
        <v>669</v>
      </c>
      <c r="D178" s="53" t="s">
        <v>111</v>
      </c>
      <c r="E178" s="53" t="s">
        <v>489</v>
      </c>
      <c r="F178" s="54" t="s">
        <v>488</v>
      </c>
      <c r="G178" s="60" t="s">
        <v>487</v>
      </c>
      <c r="H178" s="52">
        <f>5+20</f>
        <v>25</v>
      </c>
      <c r="I178" s="52">
        <f>5+20</f>
        <v>25</v>
      </c>
      <c r="J178" s="300">
        <f t="shared" si="36"/>
        <v>0</v>
      </c>
      <c r="K178" s="52">
        <f>5+20</f>
        <v>25</v>
      </c>
      <c r="L178" s="52">
        <f>5+20</f>
        <v>25</v>
      </c>
      <c r="M178" s="300">
        <f t="shared" si="34"/>
        <v>0</v>
      </c>
      <c r="N178" s="52">
        <f>5+20</f>
        <v>25</v>
      </c>
      <c r="O178" s="300">
        <f t="shared" si="37"/>
        <v>0</v>
      </c>
      <c r="P178" s="52">
        <f>5+20</f>
        <v>25</v>
      </c>
      <c r="Q178" s="52">
        <f>5+20</f>
        <v>25</v>
      </c>
      <c r="R178" s="333">
        <f t="shared" si="38"/>
        <v>0</v>
      </c>
      <c r="S178" s="32"/>
      <c r="T178" s="32"/>
      <c r="U178" s="32"/>
    </row>
    <row r="179" spans="2:21" s="32" customFormat="1" x14ac:dyDescent="0.2">
      <c r="B179" s="175" t="s">
        <v>675</v>
      </c>
      <c r="C179" s="48" t="s">
        <v>669</v>
      </c>
      <c r="D179" s="48" t="s">
        <v>108</v>
      </c>
      <c r="E179" s="48"/>
      <c r="F179" s="48"/>
      <c r="G179" s="48"/>
      <c r="H179" s="52">
        <f>H180+H186+H195+H215</f>
        <v>37728.600000000006</v>
      </c>
      <c r="I179" s="52">
        <f>I180+I186+I195+I215</f>
        <v>42179.200000000012</v>
      </c>
      <c r="J179" s="300">
        <f t="shared" si="36"/>
        <v>4450.6000000000058</v>
      </c>
      <c r="K179" s="52">
        <f>K180+K186+K195+K215</f>
        <v>38896.200000000004</v>
      </c>
      <c r="L179" s="52">
        <f>L180+L186+L195+L215</f>
        <v>42211.400000000009</v>
      </c>
      <c r="M179" s="300">
        <f t="shared" si="34"/>
        <v>32.19999999999709</v>
      </c>
      <c r="N179" s="52">
        <f>N180+N186+N195+N215</f>
        <v>38896.200000000004</v>
      </c>
      <c r="O179" s="300">
        <f t="shared" si="37"/>
        <v>0</v>
      </c>
      <c r="P179" s="52">
        <f>P180+P186+P195+P215</f>
        <v>29233.200000000004</v>
      </c>
      <c r="Q179" s="52">
        <f>Q180+Q186+Q195+Q215</f>
        <v>29233.200000000004</v>
      </c>
      <c r="R179" s="333">
        <f t="shared" si="38"/>
        <v>0</v>
      </c>
    </row>
    <row r="180" spans="2:21" s="32" customFormat="1" x14ac:dyDescent="0.2">
      <c r="B180" s="175" t="s">
        <v>485</v>
      </c>
      <c r="C180" s="48" t="s">
        <v>669</v>
      </c>
      <c r="D180" s="48" t="s">
        <v>108</v>
      </c>
      <c r="E180" s="48" t="s">
        <v>45</v>
      </c>
      <c r="F180" s="48"/>
      <c r="G180" s="48"/>
      <c r="H180" s="52">
        <f t="shared" ref="H180:Q184" si="42">H181</f>
        <v>565</v>
      </c>
      <c r="I180" s="52">
        <f t="shared" si="42"/>
        <v>754</v>
      </c>
      <c r="J180" s="300">
        <f t="shared" si="36"/>
        <v>189</v>
      </c>
      <c r="K180" s="52">
        <f t="shared" si="42"/>
        <v>565</v>
      </c>
      <c r="L180" s="52">
        <f t="shared" si="42"/>
        <v>754</v>
      </c>
      <c r="M180" s="300">
        <f t="shared" si="34"/>
        <v>0</v>
      </c>
      <c r="N180" s="52">
        <f t="shared" si="42"/>
        <v>565</v>
      </c>
      <c r="O180" s="300">
        <f t="shared" si="37"/>
        <v>0</v>
      </c>
      <c r="P180" s="52">
        <f t="shared" si="42"/>
        <v>565</v>
      </c>
      <c r="Q180" s="52">
        <f t="shared" si="42"/>
        <v>565</v>
      </c>
      <c r="R180" s="333">
        <f t="shared" si="38"/>
        <v>0</v>
      </c>
    </row>
    <row r="181" spans="2:21" s="51" customFormat="1" ht="25.5" x14ac:dyDescent="0.2">
      <c r="B181" s="64" t="s">
        <v>142</v>
      </c>
      <c r="C181" s="53" t="s">
        <v>669</v>
      </c>
      <c r="D181" s="53" t="s">
        <v>108</v>
      </c>
      <c r="E181" s="53" t="s">
        <v>45</v>
      </c>
      <c r="F181" s="54" t="s">
        <v>141</v>
      </c>
      <c r="G181" s="78"/>
      <c r="H181" s="52">
        <f t="shared" si="42"/>
        <v>565</v>
      </c>
      <c r="I181" s="52">
        <f t="shared" si="42"/>
        <v>754</v>
      </c>
      <c r="J181" s="300">
        <f t="shared" si="36"/>
        <v>189</v>
      </c>
      <c r="K181" s="52">
        <f t="shared" si="42"/>
        <v>565</v>
      </c>
      <c r="L181" s="52">
        <f t="shared" si="42"/>
        <v>754</v>
      </c>
      <c r="M181" s="300">
        <f t="shared" si="34"/>
        <v>0</v>
      </c>
      <c r="N181" s="52">
        <f t="shared" si="42"/>
        <v>565</v>
      </c>
      <c r="O181" s="300">
        <f t="shared" si="37"/>
        <v>0</v>
      </c>
      <c r="P181" s="52">
        <f t="shared" si="42"/>
        <v>565</v>
      </c>
      <c r="Q181" s="52">
        <f t="shared" si="42"/>
        <v>565</v>
      </c>
      <c r="R181" s="333">
        <f t="shared" si="38"/>
        <v>0</v>
      </c>
      <c r="S181" s="32"/>
      <c r="T181" s="32"/>
      <c r="U181" s="32"/>
    </row>
    <row r="182" spans="2:21" s="51" customFormat="1" x14ac:dyDescent="0.2">
      <c r="B182" s="77" t="s">
        <v>52</v>
      </c>
      <c r="C182" s="53" t="s">
        <v>669</v>
      </c>
      <c r="D182" s="53" t="s">
        <v>108</v>
      </c>
      <c r="E182" s="53" t="s">
        <v>45</v>
      </c>
      <c r="F182" s="54" t="s">
        <v>140</v>
      </c>
      <c r="G182" s="78"/>
      <c r="H182" s="52">
        <f t="shared" si="42"/>
        <v>565</v>
      </c>
      <c r="I182" s="52">
        <f t="shared" si="42"/>
        <v>754</v>
      </c>
      <c r="J182" s="300">
        <f t="shared" si="36"/>
        <v>189</v>
      </c>
      <c r="K182" s="52">
        <f t="shared" si="42"/>
        <v>565</v>
      </c>
      <c r="L182" s="52">
        <f t="shared" si="42"/>
        <v>754</v>
      </c>
      <c r="M182" s="300">
        <f t="shared" si="34"/>
        <v>0</v>
      </c>
      <c r="N182" s="52">
        <f t="shared" si="42"/>
        <v>565</v>
      </c>
      <c r="O182" s="300">
        <f t="shared" si="37"/>
        <v>0</v>
      </c>
      <c r="P182" s="52">
        <f t="shared" si="42"/>
        <v>565</v>
      </c>
      <c r="Q182" s="52">
        <f t="shared" si="42"/>
        <v>565</v>
      </c>
      <c r="R182" s="333">
        <f t="shared" si="38"/>
        <v>0</v>
      </c>
      <c r="S182" s="32"/>
      <c r="T182" s="32"/>
      <c r="U182" s="32"/>
    </row>
    <row r="183" spans="2:21" s="51" customFormat="1" ht="27" customHeight="1" x14ac:dyDescent="0.2">
      <c r="B183" s="109" t="s">
        <v>484</v>
      </c>
      <c r="C183" s="53" t="s">
        <v>669</v>
      </c>
      <c r="D183" s="53" t="s">
        <v>108</v>
      </c>
      <c r="E183" s="53" t="s">
        <v>45</v>
      </c>
      <c r="F183" s="54" t="s">
        <v>483</v>
      </c>
      <c r="G183" s="78"/>
      <c r="H183" s="100">
        <f t="shared" si="42"/>
        <v>565</v>
      </c>
      <c r="I183" s="100">
        <f t="shared" si="42"/>
        <v>754</v>
      </c>
      <c r="J183" s="300">
        <f t="shared" si="36"/>
        <v>189</v>
      </c>
      <c r="K183" s="100">
        <f t="shared" si="42"/>
        <v>565</v>
      </c>
      <c r="L183" s="100">
        <f t="shared" si="42"/>
        <v>754</v>
      </c>
      <c r="M183" s="300">
        <f t="shared" si="34"/>
        <v>0</v>
      </c>
      <c r="N183" s="100">
        <f t="shared" si="42"/>
        <v>565</v>
      </c>
      <c r="O183" s="300">
        <f t="shared" si="37"/>
        <v>0</v>
      </c>
      <c r="P183" s="100">
        <f t="shared" si="42"/>
        <v>565</v>
      </c>
      <c r="Q183" s="100">
        <f t="shared" si="42"/>
        <v>565</v>
      </c>
      <c r="R183" s="333">
        <f t="shared" si="38"/>
        <v>0</v>
      </c>
      <c r="S183" s="32"/>
      <c r="T183" s="32"/>
      <c r="U183" s="32"/>
    </row>
    <row r="184" spans="2:21" s="51" customFormat="1" ht="15.75" customHeight="1" x14ac:dyDescent="0.2">
      <c r="B184" s="56" t="s">
        <v>482</v>
      </c>
      <c r="C184" s="53" t="s">
        <v>669</v>
      </c>
      <c r="D184" s="53" t="s">
        <v>108</v>
      </c>
      <c r="E184" s="53" t="s">
        <v>45</v>
      </c>
      <c r="F184" s="83" t="s">
        <v>481</v>
      </c>
      <c r="G184" s="78"/>
      <c r="H184" s="100">
        <f t="shared" si="42"/>
        <v>565</v>
      </c>
      <c r="I184" s="100">
        <f t="shared" si="42"/>
        <v>754</v>
      </c>
      <c r="J184" s="300">
        <f t="shared" si="36"/>
        <v>189</v>
      </c>
      <c r="K184" s="100">
        <f t="shared" si="42"/>
        <v>565</v>
      </c>
      <c r="L184" s="100">
        <f t="shared" si="42"/>
        <v>754</v>
      </c>
      <c r="M184" s="300">
        <f t="shared" si="34"/>
        <v>0</v>
      </c>
      <c r="N184" s="100">
        <f t="shared" si="42"/>
        <v>565</v>
      </c>
      <c r="O184" s="300">
        <f t="shared" si="37"/>
        <v>0</v>
      </c>
      <c r="P184" s="134">
        <f t="shared" si="42"/>
        <v>565</v>
      </c>
      <c r="Q184" s="134">
        <f t="shared" si="42"/>
        <v>565</v>
      </c>
      <c r="R184" s="333">
        <f t="shared" si="38"/>
        <v>0</v>
      </c>
      <c r="S184" s="32"/>
      <c r="T184" s="32"/>
      <c r="U184" s="32"/>
    </row>
    <row r="185" spans="2:21" s="51" customFormat="1" ht="25.5" x14ac:dyDescent="0.2">
      <c r="B185" s="56" t="s">
        <v>73</v>
      </c>
      <c r="C185" s="53" t="s">
        <v>669</v>
      </c>
      <c r="D185" s="53" t="s">
        <v>108</v>
      </c>
      <c r="E185" s="53" t="s">
        <v>45</v>
      </c>
      <c r="F185" s="74" t="s">
        <v>481</v>
      </c>
      <c r="G185" s="78" t="s">
        <v>70</v>
      </c>
      <c r="H185" s="100">
        <v>565</v>
      </c>
      <c r="I185" s="100">
        <f>565+189</f>
        <v>754</v>
      </c>
      <c r="J185" s="300">
        <f t="shared" si="36"/>
        <v>189</v>
      </c>
      <c r="K185" s="100">
        <v>565</v>
      </c>
      <c r="L185" s="100">
        <f>565+189</f>
        <v>754</v>
      </c>
      <c r="M185" s="300">
        <f t="shared" si="34"/>
        <v>0</v>
      </c>
      <c r="N185" s="100">
        <v>565</v>
      </c>
      <c r="O185" s="300">
        <f t="shared" si="37"/>
        <v>0</v>
      </c>
      <c r="P185" s="134">
        <v>565</v>
      </c>
      <c r="Q185" s="134">
        <v>565</v>
      </c>
      <c r="R185" s="333">
        <f t="shared" si="38"/>
        <v>0</v>
      </c>
      <c r="S185" s="32"/>
      <c r="T185" s="32"/>
      <c r="U185" s="32"/>
    </row>
    <row r="186" spans="2:21" s="43" customFormat="1" x14ac:dyDescent="0.2">
      <c r="B186" s="59" t="s">
        <v>480</v>
      </c>
      <c r="C186" s="48" t="s">
        <v>669</v>
      </c>
      <c r="D186" s="48" t="s">
        <v>108</v>
      </c>
      <c r="E186" s="48" t="s">
        <v>166</v>
      </c>
      <c r="F186" s="49"/>
      <c r="G186" s="48"/>
      <c r="H186" s="44">
        <f t="shared" ref="H186:Q190" si="43">H187</f>
        <v>20225.900000000001</v>
      </c>
      <c r="I186" s="44">
        <f t="shared" si="43"/>
        <v>24487.500000000004</v>
      </c>
      <c r="J186" s="300">
        <f t="shared" si="36"/>
        <v>4261.6000000000022</v>
      </c>
      <c r="K186" s="44">
        <f t="shared" si="43"/>
        <v>20563.300000000003</v>
      </c>
      <c r="L186" s="44">
        <f t="shared" si="43"/>
        <v>24487.500000000004</v>
      </c>
      <c r="M186" s="300">
        <f t="shared" si="34"/>
        <v>0</v>
      </c>
      <c r="N186" s="44">
        <f t="shared" si="43"/>
        <v>20563.300000000003</v>
      </c>
      <c r="O186" s="300">
        <f t="shared" si="37"/>
        <v>0</v>
      </c>
      <c r="P186" s="44">
        <f t="shared" si="43"/>
        <v>10670.300000000001</v>
      </c>
      <c r="Q186" s="44">
        <f t="shared" si="43"/>
        <v>10670.300000000001</v>
      </c>
      <c r="R186" s="333">
        <f t="shared" si="38"/>
        <v>0</v>
      </c>
    </row>
    <row r="187" spans="2:21" s="51" customFormat="1" ht="18" customHeight="1" x14ac:dyDescent="0.2">
      <c r="B187" s="69" t="s">
        <v>471</v>
      </c>
      <c r="C187" s="53" t="s">
        <v>669</v>
      </c>
      <c r="D187" s="53" t="s">
        <v>108</v>
      </c>
      <c r="E187" s="53" t="s">
        <v>166</v>
      </c>
      <c r="F187" s="54" t="s">
        <v>470</v>
      </c>
      <c r="G187" s="78"/>
      <c r="H187" s="133">
        <f t="shared" si="43"/>
        <v>20225.900000000001</v>
      </c>
      <c r="I187" s="133">
        <f t="shared" si="43"/>
        <v>24487.500000000004</v>
      </c>
      <c r="J187" s="300">
        <f t="shared" si="36"/>
        <v>4261.6000000000022</v>
      </c>
      <c r="K187" s="133">
        <f t="shared" si="43"/>
        <v>20563.300000000003</v>
      </c>
      <c r="L187" s="133">
        <f t="shared" si="43"/>
        <v>24487.500000000004</v>
      </c>
      <c r="M187" s="300">
        <f t="shared" si="34"/>
        <v>0</v>
      </c>
      <c r="N187" s="133">
        <f t="shared" si="43"/>
        <v>20563.300000000003</v>
      </c>
      <c r="O187" s="300">
        <f t="shared" si="37"/>
        <v>0</v>
      </c>
      <c r="P187" s="133">
        <f t="shared" si="43"/>
        <v>10670.300000000001</v>
      </c>
      <c r="Q187" s="133">
        <f t="shared" si="43"/>
        <v>10670.300000000001</v>
      </c>
      <c r="R187" s="333">
        <f t="shared" si="38"/>
        <v>0</v>
      </c>
      <c r="S187" s="32"/>
      <c r="T187" s="32"/>
      <c r="U187" s="32"/>
    </row>
    <row r="188" spans="2:21" s="51" customFormat="1" ht="17.25" customHeight="1" x14ac:dyDescent="0.2">
      <c r="B188" s="56" t="s">
        <v>52</v>
      </c>
      <c r="C188" s="53" t="s">
        <v>669</v>
      </c>
      <c r="D188" s="53" t="s">
        <v>108</v>
      </c>
      <c r="E188" s="53" t="s">
        <v>166</v>
      </c>
      <c r="F188" s="54" t="s">
        <v>462</v>
      </c>
      <c r="G188" s="78"/>
      <c r="H188" s="133">
        <f>H189+H192</f>
        <v>20225.900000000001</v>
      </c>
      <c r="I188" s="133">
        <f>I189+I192</f>
        <v>24487.500000000004</v>
      </c>
      <c r="J188" s="300">
        <f t="shared" si="36"/>
        <v>4261.6000000000022</v>
      </c>
      <c r="K188" s="133">
        <f>K189+K192</f>
        <v>20563.300000000003</v>
      </c>
      <c r="L188" s="133">
        <f>L189+L192</f>
        <v>24487.500000000004</v>
      </c>
      <c r="M188" s="300">
        <f t="shared" si="34"/>
        <v>0</v>
      </c>
      <c r="N188" s="133">
        <f>N189+N192</f>
        <v>20563.300000000003</v>
      </c>
      <c r="O188" s="300">
        <f t="shared" si="37"/>
        <v>0</v>
      </c>
      <c r="P188" s="133">
        <f>P189+P192</f>
        <v>10670.300000000001</v>
      </c>
      <c r="Q188" s="133">
        <f>Q189+Q192</f>
        <v>10670.300000000001</v>
      </c>
      <c r="R188" s="333">
        <f t="shared" si="38"/>
        <v>0</v>
      </c>
      <c r="S188" s="32"/>
      <c r="T188" s="32"/>
      <c r="U188" s="32"/>
    </row>
    <row r="189" spans="2:21" s="51" customFormat="1" ht="28.5" customHeight="1" x14ac:dyDescent="0.2">
      <c r="B189" s="56" t="s">
        <v>479</v>
      </c>
      <c r="C189" s="53" t="s">
        <v>669</v>
      </c>
      <c r="D189" s="53" t="s">
        <v>108</v>
      </c>
      <c r="E189" s="53" t="s">
        <v>166</v>
      </c>
      <c r="F189" s="54" t="s">
        <v>478</v>
      </c>
      <c r="G189" s="78"/>
      <c r="H189" s="133">
        <f>H190</f>
        <v>4093.2</v>
      </c>
      <c r="I189" s="133">
        <f>I190</f>
        <v>4093.2</v>
      </c>
      <c r="J189" s="300">
        <f t="shared" si="36"/>
        <v>0</v>
      </c>
      <c r="K189" s="133">
        <f t="shared" si="43"/>
        <v>3977.9</v>
      </c>
      <c r="L189" s="133">
        <f>L190</f>
        <v>4093.2</v>
      </c>
      <c r="M189" s="300">
        <f t="shared" si="34"/>
        <v>0</v>
      </c>
      <c r="N189" s="133">
        <f t="shared" si="43"/>
        <v>3977.9</v>
      </c>
      <c r="O189" s="300">
        <f t="shared" si="37"/>
        <v>0</v>
      </c>
      <c r="P189" s="133">
        <f t="shared" si="43"/>
        <v>3977.9</v>
      </c>
      <c r="Q189" s="133">
        <f t="shared" si="43"/>
        <v>3977.9</v>
      </c>
      <c r="R189" s="333">
        <f t="shared" si="38"/>
        <v>0</v>
      </c>
      <c r="S189" s="32"/>
      <c r="T189" s="32"/>
      <c r="U189" s="32"/>
    </row>
    <row r="190" spans="2:21" s="51" customFormat="1" ht="28.5" customHeight="1" x14ac:dyDescent="0.2">
      <c r="B190" s="81" t="s">
        <v>477</v>
      </c>
      <c r="C190" s="53" t="s">
        <v>669</v>
      </c>
      <c r="D190" s="53" t="s">
        <v>108</v>
      </c>
      <c r="E190" s="53" t="s">
        <v>166</v>
      </c>
      <c r="F190" s="54" t="s">
        <v>476</v>
      </c>
      <c r="G190" s="78"/>
      <c r="H190" s="133">
        <f>H191</f>
        <v>4093.2</v>
      </c>
      <c r="I190" s="133">
        <f>I191</f>
        <v>4093.2</v>
      </c>
      <c r="J190" s="300">
        <f t="shared" si="36"/>
        <v>0</v>
      </c>
      <c r="K190" s="133">
        <f t="shared" si="43"/>
        <v>3977.9</v>
      </c>
      <c r="L190" s="133">
        <f>L191</f>
        <v>4093.2</v>
      </c>
      <c r="M190" s="300">
        <f t="shared" si="34"/>
        <v>0</v>
      </c>
      <c r="N190" s="133">
        <f t="shared" si="43"/>
        <v>3977.9</v>
      </c>
      <c r="O190" s="300">
        <f t="shared" si="37"/>
        <v>0</v>
      </c>
      <c r="P190" s="133">
        <f t="shared" si="43"/>
        <v>3977.9</v>
      </c>
      <c r="Q190" s="133">
        <f t="shared" si="43"/>
        <v>3977.9</v>
      </c>
      <c r="R190" s="333">
        <f t="shared" si="38"/>
        <v>0</v>
      </c>
      <c r="S190" s="32"/>
      <c r="T190" s="32"/>
      <c r="U190" s="32"/>
    </row>
    <row r="191" spans="2:21" s="51" customFormat="1" ht="15.75" customHeight="1" x14ac:dyDescent="0.2">
      <c r="B191" s="75" t="s">
        <v>82</v>
      </c>
      <c r="C191" s="53" t="s">
        <v>669</v>
      </c>
      <c r="D191" s="53" t="s">
        <v>108</v>
      </c>
      <c r="E191" s="53" t="s">
        <v>166</v>
      </c>
      <c r="F191" s="54" t="s">
        <v>476</v>
      </c>
      <c r="G191" s="78" t="s">
        <v>81</v>
      </c>
      <c r="H191" s="52">
        <f>3929.5+163.7</f>
        <v>4093.2</v>
      </c>
      <c r="I191" s="52">
        <f>3929.5+163.7</f>
        <v>4093.2</v>
      </c>
      <c r="J191" s="300">
        <f t="shared" si="36"/>
        <v>0</v>
      </c>
      <c r="K191" s="52">
        <f>3818.8+159.1</f>
        <v>3977.9</v>
      </c>
      <c r="L191" s="52">
        <f>3929.5+163.7</f>
        <v>4093.2</v>
      </c>
      <c r="M191" s="300">
        <f t="shared" si="34"/>
        <v>0</v>
      </c>
      <c r="N191" s="52">
        <f>3818.8+159.1</f>
        <v>3977.9</v>
      </c>
      <c r="O191" s="300">
        <f t="shared" si="37"/>
        <v>0</v>
      </c>
      <c r="P191" s="52">
        <f>3818.8+159.1</f>
        <v>3977.9</v>
      </c>
      <c r="Q191" s="52">
        <f>3818.8+159.1</f>
        <v>3977.9</v>
      </c>
      <c r="R191" s="333">
        <f t="shared" si="38"/>
        <v>0</v>
      </c>
      <c r="S191" s="32"/>
      <c r="T191" s="32"/>
      <c r="U191" s="32"/>
    </row>
    <row r="192" spans="2:21" s="51" customFormat="1" ht="30" customHeight="1" x14ac:dyDescent="0.2">
      <c r="B192" s="75" t="s">
        <v>475</v>
      </c>
      <c r="C192" s="53" t="s">
        <v>669</v>
      </c>
      <c r="D192" s="53" t="s">
        <v>108</v>
      </c>
      <c r="E192" s="53" t="s">
        <v>166</v>
      </c>
      <c r="F192" s="54" t="s">
        <v>474</v>
      </c>
      <c r="G192" s="119"/>
      <c r="H192" s="52">
        <f t="shared" ref="H192:Q193" si="44">H193</f>
        <v>16132.7</v>
      </c>
      <c r="I192" s="52">
        <f t="shared" si="44"/>
        <v>20394.300000000003</v>
      </c>
      <c r="J192" s="300">
        <f t="shared" si="36"/>
        <v>4261.6000000000022</v>
      </c>
      <c r="K192" s="52">
        <f t="shared" si="44"/>
        <v>16585.400000000001</v>
      </c>
      <c r="L192" s="52">
        <f t="shared" si="44"/>
        <v>20394.300000000003</v>
      </c>
      <c r="M192" s="300">
        <f t="shared" si="34"/>
        <v>0</v>
      </c>
      <c r="N192" s="52">
        <f t="shared" si="44"/>
        <v>16585.400000000001</v>
      </c>
      <c r="O192" s="300">
        <f t="shared" si="37"/>
        <v>0</v>
      </c>
      <c r="P192" s="52">
        <f t="shared" si="44"/>
        <v>6692.4000000000015</v>
      </c>
      <c r="Q192" s="52">
        <f t="shared" si="44"/>
        <v>6692.4000000000015</v>
      </c>
      <c r="R192" s="333">
        <f t="shared" si="38"/>
        <v>0</v>
      </c>
      <c r="S192" s="32"/>
      <c r="T192" s="32"/>
      <c r="U192" s="32"/>
    </row>
    <row r="193" spans="2:21" s="51" customFormat="1" ht="29.25" customHeight="1" x14ac:dyDescent="0.2">
      <c r="B193" s="75" t="s">
        <v>1095</v>
      </c>
      <c r="C193" s="53" t="s">
        <v>669</v>
      </c>
      <c r="D193" s="53" t="s">
        <v>108</v>
      </c>
      <c r="E193" s="53" t="s">
        <v>166</v>
      </c>
      <c r="F193" s="54" t="s">
        <v>473</v>
      </c>
      <c r="G193" s="119"/>
      <c r="H193" s="52">
        <f t="shared" si="44"/>
        <v>16132.7</v>
      </c>
      <c r="I193" s="52">
        <f t="shared" si="44"/>
        <v>20394.300000000003</v>
      </c>
      <c r="J193" s="300">
        <f t="shared" si="36"/>
        <v>4261.6000000000022</v>
      </c>
      <c r="K193" s="52">
        <f t="shared" si="44"/>
        <v>16585.400000000001</v>
      </c>
      <c r="L193" s="52">
        <f t="shared" si="44"/>
        <v>20394.300000000003</v>
      </c>
      <c r="M193" s="300">
        <f t="shared" si="34"/>
        <v>0</v>
      </c>
      <c r="N193" s="52">
        <f t="shared" si="44"/>
        <v>16585.400000000001</v>
      </c>
      <c r="O193" s="300">
        <f t="shared" si="37"/>
        <v>0</v>
      </c>
      <c r="P193" s="52">
        <f t="shared" si="44"/>
        <v>6692.4000000000015</v>
      </c>
      <c r="Q193" s="52">
        <f t="shared" si="44"/>
        <v>6692.4000000000015</v>
      </c>
      <c r="R193" s="333">
        <f t="shared" si="38"/>
        <v>0</v>
      </c>
      <c r="S193" s="32"/>
      <c r="T193" s="32"/>
      <c r="U193" s="32"/>
    </row>
    <row r="194" spans="2:21" s="51" customFormat="1" ht="16.5" customHeight="1" x14ac:dyDescent="0.2">
      <c r="B194" s="75" t="s">
        <v>82</v>
      </c>
      <c r="C194" s="53" t="s">
        <v>669</v>
      </c>
      <c r="D194" s="53" t="s">
        <v>108</v>
      </c>
      <c r="E194" s="53" t="s">
        <v>166</v>
      </c>
      <c r="F194" s="54" t="s">
        <v>473</v>
      </c>
      <c r="G194" s="78" t="s">
        <v>81</v>
      </c>
      <c r="H194" s="52">
        <f>20225.9-4093.2</f>
        <v>16132.7</v>
      </c>
      <c r="I194" s="52">
        <f>16132.7+4261.6</f>
        <v>20394.300000000003</v>
      </c>
      <c r="J194" s="300">
        <f t="shared" si="36"/>
        <v>4261.6000000000022</v>
      </c>
      <c r="K194" s="52">
        <f>17938.3-3977.9+2625</f>
        <v>16585.400000000001</v>
      </c>
      <c r="L194" s="52">
        <f>16132.7+4261.6</f>
        <v>20394.300000000003</v>
      </c>
      <c r="M194" s="300">
        <f t="shared" si="34"/>
        <v>0</v>
      </c>
      <c r="N194" s="52">
        <f>17938.3-3977.9+2625</f>
        <v>16585.400000000001</v>
      </c>
      <c r="O194" s="300">
        <f t="shared" si="37"/>
        <v>0</v>
      </c>
      <c r="P194" s="52">
        <f>18683.4-3977.9-10656.1+2643</f>
        <v>6692.4000000000015</v>
      </c>
      <c r="Q194" s="52">
        <f>18683.4-3977.9-10656.1+2643</f>
        <v>6692.4000000000015</v>
      </c>
      <c r="R194" s="333">
        <f t="shared" si="38"/>
        <v>0</v>
      </c>
      <c r="S194" s="32"/>
      <c r="T194" s="32"/>
      <c r="U194" s="32"/>
    </row>
    <row r="195" spans="2:21" s="47" customFormat="1" ht="14.25" customHeight="1" x14ac:dyDescent="0.2">
      <c r="B195" s="177" t="s">
        <v>472</v>
      </c>
      <c r="C195" s="48" t="s">
        <v>669</v>
      </c>
      <c r="D195" s="48" t="s">
        <v>108</v>
      </c>
      <c r="E195" s="48" t="s">
        <v>160</v>
      </c>
      <c r="F195" s="48"/>
      <c r="G195" s="48"/>
      <c r="H195" s="44">
        <f>H196+H210</f>
        <v>15799.900000000001</v>
      </c>
      <c r="I195" s="44">
        <f>I196+I210</f>
        <v>15799.900000000001</v>
      </c>
      <c r="J195" s="300">
        <f t="shared" si="36"/>
        <v>0</v>
      </c>
      <c r="K195" s="44">
        <f>K196+K210</f>
        <v>16801.900000000001</v>
      </c>
      <c r="L195" s="44">
        <f>L196+L210</f>
        <v>15799.900000000001</v>
      </c>
      <c r="M195" s="300">
        <f t="shared" si="34"/>
        <v>0</v>
      </c>
      <c r="N195" s="44">
        <f>N196+N210</f>
        <v>16801.900000000001</v>
      </c>
      <c r="O195" s="300">
        <f t="shared" si="37"/>
        <v>0</v>
      </c>
      <c r="P195" s="44">
        <f>P196+P210</f>
        <v>17131.900000000001</v>
      </c>
      <c r="Q195" s="44">
        <f>Q196+Q210</f>
        <v>17131.900000000001</v>
      </c>
      <c r="R195" s="333">
        <f t="shared" si="38"/>
        <v>0</v>
      </c>
      <c r="S195" s="43"/>
      <c r="T195" s="43"/>
      <c r="U195" s="43"/>
    </row>
    <row r="196" spans="2:21" s="47" customFormat="1" ht="18" customHeight="1" x14ac:dyDescent="0.2">
      <c r="B196" s="56" t="s">
        <v>471</v>
      </c>
      <c r="C196" s="53" t="s">
        <v>669</v>
      </c>
      <c r="D196" s="53" t="s">
        <v>108</v>
      </c>
      <c r="E196" s="53" t="s">
        <v>160</v>
      </c>
      <c r="F196" s="53" t="s">
        <v>470</v>
      </c>
      <c r="G196" s="53"/>
      <c r="H196" s="44">
        <f>H197+H203</f>
        <v>15799.900000000001</v>
      </c>
      <c r="I196" s="44">
        <f>I197+I203</f>
        <v>15799.900000000001</v>
      </c>
      <c r="J196" s="300">
        <f t="shared" si="36"/>
        <v>0</v>
      </c>
      <c r="K196" s="44">
        <f>K197+K203</f>
        <v>16801.900000000001</v>
      </c>
      <c r="L196" s="44">
        <f>L197+L203</f>
        <v>15799.900000000001</v>
      </c>
      <c r="M196" s="300">
        <f t="shared" si="34"/>
        <v>0</v>
      </c>
      <c r="N196" s="44">
        <f>N197+N203</f>
        <v>16801.900000000001</v>
      </c>
      <c r="O196" s="300">
        <f t="shared" si="37"/>
        <v>0</v>
      </c>
      <c r="P196" s="44">
        <f>P197+P203</f>
        <v>17131.900000000001</v>
      </c>
      <c r="Q196" s="44">
        <f>Q197+Q203</f>
        <v>17131.900000000001</v>
      </c>
      <c r="R196" s="333">
        <f t="shared" si="38"/>
        <v>0</v>
      </c>
      <c r="S196" s="43"/>
      <c r="T196" s="43"/>
      <c r="U196" s="43"/>
    </row>
    <row r="197" spans="2:21" s="47" customFormat="1" ht="15" customHeight="1" x14ac:dyDescent="0.2">
      <c r="B197" s="62" t="s">
        <v>66</v>
      </c>
      <c r="C197" s="53" t="s">
        <v>669</v>
      </c>
      <c r="D197" s="53" t="s">
        <v>108</v>
      </c>
      <c r="E197" s="53" t="s">
        <v>160</v>
      </c>
      <c r="F197" s="54" t="s">
        <v>469</v>
      </c>
      <c r="G197" s="53"/>
      <c r="H197" s="52">
        <f>H198</f>
        <v>2370.3000000000002</v>
      </c>
      <c r="I197" s="52">
        <f>I198</f>
        <v>2370.3000000000002</v>
      </c>
      <c r="J197" s="300">
        <f t="shared" si="36"/>
        <v>0</v>
      </c>
      <c r="K197" s="52">
        <f>K198</f>
        <v>3551.9</v>
      </c>
      <c r="L197" s="52">
        <f>L198</f>
        <v>2370.3000000000002</v>
      </c>
      <c r="M197" s="300">
        <f t="shared" si="34"/>
        <v>0</v>
      </c>
      <c r="N197" s="52">
        <f>N198</f>
        <v>3551.9</v>
      </c>
      <c r="O197" s="300">
        <f t="shared" si="37"/>
        <v>0</v>
      </c>
      <c r="P197" s="52">
        <f>P198</f>
        <v>3581.9</v>
      </c>
      <c r="Q197" s="52">
        <f>Q198</f>
        <v>3581.9</v>
      </c>
      <c r="R197" s="333">
        <f t="shared" si="38"/>
        <v>0</v>
      </c>
      <c r="S197" s="43"/>
      <c r="T197" s="43"/>
      <c r="U197" s="43"/>
    </row>
    <row r="198" spans="2:21" s="47" customFormat="1" ht="28.5" customHeight="1" x14ac:dyDescent="0.2">
      <c r="B198" s="56" t="s">
        <v>468</v>
      </c>
      <c r="C198" s="53" t="s">
        <v>669</v>
      </c>
      <c r="D198" s="53" t="s">
        <v>108</v>
      </c>
      <c r="E198" s="53" t="s">
        <v>160</v>
      </c>
      <c r="F198" s="54" t="s">
        <v>467</v>
      </c>
      <c r="G198" s="53"/>
      <c r="H198" s="52">
        <f>H199+H201</f>
        <v>2370.3000000000002</v>
      </c>
      <c r="I198" s="52">
        <f>I199+I201</f>
        <v>2370.3000000000002</v>
      </c>
      <c r="J198" s="300">
        <f t="shared" si="36"/>
        <v>0</v>
      </c>
      <c r="K198" s="52">
        <f>K199+K201</f>
        <v>3551.9</v>
      </c>
      <c r="L198" s="52">
        <f>L199+L201</f>
        <v>2370.3000000000002</v>
      </c>
      <c r="M198" s="300">
        <f t="shared" si="34"/>
        <v>0</v>
      </c>
      <c r="N198" s="52">
        <f>N199+N201</f>
        <v>3551.9</v>
      </c>
      <c r="O198" s="300">
        <f t="shared" si="37"/>
        <v>0</v>
      </c>
      <c r="P198" s="52">
        <f>P199+P201</f>
        <v>3581.9</v>
      </c>
      <c r="Q198" s="52">
        <f>Q199+Q201</f>
        <v>3581.9</v>
      </c>
      <c r="R198" s="333">
        <f t="shared" si="38"/>
        <v>0</v>
      </c>
      <c r="S198" s="43"/>
      <c r="T198" s="43"/>
      <c r="U198" s="43"/>
    </row>
    <row r="199" spans="2:21" s="47" customFormat="1" ht="37.5" customHeight="1" x14ac:dyDescent="0.2">
      <c r="B199" s="56" t="s">
        <v>466</v>
      </c>
      <c r="C199" s="53" t="s">
        <v>669</v>
      </c>
      <c r="D199" s="53" t="s">
        <v>108</v>
      </c>
      <c r="E199" s="53" t="s">
        <v>160</v>
      </c>
      <c r="F199" s="54" t="s">
        <v>465</v>
      </c>
      <c r="G199" s="53"/>
      <c r="H199" s="52">
        <f>H200</f>
        <v>631.9</v>
      </c>
      <c r="I199" s="52">
        <f>I200</f>
        <v>631.9</v>
      </c>
      <c r="J199" s="300">
        <f t="shared" si="36"/>
        <v>0</v>
      </c>
      <c r="K199" s="52">
        <f>K200</f>
        <v>631.9</v>
      </c>
      <c r="L199" s="52">
        <f>L200</f>
        <v>631.9</v>
      </c>
      <c r="M199" s="300">
        <f t="shared" si="34"/>
        <v>0</v>
      </c>
      <c r="N199" s="52">
        <f>N200</f>
        <v>631.9</v>
      </c>
      <c r="O199" s="300">
        <f t="shared" si="37"/>
        <v>0</v>
      </c>
      <c r="P199" s="52">
        <f>P200</f>
        <v>631.9</v>
      </c>
      <c r="Q199" s="52">
        <f>Q200</f>
        <v>631.9</v>
      </c>
      <c r="R199" s="333">
        <f t="shared" si="38"/>
        <v>0</v>
      </c>
      <c r="S199" s="43"/>
      <c r="T199" s="43"/>
      <c r="U199" s="43"/>
    </row>
    <row r="200" spans="2:21" s="47" customFormat="1" ht="27.75" customHeight="1" x14ac:dyDescent="0.2">
      <c r="B200" s="56" t="s">
        <v>73</v>
      </c>
      <c r="C200" s="53" t="s">
        <v>669</v>
      </c>
      <c r="D200" s="53" t="s">
        <v>108</v>
      </c>
      <c r="E200" s="53" t="s">
        <v>160</v>
      </c>
      <c r="F200" s="54" t="s">
        <v>465</v>
      </c>
      <c r="G200" s="53" t="s">
        <v>70</v>
      </c>
      <c r="H200" s="52">
        <f>612.9+19</f>
        <v>631.9</v>
      </c>
      <c r="I200" s="52">
        <f>612.9+19</f>
        <v>631.9</v>
      </c>
      <c r="J200" s="300">
        <f t="shared" si="36"/>
        <v>0</v>
      </c>
      <c r="K200" s="52">
        <f>612.9+19</f>
        <v>631.9</v>
      </c>
      <c r="L200" s="52">
        <f>612.9+19</f>
        <v>631.9</v>
      </c>
      <c r="M200" s="300">
        <f t="shared" si="34"/>
        <v>0</v>
      </c>
      <c r="N200" s="52">
        <f>612.9+19</f>
        <v>631.9</v>
      </c>
      <c r="O200" s="300">
        <f t="shared" si="37"/>
        <v>0</v>
      </c>
      <c r="P200" s="52">
        <f>612.9+19</f>
        <v>631.9</v>
      </c>
      <c r="Q200" s="52">
        <f>612.9+19</f>
        <v>631.9</v>
      </c>
      <c r="R200" s="333">
        <f t="shared" si="38"/>
        <v>0</v>
      </c>
      <c r="S200" s="43"/>
      <c r="T200" s="43"/>
      <c r="U200" s="43"/>
    </row>
    <row r="201" spans="2:21" s="47" customFormat="1" ht="29.25" customHeight="1" x14ac:dyDescent="0.2">
      <c r="B201" s="56" t="s">
        <v>464</v>
      </c>
      <c r="C201" s="53" t="s">
        <v>669</v>
      </c>
      <c r="D201" s="53" t="s">
        <v>108</v>
      </c>
      <c r="E201" s="53" t="s">
        <v>160</v>
      </c>
      <c r="F201" s="54" t="s">
        <v>463</v>
      </c>
      <c r="G201" s="53"/>
      <c r="H201" s="52">
        <f>H202</f>
        <v>1738.4</v>
      </c>
      <c r="I201" s="52">
        <f>I202</f>
        <v>1738.4</v>
      </c>
      <c r="J201" s="300">
        <f t="shared" si="36"/>
        <v>0</v>
      </c>
      <c r="K201" s="52">
        <f>K202</f>
        <v>2920</v>
      </c>
      <c r="L201" s="52">
        <f>L202</f>
        <v>1738.4</v>
      </c>
      <c r="M201" s="300">
        <f t="shared" si="34"/>
        <v>0</v>
      </c>
      <c r="N201" s="52">
        <f>N202</f>
        <v>2920</v>
      </c>
      <c r="O201" s="300">
        <f t="shared" si="37"/>
        <v>0</v>
      </c>
      <c r="P201" s="52">
        <f>P202</f>
        <v>2950</v>
      </c>
      <c r="Q201" s="52">
        <f>Q202</f>
        <v>2950</v>
      </c>
      <c r="R201" s="333">
        <f t="shared" si="38"/>
        <v>0</v>
      </c>
      <c r="S201" s="43"/>
      <c r="T201" s="43"/>
      <c r="U201" s="43"/>
    </row>
    <row r="202" spans="2:21" s="47" customFormat="1" ht="27.75" customHeight="1" x14ac:dyDescent="0.2">
      <c r="B202" s="56" t="s">
        <v>73</v>
      </c>
      <c r="C202" s="53" t="s">
        <v>669</v>
      </c>
      <c r="D202" s="53" t="s">
        <v>108</v>
      </c>
      <c r="E202" s="53" t="s">
        <v>160</v>
      </c>
      <c r="F202" s="54" t="s">
        <v>463</v>
      </c>
      <c r="G202" s="53" t="s">
        <v>70</v>
      </c>
      <c r="H202" s="52">
        <v>1738.4</v>
      </c>
      <c r="I202" s="52">
        <v>1738.4</v>
      </c>
      <c r="J202" s="300">
        <f t="shared" si="36"/>
        <v>0</v>
      </c>
      <c r="K202" s="52">
        <v>2920</v>
      </c>
      <c r="L202" s="52">
        <v>1738.4</v>
      </c>
      <c r="M202" s="300">
        <f t="shared" si="34"/>
        <v>0</v>
      </c>
      <c r="N202" s="52">
        <v>2920</v>
      </c>
      <c r="O202" s="300">
        <f t="shared" si="37"/>
        <v>0</v>
      </c>
      <c r="P202" s="52">
        <v>2950</v>
      </c>
      <c r="Q202" s="52">
        <v>2950</v>
      </c>
      <c r="R202" s="333">
        <f t="shared" si="38"/>
        <v>0</v>
      </c>
      <c r="S202" s="43"/>
      <c r="T202" s="43"/>
      <c r="U202" s="43"/>
    </row>
    <row r="203" spans="2:21" s="47" customFormat="1" ht="15.75" customHeight="1" x14ac:dyDescent="0.2">
      <c r="B203" s="56" t="s">
        <v>52</v>
      </c>
      <c r="C203" s="53" t="s">
        <v>669</v>
      </c>
      <c r="D203" s="53" t="s">
        <v>108</v>
      </c>
      <c r="E203" s="53" t="s">
        <v>160</v>
      </c>
      <c r="F203" s="54" t="s">
        <v>462</v>
      </c>
      <c r="G203" s="60"/>
      <c r="H203" s="52">
        <f>H204+H207</f>
        <v>13429.6</v>
      </c>
      <c r="I203" s="52">
        <f>I204+I207</f>
        <v>13429.6</v>
      </c>
      <c r="J203" s="300">
        <f t="shared" si="36"/>
        <v>0</v>
      </c>
      <c r="K203" s="52">
        <f>K204+K207</f>
        <v>13250</v>
      </c>
      <c r="L203" s="52">
        <f>L204+L207</f>
        <v>13429.6</v>
      </c>
      <c r="M203" s="300">
        <f t="shared" si="34"/>
        <v>0</v>
      </c>
      <c r="N203" s="52">
        <f>N204+N207</f>
        <v>13250</v>
      </c>
      <c r="O203" s="300">
        <f t="shared" si="37"/>
        <v>0</v>
      </c>
      <c r="P203" s="52">
        <f>P204+P207</f>
        <v>13550</v>
      </c>
      <c r="Q203" s="52">
        <f>Q204+Q207</f>
        <v>13550</v>
      </c>
      <c r="R203" s="333">
        <f t="shared" si="38"/>
        <v>0</v>
      </c>
      <c r="S203" s="43"/>
      <c r="T203" s="43"/>
      <c r="U203" s="43"/>
    </row>
    <row r="204" spans="2:21" s="47" customFormat="1" ht="27.75" customHeight="1" x14ac:dyDescent="0.2">
      <c r="B204" s="56" t="s">
        <v>461</v>
      </c>
      <c r="C204" s="53" t="s">
        <v>669</v>
      </c>
      <c r="D204" s="53" t="s">
        <v>108</v>
      </c>
      <c r="E204" s="53" t="s">
        <v>160</v>
      </c>
      <c r="F204" s="54" t="s">
        <v>460</v>
      </c>
      <c r="G204" s="60"/>
      <c r="H204" s="52">
        <f t="shared" ref="H204:Q205" si="45">H205</f>
        <v>13050</v>
      </c>
      <c r="I204" s="52">
        <f t="shared" si="45"/>
        <v>13050</v>
      </c>
      <c r="J204" s="300">
        <f t="shared" si="36"/>
        <v>0</v>
      </c>
      <c r="K204" s="52">
        <f t="shared" si="45"/>
        <v>13000</v>
      </c>
      <c r="L204" s="52">
        <f t="shared" si="45"/>
        <v>13050</v>
      </c>
      <c r="M204" s="300">
        <f t="shared" ref="M204:M269" si="46">L204-I204</f>
        <v>0</v>
      </c>
      <c r="N204" s="52">
        <f t="shared" si="45"/>
        <v>13000</v>
      </c>
      <c r="O204" s="300">
        <f t="shared" si="37"/>
        <v>0</v>
      </c>
      <c r="P204" s="52">
        <f t="shared" si="45"/>
        <v>13300</v>
      </c>
      <c r="Q204" s="52">
        <f t="shared" si="45"/>
        <v>13300</v>
      </c>
      <c r="R204" s="333">
        <f t="shared" si="38"/>
        <v>0</v>
      </c>
      <c r="S204" s="43"/>
      <c r="T204" s="43"/>
      <c r="U204" s="43"/>
    </row>
    <row r="205" spans="2:21" s="47" customFormat="1" ht="27.75" customHeight="1" x14ac:dyDescent="0.2">
      <c r="B205" s="56" t="s">
        <v>459</v>
      </c>
      <c r="C205" s="53" t="s">
        <v>669</v>
      </c>
      <c r="D205" s="53" t="s">
        <v>108</v>
      </c>
      <c r="E205" s="53" t="s">
        <v>160</v>
      </c>
      <c r="F205" s="54" t="s">
        <v>458</v>
      </c>
      <c r="G205" s="60"/>
      <c r="H205" s="52">
        <f t="shared" si="45"/>
        <v>13050</v>
      </c>
      <c r="I205" s="52">
        <f t="shared" si="45"/>
        <v>13050</v>
      </c>
      <c r="J205" s="300">
        <f t="shared" si="36"/>
        <v>0</v>
      </c>
      <c r="K205" s="52">
        <f t="shared" si="45"/>
        <v>13000</v>
      </c>
      <c r="L205" s="52">
        <f t="shared" si="45"/>
        <v>13050</v>
      </c>
      <c r="M205" s="300">
        <f t="shared" si="46"/>
        <v>0</v>
      </c>
      <c r="N205" s="52">
        <f t="shared" si="45"/>
        <v>13000</v>
      </c>
      <c r="O205" s="300">
        <f t="shared" si="37"/>
        <v>0</v>
      </c>
      <c r="P205" s="52">
        <f t="shared" si="45"/>
        <v>13300</v>
      </c>
      <c r="Q205" s="52">
        <f t="shared" si="45"/>
        <v>13300</v>
      </c>
      <c r="R205" s="333">
        <f t="shared" si="38"/>
        <v>0</v>
      </c>
      <c r="S205" s="43"/>
      <c r="T205" s="43"/>
      <c r="U205" s="43"/>
    </row>
    <row r="206" spans="2:21" s="47" customFormat="1" ht="27.75" customHeight="1" x14ac:dyDescent="0.2">
      <c r="B206" s="56" t="s">
        <v>73</v>
      </c>
      <c r="C206" s="53" t="s">
        <v>669</v>
      </c>
      <c r="D206" s="53" t="s">
        <v>108</v>
      </c>
      <c r="E206" s="53" t="s">
        <v>160</v>
      </c>
      <c r="F206" s="54" t="s">
        <v>458</v>
      </c>
      <c r="G206" s="60" t="s">
        <v>70</v>
      </c>
      <c r="H206" s="52">
        <f>12000+1050</f>
        <v>13050</v>
      </c>
      <c r="I206" s="52">
        <f>12000+1050</f>
        <v>13050</v>
      </c>
      <c r="J206" s="300">
        <f t="shared" si="36"/>
        <v>0</v>
      </c>
      <c r="K206" s="52">
        <v>13000</v>
      </c>
      <c r="L206" s="52">
        <f>12000+1050</f>
        <v>13050</v>
      </c>
      <c r="M206" s="300">
        <f t="shared" si="46"/>
        <v>0</v>
      </c>
      <c r="N206" s="52">
        <v>13000</v>
      </c>
      <c r="O206" s="300">
        <f t="shared" si="37"/>
        <v>0</v>
      </c>
      <c r="P206" s="52">
        <v>13300</v>
      </c>
      <c r="Q206" s="52">
        <v>13300</v>
      </c>
      <c r="R206" s="333">
        <f t="shared" si="38"/>
        <v>0</v>
      </c>
      <c r="S206" s="43"/>
      <c r="T206" s="43"/>
      <c r="U206" s="43"/>
    </row>
    <row r="207" spans="2:21" s="47" customFormat="1" ht="17.25" customHeight="1" x14ac:dyDescent="0.2">
      <c r="B207" s="117" t="s">
        <v>457</v>
      </c>
      <c r="C207" s="53" t="s">
        <v>669</v>
      </c>
      <c r="D207" s="53" t="s">
        <v>108</v>
      </c>
      <c r="E207" s="53" t="s">
        <v>160</v>
      </c>
      <c r="F207" s="54" t="s">
        <v>456</v>
      </c>
      <c r="G207" s="53"/>
      <c r="H207" s="52">
        <f t="shared" ref="H207:Q208" si="47">H208</f>
        <v>379.6</v>
      </c>
      <c r="I207" s="52">
        <f t="shared" si="47"/>
        <v>379.6</v>
      </c>
      <c r="J207" s="300">
        <f t="shared" si="36"/>
        <v>0</v>
      </c>
      <c r="K207" s="52">
        <f t="shared" si="47"/>
        <v>250</v>
      </c>
      <c r="L207" s="52">
        <f t="shared" si="47"/>
        <v>379.6</v>
      </c>
      <c r="M207" s="300">
        <f t="shared" si="46"/>
        <v>0</v>
      </c>
      <c r="N207" s="52">
        <f t="shared" si="47"/>
        <v>250</v>
      </c>
      <c r="O207" s="300">
        <f t="shared" si="37"/>
        <v>0</v>
      </c>
      <c r="P207" s="52">
        <f t="shared" si="47"/>
        <v>250</v>
      </c>
      <c r="Q207" s="52">
        <f t="shared" si="47"/>
        <v>250</v>
      </c>
      <c r="R207" s="333">
        <f t="shared" si="38"/>
        <v>0</v>
      </c>
      <c r="S207" s="43"/>
      <c r="T207" s="43"/>
      <c r="U207" s="43"/>
    </row>
    <row r="208" spans="2:21" s="47" customFormat="1" ht="15.75" customHeight="1" x14ac:dyDescent="0.2">
      <c r="B208" s="64" t="s">
        <v>455</v>
      </c>
      <c r="C208" s="53" t="s">
        <v>669</v>
      </c>
      <c r="D208" s="53" t="s">
        <v>108</v>
      </c>
      <c r="E208" s="53" t="s">
        <v>160</v>
      </c>
      <c r="F208" s="54" t="s">
        <v>454</v>
      </c>
      <c r="G208" s="53"/>
      <c r="H208" s="52">
        <f t="shared" si="47"/>
        <v>379.6</v>
      </c>
      <c r="I208" s="52">
        <f t="shared" si="47"/>
        <v>379.6</v>
      </c>
      <c r="J208" s="300">
        <f t="shared" ref="J208:J279" si="48">I208-H208</f>
        <v>0</v>
      </c>
      <c r="K208" s="52">
        <f t="shared" si="47"/>
        <v>250</v>
      </c>
      <c r="L208" s="52">
        <f t="shared" si="47"/>
        <v>379.6</v>
      </c>
      <c r="M208" s="300">
        <f t="shared" si="46"/>
        <v>0</v>
      </c>
      <c r="N208" s="52">
        <f t="shared" si="47"/>
        <v>250</v>
      </c>
      <c r="O208" s="300">
        <f t="shared" ref="O208:O279" si="49">N208-K208</f>
        <v>0</v>
      </c>
      <c r="P208" s="52">
        <f t="shared" si="47"/>
        <v>250</v>
      </c>
      <c r="Q208" s="52">
        <f t="shared" si="47"/>
        <v>250</v>
      </c>
      <c r="R208" s="333">
        <f t="shared" ref="R208:R279" si="50">Q208-P208</f>
        <v>0</v>
      </c>
      <c r="S208" s="43"/>
      <c r="T208" s="43"/>
      <c r="U208" s="43"/>
    </row>
    <row r="209" spans="2:21" s="47" customFormat="1" ht="27.75" customHeight="1" x14ac:dyDescent="0.2">
      <c r="B209" s="56" t="s">
        <v>73</v>
      </c>
      <c r="C209" s="53" t="s">
        <v>669</v>
      </c>
      <c r="D209" s="53" t="s">
        <v>108</v>
      </c>
      <c r="E209" s="53" t="s">
        <v>160</v>
      </c>
      <c r="F209" s="54" t="s">
        <v>454</v>
      </c>
      <c r="G209" s="53" t="s">
        <v>70</v>
      </c>
      <c r="H209" s="52">
        <v>379.6</v>
      </c>
      <c r="I209" s="52">
        <v>379.6</v>
      </c>
      <c r="J209" s="300">
        <f t="shared" si="48"/>
        <v>0</v>
      </c>
      <c r="K209" s="52">
        <v>250</v>
      </c>
      <c r="L209" s="52">
        <v>379.6</v>
      </c>
      <c r="M209" s="300">
        <f t="shared" si="46"/>
        <v>0</v>
      </c>
      <c r="N209" s="52">
        <v>250</v>
      </c>
      <c r="O209" s="300">
        <f t="shared" si="49"/>
        <v>0</v>
      </c>
      <c r="P209" s="52">
        <v>250</v>
      </c>
      <c r="Q209" s="52">
        <v>250</v>
      </c>
      <c r="R209" s="333">
        <f t="shared" si="50"/>
        <v>0</v>
      </c>
      <c r="S209" s="43"/>
      <c r="T209" s="43"/>
      <c r="U209" s="43"/>
    </row>
    <row r="210" spans="2:21" s="47" customFormat="1" ht="40.5" hidden="1" customHeight="1" x14ac:dyDescent="0.2">
      <c r="B210" s="56" t="s">
        <v>453</v>
      </c>
      <c r="C210" s="53" t="s">
        <v>669</v>
      </c>
      <c r="D210" s="53" t="s">
        <v>108</v>
      </c>
      <c r="E210" s="53" t="s">
        <v>160</v>
      </c>
      <c r="F210" s="54" t="s">
        <v>452</v>
      </c>
      <c r="G210" s="53"/>
      <c r="H210" s="52">
        <f t="shared" ref="H210:Q213" si="51">H211</f>
        <v>0</v>
      </c>
      <c r="I210" s="52">
        <f t="shared" si="51"/>
        <v>0</v>
      </c>
      <c r="J210" s="300">
        <f t="shared" si="48"/>
        <v>0</v>
      </c>
      <c r="K210" s="52">
        <f t="shared" si="51"/>
        <v>0</v>
      </c>
      <c r="L210" s="52">
        <f t="shared" si="51"/>
        <v>0</v>
      </c>
      <c r="M210" s="300">
        <f t="shared" si="46"/>
        <v>0</v>
      </c>
      <c r="N210" s="52">
        <f t="shared" si="51"/>
        <v>0</v>
      </c>
      <c r="O210" s="300">
        <f t="shared" si="49"/>
        <v>0</v>
      </c>
      <c r="P210" s="52">
        <f t="shared" si="51"/>
        <v>0</v>
      </c>
      <c r="Q210" s="52">
        <f t="shared" si="51"/>
        <v>0</v>
      </c>
      <c r="R210" s="333">
        <f t="shared" si="50"/>
        <v>0</v>
      </c>
      <c r="S210" s="43"/>
      <c r="T210" s="43"/>
      <c r="U210" s="43"/>
    </row>
    <row r="211" spans="2:21" s="47" customFormat="1" ht="16.5" hidden="1" customHeight="1" x14ac:dyDescent="0.2">
      <c r="B211" s="56" t="s">
        <v>52</v>
      </c>
      <c r="C211" s="53" t="s">
        <v>669</v>
      </c>
      <c r="D211" s="53" t="s">
        <v>108</v>
      </c>
      <c r="E211" s="53" t="s">
        <v>160</v>
      </c>
      <c r="F211" s="54" t="s">
        <v>451</v>
      </c>
      <c r="G211" s="53"/>
      <c r="H211" s="52">
        <f t="shared" si="51"/>
        <v>0</v>
      </c>
      <c r="I211" s="52">
        <f t="shared" si="51"/>
        <v>0</v>
      </c>
      <c r="J211" s="300">
        <f t="shared" si="48"/>
        <v>0</v>
      </c>
      <c r="K211" s="52">
        <f t="shared" si="51"/>
        <v>0</v>
      </c>
      <c r="L211" s="52">
        <f t="shared" si="51"/>
        <v>0</v>
      </c>
      <c r="M211" s="300">
        <f t="shared" si="46"/>
        <v>0</v>
      </c>
      <c r="N211" s="52">
        <f t="shared" si="51"/>
        <v>0</v>
      </c>
      <c r="O211" s="300">
        <f t="shared" si="49"/>
        <v>0</v>
      </c>
      <c r="P211" s="52">
        <f t="shared" si="51"/>
        <v>0</v>
      </c>
      <c r="Q211" s="52">
        <f t="shared" si="51"/>
        <v>0</v>
      </c>
      <c r="R211" s="333">
        <f t="shared" si="50"/>
        <v>0</v>
      </c>
      <c r="S211" s="43"/>
      <c r="T211" s="43"/>
      <c r="U211" s="43"/>
    </row>
    <row r="212" spans="2:21" s="47" customFormat="1" ht="23.25" hidden="1" customHeight="1" x14ac:dyDescent="0.2">
      <c r="B212" s="56" t="s">
        <v>450</v>
      </c>
      <c r="C212" s="53" t="s">
        <v>669</v>
      </c>
      <c r="D212" s="53" t="s">
        <v>108</v>
      </c>
      <c r="E212" s="53" t="s">
        <v>160</v>
      </c>
      <c r="F212" s="54" t="s">
        <v>449</v>
      </c>
      <c r="G212" s="53"/>
      <c r="H212" s="52">
        <f t="shared" si="51"/>
        <v>0</v>
      </c>
      <c r="I212" s="52">
        <f t="shared" si="51"/>
        <v>0</v>
      </c>
      <c r="J212" s="300">
        <f t="shared" si="48"/>
        <v>0</v>
      </c>
      <c r="K212" s="52">
        <f t="shared" si="51"/>
        <v>0</v>
      </c>
      <c r="L212" s="52">
        <f t="shared" si="51"/>
        <v>0</v>
      </c>
      <c r="M212" s="300">
        <f t="shared" si="46"/>
        <v>0</v>
      </c>
      <c r="N212" s="52">
        <f t="shared" si="51"/>
        <v>0</v>
      </c>
      <c r="O212" s="300">
        <f t="shared" si="49"/>
        <v>0</v>
      </c>
      <c r="P212" s="52">
        <f t="shared" si="51"/>
        <v>0</v>
      </c>
      <c r="Q212" s="52">
        <f t="shared" si="51"/>
        <v>0</v>
      </c>
      <c r="R212" s="333">
        <f t="shared" si="50"/>
        <v>0</v>
      </c>
      <c r="S212" s="43"/>
      <c r="T212" s="43"/>
      <c r="U212" s="43"/>
    </row>
    <row r="213" spans="2:21" s="47" customFormat="1" ht="27.75" hidden="1" customHeight="1" x14ac:dyDescent="0.2">
      <c r="B213" s="56" t="s">
        <v>448</v>
      </c>
      <c r="C213" s="53" t="s">
        <v>669</v>
      </c>
      <c r="D213" s="53" t="s">
        <v>108</v>
      </c>
      <c r="E213" s="53" t="s">
        <v>160</v>
      </c>
      <c r="F213" s="54" t="s">
        <v>447</v>
      </c>
      <c r="G213" s="53"/>
      <c r="H213" s="52">
        <f t="shared" si="51"/>
        <v>0</v>
      </c>
      <c r="I213" s="52">
        <f t="shared" si="51"/>
        <v>0</v>
      </c>
      <c r="J213" s="300">
        <f t="shared" si="48"/>
        <v>0</v>
      </c>
      <c r="K213" s="52">
        <f t="shared" si="51"/>
        <v>0</v>
      </c>
      <c r="L213" s="52">
        <f t="shared" si="51"/>
        <v>0</v>
      </c>
      <c r="M213" s="300">
        <f t="shared" si="46"/>
        <v>0</v>
      </c>
      <c r="N213" s="52">
        <f t="shared" si="51"/>
        <v>0</v>
      </c>
      <c r="O213" s="300">
        <f t="shared" si="49"/>
        <v>0</v>
      </c>
      <c r="P213" s="52">
        <f t="shared" si="51"/>
        <v>0</v>
      </c>
      <c r="Q213" s="52">
        <f t="shared" si="51"/>
        <v>0</v>
      </c>
      <c r="R213" s="333">
        <f t="shared" si="50"/>
        <v>0</v>
      </c>
      <c r="S213" s="43"/>
      <c r="T213" s="43"/>
      <c r="U213" s="43"/>
    </row>
    <row r="214" spans="2:21" s="47" customFormat="1" ht="27.75" hidden="1" customHeight="1" x14ac:dyDescent="0.2">
      <c r="B214" s="56" t="s">
        <v>73</v>
      </c>
      <c r="C214" s="53" t="s">
        <v>669</v>
      </c>
      <c r="D214" s="53" t="s">
        <v>108</v>
      </c>
      <c r="E214" s="53" t="s">
        <v>160</v>
      </c>
      <c r="F214" s="54" t="s">
        <v>447</v>
      </c>
      <c r="G214" s="53" t="s">
        <v>70</v>
      </c>
      <c r="H214" s="52">
        <f>1050-1050</f>
        <v>0</v>
      </c>
      <c r="I214" s="52">
        <f>1050-1050</f>
        <v>0</v>
      </c>
      <c r="J214" s="300">
        <f t="shared" si="48"/>
        <v>0</v>
      </c>
      <c r="K214" s="52">
        <v>0</v>
      </c>
      <c r="L214" s="52">
        <f>1050-1050</f>
        <v>0</v>
      </c>
      <c r="M214" s="300">
        <f t="shared" si="46"/>
        <v>0</v>
      </c>
      <c r="N214" s="52">
        <v>0</v>
      </c>
      <c r="O214" s="300">
        <f t="shared" si="49"/>
        <v>0</v>
      </c>
      <c r="P214" s="52">
        <v>0</v>
      </c>
      <c r="Q214" s="52">
        <v>0</v>
      </c>
      <c r="R214" s="333">
        <f t="shared" si="50"/>
        <v>0</v>
      </c>
      <c r="S214" s="43"/>
      <c r="T214" s="43"/>
      <c r="U214" s="43"/>
    </row>
    <row r="215" spans="2:21" s="47" customFormat="1" x14ac:dyDescent="0.2">
      <c r="B215" s="178" t="s">
        <v>446</v>
      </c>
      <c r="C215" s="48" t="s">
        <v>669</v>
      </c>
      <c r="D215" s="48" t="s">
        <v>108</v>
      </c>
      <c r="E215" s="48" t="s">
        <v>412</v>
      </c>
      <c r="F215" s="49"/>
      <c r="G215" s="48"/>
      <c r="H215" s="44">
        <f>H216</f>
        <v>1137.8</v>
      </c>
      <c r="I215" s="44">
        <f>I216</f>
        <v>1137.8</v>
      </c>
      <c r="J215" s="300">
        <f t="shared" si="48"/>
        <v>0</v>
      </c>
      <c r="K215" s="44">
        <f>K216</f>
        <v>966.00000000000011</v>
      </c>
      <c r="L215" s="44">
        <f>L216</f>
        <v>1170</v>
      </c>
      <c r="M215" s="300">
        <f t="shared" si="46"/>
        <v>32.200000000000045</v>
      </c>
      <c r="N215" s="44">
        <f>N216</f>
        <v>966.00000000000011</v>
      </c>
      <c r="O215" s="300">
        <f t="shared" si="49"/>
        <v>0</v>
      </c>
      <c r="P215" s="44">
        <f>P216</f>
        <v>866.00000000000011</v>
      </c>
      <c r="Q215" s="44">
        <f>Q216</f>
        <v>866.00000000000011</v>
      </c>
      <c r="R215" s="333">
        <f t="shared" si="50"/>
        <v>0</v>
      </c>
      <c r="S215" s="43"/>
      <c r="T215" s="43"/>
      <c r="U215" s="43"/>
    </row>
    <row r="216" spans="2:21" s="51" customFormat="1" ht="25.5" x14ac:dyDescent="0.2">
      <c r="B216" s="56" t="s">
        <v>445</v>
      </c>
      <c r="C216" s="53" t="s">
        <v>669</v>
      </c>
      <c r="D216" s="53" t="s">
        <v>108</v>
      </c>
      <c r="E216" s="53" t="s">
        <v>412</v>
      </c>
      <c r="F216" s="54" t="s">
        <v>444</v>
      </c>
      <c r="G216" s="53"/>
      <c r="H216" s="52">
        <f>H217+H223</f>
        <v>1137.8</v>
      </c>
      <c r="I216" s="52">
        <f>I217+I223</f>
        <v>1137.8</v>
      </c>
      <c r="J216" s="300">
        <f t="shared" si="48"/>
        <v>0</v>
      </c>
      <c r="K216" s="52">
        <f>K217+K223</f>
        <v>966.00000000000011</v>
      </c>
      <c r="L216" s="52">
        <f>L217+L223</f>
        <v>1170</v>
      </c>
      <c r="M216" s="300">
        <f t="shared" si="46"/>
        <v>32.200000000000045</v>
      </c>
      <c r="N216" s="52">
        <f>N217+N223</f>
        <v>966.00000000000011</v>
      </c>
      <c r="O216" s="300">
        <f t="shared" si="49"/>
        <v>0</v>
      </c>
      <c r="P216" s="52">
        <f>P217+P223</f>
        <v>866.00000000000011</v>
      </c>
      <c r="Q216" s="52">
        <f>Q217+Q223</f>
        <v>866.00000000000011</v>
      </c>
      <c r="R216" s="333">
        <f t="shared" si="50"/>
        <v>0</v>
      </c>
      <c r="S216" s="32"/>
      <c r="T216" s="32"/>
      <c r="U216" s="32"/>
    </row>
    <row r="217" spans="2:21" s="51" customFormat="1" x14ac:dyDescent="0.2">
      <c r="B217" s="84" t="s">
        <v>443</v>
      </c>
      <c r="C217" s="53" t="s">
        <v>669</v>
      </c>
      <c r="D217" s="53" t="s">
        <v>108</v>
      </c>
      <c r="E217" s="53" t="s">
        <v>412</v>
      </c>
      <c r="F217" s="54" t="s">
        <v>442</v>
      </c>
      <c r="G217" s="53"/>
      <c r="H217" s="52">
        <f t="shared" ref="H217:Q219" si="52">H218</f>
        <v>107.5</v>
      </c>
      <c r="I217" s="52">
        <f t="shared" si="52"/>
        <v>7.5</v>
      </c>
      <c r="J217" s="300">
        <f t="shared" si="48"/>
        <v>-100</v>
      </c>
      <c r="K217" s="52">
        <f t="shared" si="52"/>
        <v>200</v>
      </c>
      <c r="L217" s="52">
        <f t="shared" si="52"/>
        <v>7.5</v>
      </c>
      <c r="M217" s="300">
        <f t="shared" si="46"/>
        <v>0</v>
      </c>
      <c r="N217" s="52">
        <f t="shared" si="52"/>
        <v>100</v>
      </c>
      <c r="O217" s="300">
        <f t="shared" si="49"/>
        <v>-100</v>
      </c>
      <c r="P217" s="52">
        <f t="shared" si="52"/>
        <v>100</v>
      </c>
      <c r="Q217" s="52">
        <f t="shared" si="52"/>
        <v>0</v>
      </c>
      <c r="R217" s="333">
        <f t="shared" si="50"/>
        <v>-100</v>
      </c>
      <c r="S217" s="32"/>
      <c r="T217" s="32"/>
      <c r="U217" s="32"/>
    </row>
    <row r="218" spans="2:21" s="51" customFormat="1" x14ac:dyDescent="0.2">
      <c r="B218" s="84" t="s">
        <v>441</v>
      </c>
      <c r="C218" s="53" t="s">
        <v>669</v>
      </c>
      <c r="D218" s="53" t="s">
        <v>108</v>
      </c>
      <c r="E218" s="53" t="s">
        <v>412</v>
      </c>
      <c r="F218" s="54" t="s">
        <v>440</v>
      </c>
      <c r="G218" s="53"/>
      <c r="H218" s="52">
        <f>H219+H221</f>
        <v>107.5</v>
      </c>
      <c r="I218" s="52">
        <f>I219+I221</f>
        <v>7.5</v>
      </c>
      <c r="J218" s="300">
        <f t="shared" si="48"/>
        <v>-100</v>
      </c>
      <c r="K218" s="52">
        <f>K219+K221</f>
        <v>200</v>
      </c>
      <c r="L218" s="52">
        <f>L219+L221</f>
        <v>7.5</v>
      </c>
      <c r="M218" s="300">
        <f t="shared" si="46"/>
        <v>0</v>
      </c>
      <c r="N218" s="52">
        <f>N219+N221</f>
        <v>100</v>
      </c>
      <c r="O218" s="300">
        <f t="shared" si="49"/>
        <v>-100</v>
      </c>
      <c r="P218" s="52">
        <f>P219+P221</f>
        <v>100</v>
      </c>
      <c r="Q218" s="52">
        <f>Q219+Q221</f>
        <v>0</v>
      </c>
      <c r="R218" s="333">
        <f t="shared" si="50"/>
        <v>-100</v>
      </c>
      <c r="S218" s="32"/>
      <c r="T218" s="32"/>
      <c r="U218" s="32"/>
    </row>
    <row r="219" spans="2:21" s="51" customFormat="1" x14ac:dyDescent="0.2">
      <c r="B219" s="84" t="s">
        <v>439</v>
      </c>
      <c r="C219" s="53" t="s">
        <v>669</v>
      </c>
      <c r="D219" s="53" t="s">
        <v>108</v>
      </c>
      <c r="E219" s="53" t="s">
        <v>412</v>
      </c>
      <c r="F219" s="54" t="s">
        <v>438</v>
      </c>
      <c r="G219" s="53"/>
      <c r="H219" s="52">
        <f t="shared" si="52"/>
        <v>7.5</v>
      </c>
      <c r="I219" s="52">
        <f t="shared" si="52"/>
        <v>7.5</v>
      </c>
      <c r="J219" s="300">
        <f t="shared" si="48"/>
        <v>0</v>
      </c>
      <c r="K219" s="52">
        <f t="shared" si="52"/>
        <v>100</v>
      </c>
      <c r="L219" s="52">
        <f t="shared" si="52"/>
        <v>7.5</v>
      </c>
      <c r="M219" s="300">
        <f t="shared" si="46"/>
        <v>0</v>
      </c>
      <c r="N219" s="52">
        <f t="shared" si="52"/>
        <v>100</v>
      </c>
      <c r="O219" s="300">
        <f t="shared" si="49"/>
        <v>0</v>
      </c>
      <c r="P219" s="52">
        <f t="shared" si="52"/>
        <v>0</v>
      </c>
      <c r="Q219" s="52">
        <f t="shared" si="52"/>
        <v>0</v>
      </c>
      <c r="R219" s="333">
        <f t="shared" si="50"/>
        <v>0</v>
      </c>
      <c r="S219" s="32"/>
      <c r="T219" s="32"/>
      <c r="U219" s="32"/>
    </row>
    <row r="220" spans="2:21" s="51" customFormat="1" ht="25.5" x14ac:dyDescent="0.2">
      <c r="B220" s="84" t="s">
        <v>73</v>
      </c>
      <c r="C220" s="53" t="s">
        <v>669</v>
      </c>
      <c r="D220" s="53" t="s">
        <v>108</v>
      </c>
      <c r="E220" s="53" t="s">
        <v>412</v>
      </c>
      <c r="F220" s="54" t="s">
        <v>438</v>
      </c>
      <c r="G220" s="53" t="s">
        <v>70</v>
      </c>
      <c r="H220" s="52">
        <v>7.5</v>
      </c>
      <c r="I220" s="52">
        <v>7.5</v>
      </c>
      <c r="J220" s="300">
        <f t="shared" si="48"/>
        <v>0</v>
      </c>
      <c r="K220" s="52">
        <v>100</v>
      </c>
      <c r="L220" s="52">
        <v>7.5</v>
      </c>
      <c r="M220" s="300">
        <f t="shared" si="46"/>
        <v>0</v>
      </c>
      <c r="N220" s="52">
        <v>100</v>
      </c>
      <c r="O220" s="300">
        <f t="shared" si="49"/>
        <v>0</v>
      </c>
      <c r="P220" s="52">
        <v>0</v>
      </c>
      <c r="Q220" s="52">
        <v>0</v>
      </c>
      <c r="R220" s="333">
        <f t="shared" si="50"/>
        <v>0</v>
      </c>
      <c r="S220" s="32"/>
      <c r="T220" s="32"/>
      <c r="U220" s="32"/>
    </row>
    <row r="221" spans="2:21" s="51" customFormat="1" ht="25.5" hidden="1" x14ac:dyDescent="0.2">
      <c r="B221" s="84" t="s">
        <v>431</v>
      </c>
      <c r="C221" s="53" t="s">
        <v>669</v>
      </c>
      <c r="D221" s="53" t="s">
        <v>108</v>
      </c>
      <c r="E221" s="53" t="s">
        <v>412</v>
      </c>
      <c r="F221" s="54" t="s">
        <v>437</v>
      </c>
      <c r="G221" s="53"/>
      <c r="H221" s="52">
        <f>H222</f>
        <v>100</v>
      </c>
      <c r="I221" s="52">
        <f>I222</f>
        <v>0</v>
      </c>
      <c r="J221" s="300">
        <f t="shared" si="48"/>
        <v>-100</v>
      </c>
      <c r="K221" s="52">
        <f>K222</f>
        <v>100</v>
      </c>
      <c r="L221" s="52">
        <f>L222</f>
        <v>0</v>
      </c>
      <c r="M221" s="300">
        <f t="shared" si="46"/>
        <v>0</v>
      </c>
      <c r="N221" s="52">
        <f>N222</f>
        <v>0</v>
      </c>
      <c r="O221" s="300">
        <f t="shared" si="49"/>
        <v>-100</v>
      </c>
      <c r="P221" s="52">
        <f>P222</f>
        <v>100</v>
      </c>
      <c r="Q221" s="52">
        <f>Q222</f>
        <v>0</v>
      </c>
      <c r="R221" s="333">
        <f t="shared" si="50"/>
        <v>-100</v>
      </c>
      <c r="S221" s="32"/>
      <c r="T221" s="32"/>
      <c r="U221" s="32"/>
    </row>
    <row r="222" spans="2:21" s="51" customFormat="1" ht="25.5" hidden="1" x14ac:dyDescent="0.2">
      <c r="B222" s="84" t="s">
        <v>73</v>
      </c>
      <c r="C222" s="53" t="s">
        <v>669</v>
      </c>
      <c r="D222" s="53" t="s">
        <v>108</v>
      </c>
      <c r="E222" s="53" t="s">
        <v>412</v>
      </c>
      <c r="F222" s="54" t="s">
        <v>437</v>
      </c>
      <c r="G222" s="53" t="s">
        <v>70</v>
      </c>
      <c r="H222" s="52">
        <v>100</v>
      </c>
      <c r="I222" s="52">
        <f>100-100</f>
        <v>0</v>
      </c>
      <c r="J222" s="300">
        <f t="shared" si="48"/>
        <v>-100</v>
      </c>
      <c r="K222" s="52">
        <v>100</v>
      </c>
      <c r="L222" s="52">
        <f>100-100</f>
        <v>0</v>
      </c>
      <c r="M222" s="300">
        <f t="shared" si="46"/>
        <v>0</v>
      </c>
      <c r="N222" s="52">
        <f>100-100</f>
        <v>0</v>
      </c>
      <c r="O222" s="300">
        <f t="shared" si="49"/>
        <v>-100</v>
      </c>
      <c r="P222" s="52">
        <v>100</v>
      </c>
      <c r="Q222" s="52">
        <f>100-100</f>
        <v>0</v>
      </c>
      <c r="R222" s="333">
        <f t="shared" si="50"/>
        <v>-100</v>
      </c>
      <c r="S222" s="32"/>
      <c r="T222" s="32"/>
      <c r="U222" s="32"/>
    </row>
    <row r="223" spans="2:21" s="51" customFormat="1" x14ac:dyDescent="0.2">
      <c r="B223" s="56" t="s">
        <v>52</v>
      </c>
      <c r="C223" s="53" t="s">
        <v>669</v>
      </c>
      <c r="D223" s="53" t="s">
        <v>108</v>
      </c>
      <c r="E223" s="53" t="s">
        <v>412</v>
      </c>
      <c r="F223" s="54" t="s">
        <v>436</v>
      </c>
      <c r="G223" s="53"/>
      <c r="H223" s="52">
        <f>H224</f>
        <v>1030.3</v>
      </c>
      <c r="I223" s="52">
        <f>I224</f>
        <v>1130.3</v>
      </c>
      <c r="J223" s="300">
        <f t="shared" si="48"/>
        <v>100</v>
      </c>
      <c r="K223" s="52">
        <f>K224</f>
        <v>766.00000000000011</v>
      </c>
      <c r="L223" s="52">
        <f>L224</f>
        <v>1162.5</v>
      </c>
      <c r="M223" s="300">
        <f t="shared" si="46"/>
        <v>32.200000000000045</v>
      </c>
      <c r="N223" s="52">
        <f>N224</f>
        <v>866.00000000000011</v>
      </c>
      <c r="O223" s="300">
        <f t="shared" si="49"/>
        <v>100</v>
      </c>
      <c r="P223" s="52">
        <f>P224</f>
        <v>766.00000000000011</v>
      </c>
      <c r="Q223" s="52">
        <f>Q224</f>
        <v>866.00000000000011</v>
      </c>
      <c r="R223" s="333">
        <f t="shared" si="50"/>
        <v>100</v>
      </c>
      <c r="S223" s="32"/>
      <c r="T223" s="32"/>
      <c r="U223" s="32"/>
    </row>
    <row r="224" spans="2:21" s="51" customFormat="1" ht="25.5" x14ac:dyDescent="0.2">
      <c r="B224" s="56" t="s">
        <v>435</v>
      </c>
      <c r="C224" s="53" t="s">
        <v>669</v>
      </c>
      <c r="D224" s="53" t="s">
        <v>108</v>
      </c>
      <c r="E224" s="53" t="s">
        <v>412</v>
      </c>
      <c r="F224" s="54" t="s">
        <v>434</v>
      </c>
      <c r="G224" s="53"/>
      <c r="H224" s="52">
        <f>H229+H231+H227</f>
        <v>1030.3</v>
      </c>
      <c r="I224" s="52">
        <f>I229+I231+I227+I225</f>
        <v>1130.3</v>
      </c>
      <c r="J224" s="52">
        <f t="shared" ref="J224:Q224" si="53">J229+J231+J227+J225</f>
        <v>100</v>
      </c>
      <c r="K224" s="52">
        <f t="shared" si="53"/>
        <v>766.00000000000011</v>
      </c>
      <c r="L224" s="52">
        <f t="shared" si="53"/>
        <v>1162.5</v>
      </c>
      <c r="M224" s="300">
        <f t="shared" si="46"/>
        <v>32.200000000000045</v>
      </c>
      <c r="N224" s="52">
        <f t="shared" si="53"/>
        <v>866.00000000000011</v>
      </c>
      <c r="O224" s="52">
        <f t="shared" si="53"/>
        <v>100</v>
      </c>
      <c r="P224" s="52">
        <f t="shared" si="53"/>
        <v>766.00000000000011</v>
      </c>
      <c r="Q224" s="52">
        <f t="shared" si="53"/>
        <v>866.00000000000011</v>
      </c>
      <c r="R224" s="333">
        <f t="shared" si="50"/>
        <v>100</v>
      </c>
      <c r="S224" s="32"/>
      <c r="T224" s="32"/>
      <c r="U224" s="32"/>
    </row>
    <row r="225" spans="2:21" s="51" customFormat="1" x14ac:dyDescent="0.2">
      <c r="B225" s="84" t="s">
        <v>433</v>
      </c>
      <c r="C225" s="53" t="s">
        <v>669</v>
      </c>
      <c r="D225" s="53" t="s">
        <v>108</v>
      </c>
      <c r="E225" s="53" t="s">
        <v>412</v>
      </c>
      <c r="F225" s="54" t="s">
        <v>432</v>
      </c>
      <c r="G225" s="53"/>
      <c r="H225" s="52"/>
      <c r="I225" s="52">
        <f>I226</f>
        <v>0</v>
      </c>
      <c r="J225" s="52">
        <f t="shared" ref="J225:Q225" si="54">J226</f>
        <v>0</v>
      </c>
      <c r="K225" s="52">
        <f t="shared" si="54"/>
        <v>0</v>
      </c>
      <c r="L225" s="52">
        <f t="shared" si="54"/>
        <v>32.200000000000003</v>
      </c>
      <c r="M225" s="300">
        <f t="shared" si="46"/>
        <v>32.200000000000003</v>
      </c>
      <c r="N225" s="52">
        <f t="shared" si="54"/>
        <v>0</v>
      </c>
      <c r="O225" s="52">
        <f t="shared" si="54"/>
        <v>0</v>
      </c>
      <c r="P225" s="52">
        <f t="shared" si="54"/>
        <v>0</v>
      </c>
      <c r="Q225" s="52">
        <f t="shared" si="54"/>
        <v>0</v>
      </c>
      <c r="R225" s="333"/>
      <c r="S225" s="32"/>
      <c r="T225" s="32"/>
      <c r="U225" s="32"/>
    </row>
    <row r="226" spans="2:21" s="51" customFormat="1" ht="25.5" x14ac:dyDescent="0.2">
      <c r="B226" s="84" t="s">
        <v>73</v>
      </c>
      <c r="C226" s="53" t="s">
        <v>669</v>
      </c>
      <c r="D226" s="53" t="s">
        <v>108</v>
      </c>
      <c r="E226" s="53" t="s">
        <v>412</v>
      </c>
      <c r="F226" s="54" t="s">
        <v>432</v>
      </c>
      <c r="G226" s="53" t="s">
        <v>70</v>
      </c>
      <c r="H226" s="52"/>
      <c r="I226" s="52">
        <v>0</v>
      </c>
      <c r="J226" s="300"/>
      <c r="K226" s="52"/>
      <c r="L226" s="52">
        <v>32.200000000000003</v>
      </c>
      <c r="M226" s="300">
        <f t="shared" si="46"/>
        <v>32.200000000000003</v>
      </c>
      <c r="N226" s="52">
        <v>0</v>
      </c>
      <c r="O226" s="300"/>
      <c r="P226" s="65"/>
      <c r="Q226" s="52">
        <v>0</v>
      </c>
      <c r="R226" s="333"/>
      <c r="S226" s="32"/>
      <c r="T226" s="32"/>
      <c r="U226" s="32"/>
    </row>
    <row r="227" spans="2:21" s="51" customFormat="1" ht="25.5" x14ac:dyDescent="0.2">
      <c r="B227" s="84" t="s">
        <v>431</v>
      </c>
      <c r="C227" s="53" t="s">
        <v>669</v>
      </c>
      <c r="D227" s="53" t="s">
        <v>108</v>
      </c>
      <c r="E227" s="53" t="s">
        <v>412</v>
      </c>
      <c r="F227" s="54" t="s">
        <v>430</v>
      </c>
      <c r="G227" s="60"/>
      <c r="H227" s="52">
        <f>H228</f>
        <v>0</v>
      </c>
      <c r="I227" s="52">
        <f>I228</f>
        <v>100</v>
      </c>
      <c r="J227" s="300">
        <f t="shared" si="48"/>
        <v>100</v>
      </c>
      <c r="K227" s="52">
        <f>K228</f>
        <v>0</v>
      </c>
      <c r="L227" s="52">
        <f>L228</f>
        <v>100</v>
      </c>
      <c r="M227" s="300">
        <f t="shared" si="46"/>
        <v>0</v>
      </c>
      <c r="N227" s="52">
        <f>N228</f>
        <v>100</v>
      </c>
      <c r="O227" s="300">
        <f t="shared" si="49"/>
        <v>100</v>
      </c>
      <c r="P227" s="65">
        <f>P228</f>
        <v>0</v>
      </c>
      <c r="Q227" s="52">
        <f>Q228</f>
        <v>100</v>
      </c>
      <c r="R227" s="333">
        <f t="shared" si="50"/>
        <v>100</v>
      </c>
      <c r="S227" s="32"/>
      <c r="T227" s="32"/>
      <c r="U227" s="32"/>
    </row>
    <row r="228" spans="2:21" s="51" customFormat="1" ht="25.5" x14ac:dyDescent="0.2">
      <c r="B228" s="84" t="s">
        <v>73</v>
      </c>
      <c r="C228" s="53" t="s">
        <v>669</v>
      </c>
      <c r="D228" s="53" t="s">
        <v>108</v>
      </c>
      <c r="E228" s="53" t="s">
        <v>412</v>
      </c>
      <c r="F228" s="54" t="s">
        <v>430</v>
      </c>
      <c r="G228" s="60" t="s">
        <v>70</v>
      </c>
      <c r="H228" s="52">
        <v>0</v>
      </c>
      <c r="I228" s="52">
        <v>100</v>
      </c>
      <c r="J228" s="300">
        <f t="shared" si="48"/>
        <v>100</v>
      </c>
      <c r="K228" s="52">
        <v>0</v>
      </c>
      <c r="L228" s="52">
        <v>100</v>
      </c>
      <c r="M228" s="300">
        <f t="shared" si="46"/>
        <v>0</v>
      </c>
      <c r="N228" s="52">
        <v>100</v>
      </c>
      <c r="O228" s="300">
        <f t="shared" si="49"/>
        <v>100</v>
      </c>
      <c r="P228" s="65">
        <v>0</v>
      </c>
      <c r="Q228" s="52">
        <v>100</v>
      </c>
      <c r="R228" s="333">
        <f t="shared" si="50"/>
        <v>100</v>
      </c>
      <c r="S228" s="32"/>
      <c r="T228" s="32"/>
      <c r="U228" s="32"/>
    </row>
    <row r="229" spans="2:21" s="51" customFormat="1" ht="25.5" x14ac:dyDescent="0.2">
      <c r="B229" s="84" t="s">
        <v>429</v>
      </c>
      <c r="C229" s="53" t="s">
        <v>669</v>
      </c>
      <c r="D229" s="53" t="s">
        <v>108</v>
      </c>
      <c r="E229" s="53" t="s">
        <v>412</v>
      </c>
      <c r="F229" s="54" t="s">
        <v>428</v>
      </c>
      <c r="G229" s="53"/>
      <c r="H229" s="52">
        <f>H230</f>
        <v>400.5</v>
      </c>
      <c r="I229" s="52">
        <f>I230</f>
        <v>400.5</v>
      </c>
      <c r="J229" s="300">
        <f t="shared" si="48"/>
        <v>0</v>
      </c>
      <c r="K229" s="52">
        <f>K230</f>
        <v>470.30000000000013</v>
      </c>
      <c r="L229" s="52">
        <f>L230</f>
        <v>400.5</v>
      </c>
      <c r="M229" s="300">
        <f t="shared" si="46"/>
        <v>0</v>
      </c>
      <c r="N229" s="52">
        <f>N230</f>
        <v>470.30000000000013</v>
      </c>
      <c r="O229" s="300">
        <f t="shared" si="49"/>
        <v>0</v>
      </c>
      <c r="P229" s="52">
        <f>P230</f>
        <v>470.30000000000013</v>
      </c>
      <c r="Q229" s="52">
        <f>Q230</f>
        <v>470.30000000000013</v>
      </c>
      <c r="R229" s="333">
        <f t="shared" si="50"/>
        <v>0</v>
      </c>
      <c r="S229" s="32"/>
      <c r="T229" s="32"/>
      <c r="U229" s="32"/>
    </row>
    <row r="230" spans="2:21" s="51" customFormat="1" ht="41.25" customHeight="1" x14ac:dyDescent="0.2">
      <c r="B230" s="137" t="s">
        <v>426</v>
      </c>
      <c r="C230" s="53" t="s">
        <v>669</v>
      </c>
      <c r="D230" s="53" t="s">
        <v>108</v>
      </c>
      <c r="E230" s="53" t="s">
        <v>412</v>
      </c>
      <c r="F230" s="54" t="s">
        <v>428</v>
      </c>
      <c r="G230" s="53" t="s">
        <v>424</v>
      </c>
      <c r="H230" s="52">
        <f>380.5+20</f>
        <v>400.5</v>
      </c>
      <c r="I230" s="52">
        <f>380.5+20</f>
        <v>400.5</v>
      </c>
      <c r="J230" s="300">
        <f t="shared" si="48"/>
        <v>0</v>
      </c>
      <c r="K230" s="52">
        <f>1048.9+55.2-602.1-31.7</f>
        <v>470.30000000000013</v>
      </c>
      <c r="L230" s="52">
        <f>380.5+20</f>
        <v>400.5</v>
      </c>
      <c r="M230" s="300">
        <f t="shared" si="46"/>
        <v>0</v>
      </c>
      <c r="N230" s="52">
        <f>1048.9+55.2-602.1-31.7</f>
        <v>470.30000000000013</v>
      </c>
      <c r="O230" s="300">
        <f t="shared" si="49"/>
        <v>0</v>
      </c>
      <c r="P230" s="65">
        <f>1048.9+55.2-602.1-31.7</f>
        <v>470.30000000000013</v>
      </c>
      <c r="Q230" s="65">
        <f>1048.9+55.2-602.1-31.7</f>
        <v>470.30000000000013</v>
      </c>
      <c r="R230" s="333">
        <f t="shared" si="50"/>
        <v>0</v>
      </c>
      <c r="S230" s="32"/>
      <c r="T230" s="32"/>
      <c r="U230" s="32"/>
    </row>
    <row r="231" spans="2:21" s="51" customFormat="1" ht="27" customHeight="1" x14ac:dyDescent="0.2">
      <c r="B231" s="137" t="s">
        <v>427</v>
      </c>
      <c r="C231" s="53" t="s">
        <v>669</v>
      </c>
      <c r="D231" s="53" t="s">
        <v>108</v>
      </c>
      <c r="E231" s="53" t="s">
        <v>412</v>
      </c>
      <c r="F231" s="54" t="s">
        <v>425</v>
      </c>
      <c r="G231" s="53"/>
      <c r="H231" s="52">
        <f>H232</f>
        <v>629.79999999999995</v>
      </c>
      <c r="I231" s="52">
        <f>I232</f>
        <v>629.79999999999995</v>
      </c>
      <c r="J231" s="300">
        <f t="shared" si="48"/>
        <v>0</v>
      </c>
      <c r="K231" s="52">
        <f>K232</f>
        <v>295.7</v>
      </c>
      <c r="L231" s="52">
        <f>L232</f>
        <v>629.79999999999995</v>
      </c>
      <c r="M231" s="300">
        <f t="shared" si="46"/>
        <v>0</v>
      </c>
      <c r="N231" s="52">
        <f>N232</f>
        <v>295.7</v>
      </c>
      <c r="O231" s="300">
        <f t="shared" si="49"/>
        <v>0</v>
      </c>
      <c r="P231" s="52">
        <f>P232</f>
        <v>295.7</v>
      </c>
      <c r="Q231" s="52">
        <f>Q232</f>
        <v>295.7</v>
      </c>
      <c r="R231" s="333">
        <f t="shared" si="50"/>
        <v>0</v>
      </c>
      <c r="S231" s="32"/>
      <c r="T231" s="32"/>
      <c r="U231" s="32"/>
    </row>
    <row r="232" spans="2:21" s="51" customFormat="1" ht="41.25" customHeight="1" x14ac:dyDescent="0.2">
      <c r="B232" s="137" t="s">
        <v>426</v>
      </c>
      <c r="C232" s="53" t="s">
        <v>669</v>
      </c>
      <c r="D232" s="53" t="s">
        <v>108</v>
      </c>
      <c r="E232" s="53" t="s">
        <v>412</v>
      </c>
      <c r="F232" s="54" t="s">
        <v>425</v>
      </c>
      <c r="G232" s="53" t="s">
        <v>424</v>
      </c>
      <c r="H232" s="52">
        <f>598.3+31.5</f>
        <v>629.79999999999995</v>
      </c>
      <c r="I232" s="52">
        <f>598.3+31.5</f>
        <v>629.79999999999995</v>
      </c>
      <c r="J232" s="300">
        <f t="shared" si="48"/>
        <v>0</v>
      </c>
      <c r="K232" s="52">
        <f>280.9+14.8</f>
        <v>295.7</v>
      </c>
      <c r="L232" s="52">
        <f>598.3+31.5</f>
        <v>629.79999999999995</v>
      </c>
      <c r="M232" s="300">
        <f t="shared" si="46"/>
        <v>0</v>
      </c>
      <c r="N232" s="52">
        <f>280.9+14.8</f>
        <v>295.7</v>
      </c>
      <c r="O232" s="300">
        <f t="shared" si="49"/>
        <v>0</v>
      </c>
      <c r="P232" s="52">
        <f>280.9+14.8</f>
        <v>295.7</v>
      </c>
      <c r="Q232" s="52">
        <f>280.9+14.8</f>
        <v>295.7</v>
      </c>
      <c r="R232" s="333">
        <f t="shared" si="50"/>
        <v>0</v>
      </c>
      <c r="S232" s="32"/>
      <c r="T232" s="32"/>
      <c r="U232" s="32"/>
    </row>
    <row r="233" spans="2:21" s="43" customFormat="1" x14ac:dyDescent="0.2">
      <c r="B233" s="59" t="s">
        <v>676</v>
      </c>
      <c r="C233" s="48" t="s">
        <v>669</v>
      </c>
      <c r="D233" s="48" t="s">
        <v>59</v>
      </c>
      <c r="E233" s="48"/>
      <c r="F233" s="48"/>
      <c r="G233" s="48"/>
      <c r="H233" s="44">
        <f>H234+H253+H290</f>
        <v>164254.09999999998</v>
      </c>
      <c r="I233" s="44">
        <f>I234+I253+I290</f>
        <v>179803.8</v>
      </c>
      <c r="J233" s="300">
        <f t="shared" si="48"/>
        <v>15549.700000000012</v>
      </c>
      <c r="K233" s="44">
        <f>K234+K253+K290</f>
        <v>44180.4</v>
      </c>
      <c r="L233" s="44">
        <f>L234+L253+L290</f>
        <v>224622.09999999998</v>
      </c>
      <c r="M233" s="300">
        <f t="shared" si="46"/>
        <v>44818.299999999988</v>
      </c>
      <c r="N233" s="44">
        <f>N234+N253+N290</f>
        <v>32253.4</v>
      </c>
      <c r="O233" s="300">
        <f t="shared" si="49"/>
        <v>-11927</v>
      </c>
      <c r="P233" s="44">
        <f>P234+P253+P290</f>
        <v>44808.4</v>
      </c>
      <c r="Q233" s="44">
        <f>Q234+Q253+Q290</f>
        <v>32881.4</v>
      </c>
      <c r="R233" s="333">
        <f t="shared" si="50"/>
        <v>-11927</v>
      </c>
    </row>
    <row r="234" spans="2:21" s="43" customFormat="1" x14ac:dyDescent="0.2">
      <c r="B234" s="59" t="s">
        <v>409</v>
      </c>
      <c r="C234" s="48" t="s">
        <v>669</v>
      </c>
      <c r="D234" s="48" t="s">
        <v>59</v>
      </c>
      <c r="E234" s="48" t="s">
        <v>45</v>
      </c>
      <c r="F234" s="48"/>
      <c r="G234" s="48"/>
      <c r="H234" s="44">
        <f>H239+H235</f>
        <v>8803.7999999999993</v>
      </c>
      <c r="I234" s="44">
        <f>I239+I235</f>
        <v>8817.7999999999993</v>
      </c>
      <c r="J234" s="300">
        <f t="shared" si="48"/>
        <v>14</v>
      </c>
      <c r="K234" s="44">
        <f>K239+K235</f>
        <v>13727</v>
      </c>
      <c r="L234" s="44">
        <f>L239+L235</f>
        <v>452.80000000000024</v>
      </c>
      <c r="M234" s="300">
        <f t="shared" si="46"/>
        <v>-8364.9999999999982</v>
      </c>
      <c r="N234" s="44">
        <f>N239+N235</f>
        <v>1800.0000000000002</v>
      </c>
      <c r="O234" s="300">
        <f t="shared" si="49"/>
        <v>-11927</v>
      </c>
      <c r="P234" s="44">
        <f>P239+P235</f>
        <v>12927</v>
      </c>
      <c r="Q234" s="44">
        <f>Q239+Q235</f>
        <v>1000.0000000000002</v>
      </c>
      <c r="R234" s="333">
        <f t="shared" si="50"/>
        <v>-11927</v>
      </c>
    </row>
    <row r="235" spans="2:21" s="43" customFormat="1" ht="38.25" hidden="1" x14ac:dyDescent="0.2">
      <c r="B235" s="69" t="s">
        <v>135</v>
      </c>
      <c r="C235" s="53" t="s">
        <v>669</v>
      </c>
      <c r="D235" s="53" t="s">
        <v>59</v>
      </c>
      <c r="E235" s="53" t="s">
        <v>45</v>
      </c>
      <c r="F235" s="54" t="s">
        <v>677</v>
      </c>
      <c r="G235" s="53"/>
      <c r="H235" s="52">
        <f>H236</f>
        <v>0</v>
      </c>
      <c r="I235" s="52">
        <f>I236</f>
        <v>0</v>
      </c>
      <c r="J235" s="300">
        <f t="shared" si="48"/>
        <v>0</v>
      </c>
      <c r="K235" s="52">
        <f>K236</f>
        <v>0</v>
      </c>
      <c r="L235" s="52">
        <f>L236</f>
        <v>0</v>
      </c>
      <c r="M235" s="300">
        <f t="shared" si="46"/>
        <v>0</v>
      </c>
      <c r="N235" s="52">
        <f>N236</f>
        <v>0</v>
      </c>
      <c r="O235" s="300">
        <f t="shared" si="49"/>
        <v>0</v>
      </c>
      <c r="P235" s="52">
        <f>P236</f>
        <v>0</v>
      </c>
      <c r="Q235" s="52">
        <f>Q236</f>
        <v>0</v>
      </c>
      <c r="R235" s="333">
        <f t="shared" si="50"/>
        <v>0</v>
      </c>
    </row>
    <row r="236" spans="2:21" s="43" customFormat="1" ht="25.5" hidden="1" x14ac:dyDescent="0.2">
      <c r="B236" s="179" t="s">
        <v>678</v>
      </c>
      <c r="C236" s="53" t="s">
        <v>669</v>
      </c>
      <c r="D236" s="53" t="s">
        <v>59</v>
      </c>
      <c r="E236" s="53" t="s">
        <v>45</v>
      </c>
      <c r="F236" s="54" t="s">
        <v>677</v>
      </c>
      <c r="G236" s="53"/>
      <c r="H236" s="52">
        <f t="shared" ref="H236:Q237" si="55">H237</f>
        <v>0</v>
      </c>
      <c r="I236" s="52">
        <f t="shared" si="55"/>
        <v>0</v>
      </c>
      <c r="J236" s="300">
        <f t="shared" si="48"/>
        <v>0</v>
      </c>
      <c r="K236" s="52">
        <f t="shared" si="55"/>
        <v>0</v>
      </c>
      <c r="L236" s="52">
        <f t="shared" si="55"/>
        <v>0</v>
      </c>
      <c r="M236" s="300">
        <f t="shared" si="46"/>
        <v>0</v>
      </c>
      <c r="N236" s="52">
        <f t="shared" si="55"/>
        <v>0</v>
      </c>
      <c r="O236" s="300">
        <f t="shared" si="49"/>
        <v>0</v>
      </c>
      <c r="P236" s="52">
        <f t="shared" si="55"/>
        <v>0</v>
      </c>
      <c r="Q236" s="52">
        <f t="shared" si="55"/>
        <v>0</v>
      </c>
      <c r="R236" s="333">
        <f t="shared" si="50"/>
        <v>0</v>
      </c>
    </row>
    <row r="237" spans="2:21" s="43" customFormat="1" ht="25.5" hidden="1" x14ac:dyDescent="0.2">
      <c r="B237" s="179" t="s">
        <v>355</v>
      </c>
      <c r="C237" s="53" t="s">
        <v>669</v>
      </c>
      <c r="D237" s="53" t="s">
        <v>59</v>
      </c>
      <c r="E237" s="53" t="s">
        <v>45</v>
      </c>
      <c r="F237" s="54" t="s">
        <v>679</v>
      </c>
      <c r="G237" s="53"/>
      <c r="H237" s="52">
        <f t="shared" si="55"/>
        <v>0</v>
      </c>
      <c r="I237" s="52">
        <f t="shared" si="55"/>
        <v>0</v>
      </c>
      <c r="J237" s="300">
        <f t="shared" si="48"/>
        <v>0</v>
      </c>
      <c r="K237" s="52">
        <f t="shared" si="55"/>
        <v>0</v>
      </c>
      <c r="L237" s="52">
        <f t="shared" si="55"/>
        <v>0</v>
      </c>
      <c r="M237" s="300">
        <f t="shared" si="46"/>
        <v>0</v>
      </c>
      <c r="N237" s="52">
        <f t="shared" si="55"/>
        <v>0</v>
      </c>
      <c r="O237" s="300">
        <f t="shared" si="49"/>
        <v>0</v>
      </c>
      <c r="P237" s="52">
        <f t="shared" si="55"/>
        <v>0</v>
      </c>
      <c r="Q237" s="52">
        <f t="shared" si="55"/>
        <v>0</v>
      </c>
      <c r="R237" s="333">
        <f t="shared" si="50"/>
        <v>0</v>
      </c>
    </row>
    <row r="238" spans="2:21" s="43" customFormat="1" ht="25.5" hidden="1" x14ac:dyDescent="0.2">
      <c r="B238" s="56" t="s">
        <v>73</v>
      </c>
      <c r="C238" s="53" t="s">
        <v>669</v>
      </c>
      <c r="D238" s="53" t="s">
        <v>59</v>
      </c>
      <c r="E238" s="53" t="s">
        <v>45</v>
      </c>
      <c r="F238" s="54" t="s">
        <v>679</v>
      </c>
      <c r="G238" s="53" t="s">
        <v>70</v>
      </c>
      <c r="H238" s="52">
        <v>0</v>
      </c>
      <c r="I238" s="52">
        <v>0</v>
      </c>
      <c r="J238" s="300">
        <f t="shared" si="48"/>
        <v>0</v>
      </c>
      <c r="K238" s="52">
        <v>0</v>
      </c>
      <c r="L238" s="52">
        <v>0</v>
      </c>
      <c r="M238" s="300">
        <f t="shared" si="46"/>
        <v>0</v>
      </c>
      <c r="N238" s="52">
        <v>0</v>
      </c>
      <c r="O238" s="300">
        <f t="shared" si="49"/>
        <v>0</v>
      </c>
      <c r="P238" s="52">
        <v>0</v>
      </c>
      <c r="Q238" s="52">
        <v>0</v>
      </c>
      <c r="R238" s="333">
        <f t="shared" si="50"/>
        <v>0</v>
      </c>
    </row>
    <row r="239" spans="2:21" s="32" customFormat="1" ht="40.5" customHeight="1" x14ac:dyDescent="0.2">
      <c r="B239" s="56" t="s">
        <v>126</v>
      </c>
      <c r="C239" s="53" t="s">
        <v>669</v>
      </c>
      <c r="D239" s="53" t="s">
        <v>59</v>
      </c>
      <c r="E239" s="53" t="s">
        <v>45</v>
      </c>
      <c r="F239" s="54" t="s">
        <v>125</v>
      </c>
      <c r="G239" s="78"/>
      <c r="H239" s="52">
        <f>H246+H240</f>
        <v>8803.7999999999993</v>
      </c>
      <c r="I239" s="52">
        <f>I246+I240</f>
        <v>8817.7999999999993</v>
      </c>
      <c r="J239" s="300">
        <f t="shared" si="48"/>
        <v>14</v>
      </c>
      <c r="K239" s="52">
        <f t="shared" ref="K239" si="56">K246+K240</f>
        <v>13727</v>
      </c>
      <c r="L239" s="52">
        <f>L246+L240</f>
        <v>452.80000000000024</v>
      </c>
      <c r="M239" s="300">
        <f t="shared" si="46"/>
        <v>-8364.9999999999982</v>
      </c>
      <c r="N239" s="52">
        <f t="shared" ref="N239:Q239" si="57">N246+N240</f>
        <v>1800.0000000000002</v>
      </c>
      <c r="O239" s="44">
        <f t="shared" si="49"/>
        <v>-11927</v>
      </c>
      <c r="P239" s="52">
        <f t="shared" ref="P239" si="58">P246+P240</f>
        <v>12927</v>
      </c>
      <c r="Q239" s="52">
        <f t="shared" si="57"/>
        <v>1000.0000000000002</v>
      </c>
      <c r="R239" s="333">
        <f t="shared" si="50"/>
        <v>-11927</v>
      </c>
      <c r="S239" s="51"/>
    </row>
    <row r="240" spans="2:21" s="32" customFormat="1" ht="16.5" customHeight="1" x14ac:dyDescent="0.2">
      <c r="B240" s="56" t="s">
        <v>270</v>
      </c>
      <c r="C240" s="53" t="s">
        <v>669</v>
      </c>
      <c r="D240" s="53" t="s">
        <v>59</v>
      </c>
      <c r="E240" s="53" t="s">
        <v>45</v>
      </c>
      <c r="F240" s="128" t="s">
        <v>402</v>
      </c>
      <c r="G240" s="127"/>
      <c r="H240" s="129">
        <f>H241</f>
        <v>8435.4</v>
      </c>
      <c r="I240" s="129">
        <f>I241</f>
        <v>8435.4</v>
      </c>
      <c r="J240" s="300">
        <f t="shared" si="48"/>
        <v>0</v>
      </c>
      <c r="K240" s="129">
        <f t="shared" ref="K240:Q242" si="59">K241</f>
        <v>12295.8</v>
      </c>
      <c r="L240" s="129">
        <f>L241</f>
        <v>2.8421709430404007E-13</v>
      </c>
      <c r="M240" s="300">
        <f t="shared" si="46"/>
        <v>-8435.4</v>
      </c>
      <c r="N240" s="129">
        <f t="shared" si="59"/>
        <v>368.80000000000018</v>
      </c>
      <c r="O240" s="44">
        <f t="shared" si="49"/>
        <v>-11927</v>
      </c>
      <c r="P240" s="129">
        <f t="shared" si="59"/>
        <v>12295.8</v>
      </c>
      <c r="Q240" s="129">
        <f t="shared" si="59"/>
        <v>368.80000000000018</v>
      </c>
      <c r="R240" s="333">
        <f t="shared" si="50"/>
        <v>-11927</v>
      </c>
    </row>
    <row r="241" spans="2:21" s="32" customFormat="1" ht="12.75" customHeight="1" x14ac:dyDescent="0.2">
      <c r="B241" s="122" t="s">
        <v>401</v>
      </c>
      <c r="C241" s="53" t="s">
        <v>669</v>
      </c>
      <c r="D241" s="53" t="s">
        <v>59</v>
      </c>
      <c r="E241" s="53" t="s">
        <v>45</v>
      </c>
      <c r="F241" s="128" t="s">
        <v>400</v>
      </c>
      <c r="G241" s="127"/>
      <c r="H241" s="129">
        <f>H242+H244</f>
        <v>8435.4</v>
      </c>
      <c r="I241" s="129">
        <f>I242+I244</f>
        <v>8435.4</v>
      </c>
      <c r="J241" s="300">
        <f t="shared" si="48"/>
        <v>0</v>
      </c>
      <c r="K241" s="129">
        <f t="shared" ref="K241" si="60">K242+K244</f>
        <v>12295.8</v>
      </c>
      <c r="L241" s="129">
        <f>L242+L244</f>
        <v>2.8421709430404007E-13</v>
      </c>
      <c r="M241" s="300">
        <f t="shared" si="46"/>
        <v>-8435.4</v>
      </c>
      <c r="N241" s="129">
        <f t="shared" ref="N241:Q241" si="61">N242+N244</f>
        <v>368.80000000000018</v>
      </c>
      <c r="O241" s="44">
        <f t="shared" si="49"/>
        <v>-11927</v>
      </c>
      <c r="P241" s="129">
        <f t="shared" ref="P241" si="62">P242+P244</f>
        <v>12295.8</v>
      </c>
      <c r="Q241" s="129">
        <f t="shared" si="61"/>
        <v>368.80000000000018</v>
      </c>
      <c r="R241" s="333">
        <f t="shared" si="50"/>
        <v>-11927</v>
      </c>
    </row>
    <row r="242" spans="2:21" s="32" customFormat="1" ht="40.5" customHeight="1" x14ac:dyDescent="0.2">
      <c r="B242" s="122" t="s">
        <v>399</v>
      </c>
      <c r="C242" s="53" t="s">
        <v>669</v>
      </c>
      <c r="D242" s="53" t="s">
        <v>59</v>
      </c>
      <c r="E242" s="53" t="s">
        <v>45</v>
      </c>
      <c r="F242" s="128" t="s">
        <v>398</v>
      </c>
      <c r="G242" s="127"/>
      <c r="H242" s="52">
        <f>H243</f>
        <v>3454.2999999999997</v>
      </c>
      <c r="I242" s="52">
        <f>I243</f>
        <v>3454.2999999999997</v>
      </c>
      <c r="J242" s="300">
        <f t="shared" si="48"/>
        <v>0</v>
      </c>
      <c r="K242" s="52">
        <f t="shared" si="59"/>
        <v>5035.1000000000004</v>
      </c>
      <c r="L242" s="52">
        <f>L243</f>
        <v>2.8421709430404007E-13</v>
      </c>
      <c r="M242" s="300">
        <f t="shared" si="46"/>
        <v>-3454.2999999999993</v>
      </c>
      <c r="N242" s="52">
        <f t="shared" si="59"/>
        <v>151</v>
      </c>
      <c r="O242" s="44">
        <f t="shared" si="49"/>
        <v>-4884.1000000000004</v>
      </c>
      <c r="P242" s="52">
        <f t="shared" si="59"/>
        <v>5035.1000000000004</v>
      </c>
      <c r="Q242" s="52">
        <f t="shared" si="59"/>
        <v>151</v>
      </c>
      <c r="R242" s="333">
        <f t="shared" si="50"/>
        <v>-4884.1000000000004</v>
      </c>
    </row>
    <row r="243" spans="2:21" s="32" customFormat="1" ht="13.5" customHeight="1" x14ac:dyDescent="0.2">
      <c r="B243" s="93" t="s">
        <v>167</v>
      </c>
      <c r="C243" s="53" t="s">
        <v>669</v>
      </c>
      <c r="D243" s="53" t="s">
        <v>59</v>
      </c>
      <c r="E243" s="53" t="s">
        <v>45</v>
      </c>
      <c r="F243" s="128" t="s">
        <v>398</v>
      </c>
      <c r="G243" s="127" t="s">
        <v>164</v>
      </c>
      <c r="H243" s="52">
        <f>3350.6+103.7</f>
        <v>3454.2999999999997</v>
      </c>
      <c r="I243" s="52">
        <f>3350.6+103.7</f>
        <v>3454.2999999999997</v>
      </c>
      <c r="J243" s="300">
        <f t="shared" si="48"/>
        <v>0</v>
      </c>
      <c r="K243" s="52">
        <f>4884.1+151</f>
        <v>5035.1000000000004</v>
      </c>
      <c r="L243" s="129">
        <f>3454.3-3350.6-8.6-95.1</f>
        <v>2.8421709430404007E-13</v>
      </c>
      <c r="M243" s="300">
        <f t="shared" si="46"/>
        <v>-3454.2999999999993</v>
      </c>
      <c r="N243" s="129">
        <f>5035.1-4884.1</f>
        <v>151</v>
      </c>
      <c r="O243" s="465">
        <f t="shared" si="49"/>
        <v>-4884.1000000000004</v>
      </c>
      <c r="P243" s="129">
        <f>4884.1+151</f>
        <v>5035.1000000000004</v>
      </c>
      <c r="Q243" s="129">
        <f>5035.1-4884.1</f>
        <v>151</v>
      </c>
      <c r="R243" s="333">
        <f t="shared" si="50"/>
        <v>-4884.1000000000004</v>
      </c>
    </row>
    <row r="244" spans="2:21" s="32" customFormat="1" ht="26.25" customHeight="1" x14ac:dyDescent="0.2">
      <c r="B244" s="122" t="s">
        <v>397</v>
      </c>
      <c r="C244" s="53" t="s">
        <v>669</v>
      </c>
      <c r="D244" s="53" t="s">
        <v>59</v>
      </c>
      <c r="E244" s="53" t="s">
        <v>45</v>
      </c>
      <c r="F244" s="128" t="s">
        <v>396</v>
      </c>
      <c r="G244" s="127"/>
      <c r="H244" s="52">
        <f>H245</f>
        <v>4981.1000000000004</v>
      </c>
      <c r="I244" s="52">
        <f>I245</f>
        <v>4981.1000000000004</v>
      </c>
      <c r="J244" s="300">
        <f t="shared" si="48"/>
        <v>0</v>
      </c>
      <c r="K244" s="52">
        <f t="shared" ref="K244:Q244" si="63">K245</f>
        <v>7260.7</v>
      </c>
      <c r="L244" s="52">
        <f>L245</f>
        <v>0</v>
      </c>
      <c r="M244" s="300">
        <f t="shared" si="46"/>
        <v>-4981.1000000000004</v>
      </c>
      <c r="N244" s="52">
        <f t="shared" si="63"/>
        <v>217.80000000000018</v>
      </c>
      <c r="O244" s="44">
        <f t="shared" si="49"/>
        <v>-7042.9</v>
      </c>
      <c r="P244" s="52">
        <f t="shared" si="63"/>
        <v>7260.7</v>
      </c>
      <c r="Q244" s="52">
        <f t="shared" si="63"/>
        <v>217.80000000000018</v>
      </c>
      <c r="R244" s="333">
        <f t="shared" si="50"/>
        <v>-7042.9</v>
      </c>
    </row>
    <row r="245" spans="2:21" s="32" customFormat="1" ht="13.5" customHeight="1" x14ac:dyDescent="0.2">
      <c r="B245" s="93" t="s">
        <v>167</v>
      </c>
      <c r="C245" s="53" t="s">
        <v>669</v>
      </c>
      <c r="D245" s="53" t="s">
        <v>59</v>
      </c>
      <c r="E245" s="53" t="s">
        <v>45</v>
      </c>
      <c r="F245" s="128" t="s">
        <v>396</v>
      </c>
      <c r="G245" s="127" t="s">
        <v>164</v>
      </c>
      <c r="H245" s="52">
        <f>4831.6+149.5</f>
        <v>4981.1000000000004</v>
      </c>
      <c r="I245" s="52">
        <f>4831.6+149.5</f>
        <v>4981.1000000000004</v>
      </c>
      <c r="J245" s="300">
        <f t="shared" si="48"/>
        <v>0</v>
      </c>
      <c r="K245" s="52">
        <f>7042.9+217.8</f>
        <v>7260.7</v>
      </c>
      <c r="L245" s="52">
        <f>4981.1-4831.6-149.5</f>
        <v>0</v>
      </c>
      <c r="M245" s="300">
        <f t="shared" si="46"/>
        <v>-4981.1000000000004</v>
      </c>
      <c r="N245" s="52">
        <f>7260.7-7042.9</f>
        <v>217.80000000000018</v>
      </c>
      <c r="O245" s="465">
        <f t="shared" si="49"/>
        <v>-7042.9</v>
      </c>
      <c r="P245" s="52">
        <f>7042.9+217.8</f>
        <v>7260.7</v>
      </c>
      <c r="Q245" s="52">
        <f>7260.7-7042.9</f>
        <v>217.80000000000018</v>
      </c>
      <c r="R245" s="333">
        <f t="shared" si="50"/>
        <v>-7042.9</v>
      </c>
    </row>
    <row r="246" spans="2:21" s="32" customFormat="1" ht="16.5" customHeight="1" x14ac:dyDescent="0.2">
      <c r="B246" s="56" t="s">
        <v>66</v>
      </c>
      <c r="C246" s="53" t="s">
        <v>669</v>
      </c>
      <c r="D246" s="53" t="s">
        <v>59</v>
      </c>
      <c r="E246" s="53" t="s">
        <v>45</v>
      </c>
      <c r="F246" s="54" t="s">
        <v>124</v>
      </c>
      <c r="G246" s="78"/>
      <c r="H246" s="52">
        <f>H247+H250</f>
        <v>368.4</v>
      </c>
      <c r="I246" s="52">
        <f>I247+I250</f>
        <v>382.4</v>
      </c>
      <c r="J246" s="300">
        <f t="shared" si="48"/>
        <v>14</v>
      </c>
      <c r="K246" s="52">
        <f>K247+K250</f>
        <v>1431.2</v>
      </c>
      <c r="L246" s="52">
        <f>L247+L250</f>
        <v>452.79999999999995</v>
      </c>
      <c r="M246" s="300">
        <f t="shared" si="46"/>
        <v>70.399999999999977</v>
      </c>
      <c r="N246" s="52">
        <f>N247+N250</f>
        <v>1431.2</v>
      </c>
      <c r="O246" s="300">
        <f t="shared" si="49"/>
        <v>0</v>
      </c>
      <c r="P246" s="52">
        <f>P247+P250</f>
        <v>631.20000000000005</v>
      </c>
      <c r="Q246" s="52">
        <f>Q247+Q250</f>
        <v>631.20000000000005</v>
      </c>
      <c r="R246" s="333">
        <f t="shared" si="50"/>
        <v>0</v>
      </c>
    </row>
    <row r="247" spans="2:21" s="32" customFormat="1" ht="24" customHeight="1" x14ac:dyDescent="0.2">
      <c r="B247" s="56" t="s">
        <v>395</v>
      </c>
      <c r="C247" s="53" t="s">
        <v>669</v>
      </c>
      <c r="D247" s="53" t="s">
        <v>59</v>
      </c>
      <c r="E247" s="53" t="s">
        <v>45</v>
      </c>
      <c r="F247" s="54" t="s">
        <v>394</v>
      </c>
      <c r="G247" s="78"/>
      <c r="H247" s="52">
        <f t="shared" ref="H247:Q248" si="64">H248</f>
        <v>368.4</v>
      </c>
      <c r="I247" s="52">
        <f t="shared" si="64"/>
        <v>382.4</v>
      </c>
      <c r="J247" s="300">
        <f t="shared" si="48"/>
        <v>14</v>
      </c>
      <c r="K247" s="52">
        <f t="shared" si="64"/>
        <v>631.20000000000005</v>
      </c>
      <c r="L247" s="52">
        <f t="shared" si="64"/>
        <v>382.4</v>
      </c>
      <c r="M247" s="300">
        <f t="shared" si="46"/>
        <v>0</v>
      </c>
      <c r="N247" s="52">
        <f t="shared" si="64"/>
        <v>631.20000000000005</v>
      </c>
      <c r="O247" s="300">
        <f t="shared" si="49"/>
        <v>0</v>
      </c>
      <c r="P247" s="52">
        <f t="shared" si="64"/>
        <v>631.20000000000005</v>
      </c>
      <c r="Q247" s="52">
        <f t="shared" si="64"/>
        <v>631.20000000000005</v>
      </c>
      <c r="R247" s="333">
        <f t="shared" si="50"/>
        <v>0</v>
      </c>
    </row>
    <row r="248" spans="2:21" s="32" customFormat="1" ht="28.5" customHeight="1" x14ac:dyDescent="0.2">
      <c r="B248" s="56" t="s">
        <v>393</v>
      </c>
      <c r="C248" s="53" t="s">
        <v>669</v>
      </c>
      <c r="D248" s="53" t="s">
        <v>59</v>
      </c>
      <c r="E248" s="53" t="s">
        <v>45</v>
      </c>
      <c r="F248" s="54" t="s">
        <v>392</v>
      </c>
      <c r="G248" s="78"/>
      <c r="H248" s="52">
        <f t="shared" si="64"/>
        <v>368.4</v>
      </c>
      <c r="I248" s="52">
        <f t="shared" si="64"/>
        <v>382.4</v>
      </c>
      <c r="J248" s="300">
        <f t="shared" si="48"/>
        <v>14</v>
      </c>
      <c r="K248" s="52">
        <f t="shared" si="64"/>
        <v>631.20000000000005</v>
      </c>
      <c r="L248" s="52">
        <f t="shared" si="64"/>
        <v>382.4</v>
      </c>
      <c r="M248" s="300">
        <f t="shared" si="46"/>
        <v>0</v>
      </c>
      <c r="N248" s="52">
        <f t="shared" si="64"/>
        <v>631.20000000000005</v>
      </c>
      <c r="O248" s="300">
        <f t="shared" si="49"/>
        <v>0</v>
      </c>
      <c r="P248" s="52">
        <f t="shared" si="64"/>
        <v>631.20000000000005</v>
      </c>
      <c r="Q248" s="52">
        <f t="shared" si="64"/>
        <v>631.20000000000005</v>
      </c>
      <c r="R248" s="333">
        <f t="shared" si="50"/>
        <v>0</v>
      </c>
    </row>
    <row r="249" spans="2:21" s="32" customFormat="1" ht="28.5" customHeight="1" x14ac:dyDescent="0.2">
      <c r="B249" s="56" t="s">
        <v>73</v>
      </c>
      <c r="C249" s="53" t="s">
        <v>669</v>
      </c>
      <c r="D249" s="53" t="s">
        <v>59</v>
      </c>
      <c r="E249" s="53" t="s">
        <v>45</v>
      </c>
      <c r="F249" s="54" t="s">
        <v>392</v>
      </c>
      <c r="G249" s="78" t="s">
        <v>70</v>
      </c>
      <c r="H249" s="52">
        <f>710.1+368.4-710.1</f>
        <v>368.4</v>
      </c>
      <c r="I249" s="52">
        <f>368.4+14</f>
        <v>382.4</v>
      </c>
      <c r="J249" s="300">
        <f t="shared" si="48"/>
        <v>14</v>
      </c>
      <c r="K249" s="52">
        <f>1000-368.8</f>
        <v>631.20000000000005</v>
      </c>
      <c r="L249" s="52">
        <f>368.4+14</f>
        <v>382.4</v>
      </c>
      <c r="M249" s="300">
        <f t="shared" si="46"/>
        <v>0</v>
      </c>
      <c r="N249" s="52">
        <f>1000-368.8</f>
        <v>631.20000000000005</v>
      </c>
      <c r="O249" s="300">
        <f t="shared" si="49"/>
        <v>0</v>
      </c>
      <c r="P249" s="65">
        <f>1000-368.8</f>
        <v>631.20000000000005</v>
      </c>
      <c r="Q249" s="65">
        <f>1000-368.8</f>
        <v>631.20000000000005</v>
      </c>
      <c r="R249" s="333">
        <f t="shared" si="50"/>
        <v>0</v>
      </c>
    </row>
    <row r="250" spans="2:21" s="32" customFormat="1" ht="25.5" customHeight="1" x14ac:dyDescent="0.2">
      <c r="B250" s="62" t="s">
        <v>391</v>
      </c>
      <c r="C250" s="53" t="s">
        <v>669</v>
      </c>
      <c r="D250" s="53" t="s">
        <v>59</v>
      </c>
      <c r="E250" s="53" t="s">
        <v>45</v>
      </c>
      <c r="F250" s="54" t="s">
        <v>390</v>
      </c>
      <c r="G250" s="78"/>
      <c r="H250" s="52">
        <f t="shared" ref="H250:Q251" si="65">H251</f>
        <v>0</v>
      </c>
      <c r="I250" s="52">
        <f t="shared" si="65"/>
        <v>0</v>
      </c>
      <c r="J250" s="300">
        <f t="shared" si="48"/>
        <v>0</v>
      </c>
      <c r="K250" s="52">
        <f t="shared" si="65"/>
        <v>800</v>
      </c>
      <c r="L250" s="52">
        <f t="shared" si="65"/>
        <v>70.400000000000006</v>
      </c>
      <c r="M250" s="300">
        <f t="shared" si="46"/>
        <v>70.400000000000006</v>
      </c>
      <c r="N250" s="52">
        <f t="shared" si="65"/>
        <v>800</v>
      </c>
      <c r="O250" s="300">
        <f t="shared" si="49"/>
        <v>0</v>
      </c>
      <c r="P250" s="52">
        <f t="shared" si="65"/>
        <v>0</v>
      </c>
      <c r="Q250" s="52">
        <f t="shared" si="65"/>
        <v>0</v>
      </c>
      <c r="R250" s="333">
        <f t="shared" si="50"/>
        <v>0</v>
      </c>
    </row>
    <row r="251" spans="2:21" s="32" customFormat="1" ht="24" customHeight="1" x14ac:dyDescent="0.2">
      <c r="B251" s="62" t="s">
        <v>389</v>
      </c>
      <c r="C251" s="53" t="s">
        <v>669</v>
      </c>
      <c r="D251" s="53" t="s">
        <v>59</v>
      </c>
      <c r="E251" s="53" t="s">
        <v>45</v>
      </c>
      <c r="F251" s="54" t="s">
        <v>388</v>
      </c>
      <c r="G251" s="78"/>
      <c r="H251" s="52">
        <f t="shared" si="65"/>
        <v>0</v>
      </c>
      <c r="I251" s="52">
        <f t="shared" si="65"/>
        <v>0</v>
      </c>
      <c r="J251" s="300">
        <f t="shared" si="48"/>
        <v>0</v>
      </c>
      <c r="K251" s="52">
        <f t="shared" si="65"/>
        <v>800</v>
      </c>
      <c r="L251" s="52">
        <f t="shared" si="65"/>
        <v>70.400000000000006</v>
      </c>
      <c r="M251" s="300">
        <f t="shared" si="46"/>
        <v>70.400000000000006</v>
      </c>
      <c r="N251" s="52">
        <f t="shared" si="65"/>
        <v>800</v>
      </c>
      <c r="O251" s="300">
        <f t="shared" si="49"/>
        <v>0</v>
      </c>
      <c r="P251" s="52">
        <f t="shared" si="65"/>
        <v>0</v>
      </c>
      <c r="Q251" s="52">
        <f t="shared" si="65"/>
        <v>0</v>
      </c>
      <c r="R251" s="333">
        <f t="shared" si="50"/>
        <v>0</v>
      </c>
    </row>
    <row r="252" spans="2:21" s="32" customFormat="1" ht="28.5" customHeight="1" x14ac:dyDescent="0.2">
      <c r="B252" s="56" t="s">
        <v>73</v>
      </c>
      <c r="C252" s="53" t="s">
        <v>669</v>
      </c>
      <c r="D252" s="53" t="s">
        <v>59</v>
      </c>
      <c r="E252" s="53" t="s">
        <v>45</v>
      </c>
      <c r="F252" s="54" t="s">
        <v>388</v>
      </c>
      <c r="G252" s="78" t="s">
        <v>70</v>
      </c>
      <c r="H252" s="52">
        <f>1500-1500</f>
        <v>0</v>
      </c>
      <c r="I252" s="52">
        <f>1500-1500</f>
        <v>0</v>
      </c>
      <c r="J252" s="300">
        <f t="shared" si="48"/>
        <v>0</v>
      </c>
      <c r="K252" s="52">
        <v>800</v>
      </c>
      <c r="L252" s="52">
        <v>70.400000000000006</v>
      </c>
      <c r="M252" s="300">
        <f t="shared" si="46"/>
        <v>70.400000000000006</v>
      </c>
      <c r="N252" s="52">
        <v>800</v>
      </c>
      <c r="O252" s="300">
        <f t="shared" si="49"/>
        <v>0</v>
      </c>
      <c r="P252" s="52">
        <v>0</v>
      </c>
      <c r="Q252" s="52">
        <v>0</v>
      </c>
      <c r="R252" s="333">
        <f t="shared" si="50"/>
        <v>0</v>
      </c>
    </row>
    <row r="253" spans="2:21" s="47" customFormat="1" x14ac:dyDescent="0.2">
      <c r="B253" s="59" t="s">
        <v>387</v>
      </c>
      <c r="C253" s="48" t="s">
        <v>669</v>
      </c>
      <c r="D253" s="48" t="s">
        <v>59</v>
      </c>
      <c r="E253" s="48" t="s">
        <v>72</v>
      </c>
      <c r="F253" s="49"/>
      <c r="G253" s="48"/>
      <c r="H253" s="44">
        <f>H254+H285</f>
        <v>124174.09999999999</v>
      </c>
      <c r="I253" s="44">
        <f>I254+I285</f>
        <v>132065.9</v>
      </c>
      <c r="J253" s="300">
        <f t="shared" si="48"/>
        <v>7891.8000000000029</v>
      </c>
      <c r="K253" s="44">
        <f>K254+K285</f>
        <v>7915.1</v>
      </c>
      <c r="L253" s="44">
        <f>L254+L285</f>
        <v>182451.69999999998</v>
      </c>
      <c r="M253" s="300">
        <f t="shared" si="46"/>
        <v>50385.799999999988</v>
      </c>
      <c r="N253" s="44">
        <f>N254+N285</f>
        <v>7915.1</v>
      </c>
      <c r="O253" s="300">
        <f t="shared" si="49"/>
        <v>0</v>
      </c>
      <c r="P253" s="44">
        <f>P254+P285</f>
        <v>9450</v>
      </c>
      <c r="Q253" s="44">
        <f>Q254+Q285</f>
        <v>9450</v>
      </c>
      <c r="R253" s="333">
        <f t="shared" si="50"/>
        <v>0</v>
      </c>
      <c r="S253" s="43"/>
      <c r="T253" s="43"/>
      <c r="U253" s="43"/>
    </row>
    <row r="254" spans="2:21" s="47" customFormat="1" ht="40.5" customHeight="1" x14ac:dyDescent="0.2">
      <c r="B254" s="56" t="s">
        <v>309</v>
      </c>
      <c r="C254" s="53" t="s">
        <v>669</v>
      </c>
      <c r="D254" s="53" t="s">
        <v>59</v>
      </c>
      <c r="E254" s="53" t="s">
        <v>72</v>
      </c>
      <c r="F254" s="54" t="s">
        <v>308</v>
      </c>
      <c r="G254" s="53"/>
      <c r="H254" s="52">
        <f>H255+H276</f>
        <v>124174.09999999999</v>
      </c>
      <c r="I254" s="52">
        <f>I255+I276</f>
        <v>132065.9</v>
      </c>
      <c r="J254" s="300">
        <f t="shared" si="48"/>
        <v>7891.8000000000029</v>
      </c>
      <c r="K254" s="52">
        <f>K255+K276</f>
        <v>7815.1</v>
      </c>
      <c r="L254" s="52">
        <f>L255+L276</f>
        <v>182451.69999999998</v>
      </c>
      <c r="M254" s="300">
        <f t="shared" si="46"/>
        <v>50385.799999999988</v>
      </c>
      <c r="N254" s="52">
        <f>N255+N276</f>
        <v>7815.1</v>
      </c>
      <c r="O254" s="300">
        <f t="shared" si="49"/>
        <v>0</v>
      </c>
      <c r="P254" s="52">
        <f>P255+P276</f>
        <v>9050</v>
      </c>
      <c r="Q254" s="52">
        <f>Q255+Q276</f>
        <v>9050</v>
      </c>
      <c r="R254" s="333">
        <f t="shared" si="50"/>
        <v>0</v>
      </c>
      <c r="S254" s="43"/>
      <c r="T254" s="43"/>
      <c r="U254" s="43"/>
    </row>
    <row r="255" spans="2:21" s="47" customFormat="1" ht="19.5" customHeight="1" x14ac:dyDescent="0.2">
      <c r="B255" s="62" t="s">
        <v>66</v>
      </c>
      <c r="C255" s="53" t="s">
        <v>669</v>
      </c>
      <c r="D255" s="53" t="s">
        <v>59</v>
      </c>
      <c r="E255" s="53" t="s">
        <v>72</v>
      </c>
      <c r="F255" s="54" t="s">
        <v>386</v>
      </c>
      <c r="G255" s="60"/>
      <c r="H255" s="52">
        <f>H256+H265+H268+H273</f>
        <v>118454.9</v>
      </c>
      <c r="I255" s="52">
        <f>I256+I265+I268+I273</f>
        <v>126314.69999999998</v>
      </c>
      <c r="J255" s="300">
        <f t="shared" si="48"/>
        <v>7859.7999999999884</v>
      </c>
      <c r="K255" s="52">
        <f>K256+K265+K268+K273</f>
        <v>5000</v>
      </c>
      <c r="L255" s="52">
        <f>L256+L265+L268+L273</f>
        <v>175920.4</v>
      </c>
      <c r="M255" s="300">
        <f t="shared" si="46"/>
        <v>49605.700000000012</v>
      </c>
      <c r="N255" s="52">
        <f>N256+N265+N268+N273</f>
        <v>5000</v>
      </c>
      <c r="O255" s="300">
        <f t="shared" si="49"/>
        <v>0</v>
      </c>
      <c r="P255" s="52">
        <f>P256+P265+P268+P273</f>
        <v>6700</v>
      </c>
      <c r="Q255" s="52">
        <f>Q256+Q265+Q268+Q273</f>
        <v>6700</v>
      </c>
      <c r="R255" s="333">
        <f t="shared" si="50"/>
        <v>0</v>
      </c>
      <c r="S255" s="43"/>
      <c r="T255" s="43"/>
      <c r="U255" s="43"/>
    </row>
    <row r="256" spans="2:21" s="47" customFormat="1" ht="29.25" customHeight="1" x14ac:dyDescent="0.2">
      <c r="B256" s="56" t="s">
        <v>385</v>
      </c>
      <c r="C256" s="53" t="s">
        <v>669</v>
      </c>
      <c r="D256" s="53" t="s">
        <v>59</v>
      </c>
      <c r="E256" s="53" t="s">
        <v>72</v>
      </c>
      <c r="F256" s="54" t="s">
        <v>384</v>
      </c>
      <c r="G256" s="60"/>
      <c r="H256" s="52">
        <f>H257+H260+H263</f>
        <v>111902</v>
      </c>
      <c r="I256" s="52">
        <f t="shared" ref="I256:Q256" si="66">I257+I260+I263</f>
        <v>115396.4</v>
      </c>
      <c r="J256" s="300">
        <f t="shared" si="48"/>
        <v>3494.3999999999942</v>
      </c>
      <c r="K256" s="52">
        <f t="shared" si="66"/>
        <v>0</v>
      </c>
      <c r="L256" s="52">
        <f t="shared" si="66"/>
        <v>166536.29999999999</v>
      </c>
      <c r="M256" s="300">
        <f t="shared" si="46"/>
        <v>51139.899999999994</v>
      </c>
      <c r="N256" s="52">
        <f t="shared" si="66"/>
        <v>0</v>
      </c>
      <c r="O256" s="300">
        <f t="shared" si="49"/>
        <v>0</v>
      </c>
      <c r="P256" s="52">
        <f t="shared" si="66"/>
        <v>0</v>
      </c>
      <c r="Q256" s="52">
        <f t="shared" si="66"/>
        <v>0</v>
      </c>
      <c r="R256" s="333">
        <f t="shared" si="50"/>
        <v>0</v>
      </c>
      <c r="S256" s="43"/>
      <c r="T256" s="43"/>
      <c r="U256" s="43"/>
    </row>
    <row r="257" spans="2:21" s="47" customFormat="1" ht="26.25" customHeight="1" x14ac:dyDescent="0.2">
      <c r="B257" s="56" t="s">
        <v>383</v>
      </c>
      <c r="C257" s="53" t="s">
        <v>669</v>
      </c>
      <c r="D257" s="53" t="s">
        <v>59</v>
      </c>
      <c r="E257" s="53" t="s">
        <v>72</v>
      </c>
      <c r="F257" s="54" t="s">
        <v>382</v>
      </c>
      <c r="G257" s="60"/>
      <c r="H257" s="52">
        <f>H258+H259</f>
        <v>18396.2</v>
      </c>
      <c r="I257" s="52">
        <f>I258+I259</f>
        <v>18396.2</v>
      </c>
      <c r="J257" s="300">
        <f t="shared" si="48"/>
        <v>0</v>
      </c>
      <c r="K257" s="52">
        <f>K258+K259</f>
        <v>0</v>
      </c>
      <c r="L257" s="52">
        <f>L258+L259</f>
        <v>18396.2</v>
      </c>
      <c r="M257" s="300">
        <f t="shared" si="46"/>
        <v>0</v>
      </c>
      <c r="N257" s="52">
        <f>N258+N259</f>
        <v>0</v>
      </c>
      <c r="O257" s="300">
        <f t="shared" si="49"/>
        <v>0</v>
      </c>
      <c r="P257" s="52">
        <f>P258+P259</f>
        <v>0</v>
      </c>
      <c r="Q257" s="52">
        <f>Q258+Q259</f>
        <v>0</v>
      </c>
      <c r="R257" s="333">
        <f t="shared" si="50"/>
        <v>0</v>
      </c>
      <c r="S257" s="43"/>
      <c r="T257" s="43"/>
      <c r="U257" s="43"/>
    </row>
    <row r="258" spans="2:21" s="47" customFormat="1" ht="28.5" hidden="1" customHeight="1" x14ac:dyDescent="0.2">
      <c r="B258" s="56" t="s">
        <v>73</v>
      </c>
      <c r="C258" s="53" t="s">
        <v>669</v>
      </c>
      <c r="D258" s="53" t="s">
        <v>59</v>
      </c>
      <c r="E258" s="53" t="s">
        <v>72</v>
      </c>
      <c r="F258" s="54" t="s">
        <v>382</v>
      </c>
      <c r="G258" s="60" t="s">
        <v>70</v>
      </c>
      <c r="H258" s="52"/>
      <c r="I258" s="52"/>
      <c r="J258" s="300">
        <f t="shared" si="48"/>
        <v>0</v>
      </c>
      <c r="K258" s="52"/>
      <c r="L258" s="52"/>
      <c r="M258" s="300">
        <f t="shared" si="46"/>
        <v>0</v>
      </c>
      <c r="N258" s="52"/>
      <c r="O258" s="300">
        <f t="shared" si="49"/>
        <v>0</v>
      </c>
      <c r="P258" s="52"/>
      <c r="Q258" s="52"/>
      <c r="R258" s="333">
        <f t="shared" si="50"/>
        <v>0</v>
      </c>
      <c r="S258" s="43"/>
      <c r="T258" s="43"/>
      <c r="U258" s="43"/>
    </row>
    <row r="259" spans="2:21" s="47" customFormat="1" ht="16.5" customHeight="1" x14ac:dyDescent="0.2">
      <c r="B259" s="64" t="s">
        <v>167</v>
      </c>
      <c r="C259" s="53" t="s">
        <v>669</v>
      </c>
      <c r="D259" s="53" t="s">
        <v>59</v>
      </c>
      <c r="E259" s="53" t="s">
        <v>72</v>
      </c>
      <c r="F259" s="54" t="s">
        <v>382</v>
      </c>
      <c r="G259" s="60" t="s">
        <v>164</v>
      </c>
      <c r="H259" s="52">
        <f>17844.3+551.9</f>
        <v>18396.2</v>
      </c>
      <c r="I259" s="52">
        <f>17844.3+551.9</f>
        <v>18396.2</v>
      </c>
      <c r="J259" s="300">
        <f t="shared" si="48"/>
        <v>0</v>
      </c>
      <c r="K259" s="52">
        <v>0</v>
      </c>
      <c r="L259" s="52">
        <f>17844.3+551.9</f>
        <v>18396.2</v>
      </c>
      <c r="M259" s="300">
        <f t="shared" si="46"/>
        <v>0</v>
      </c>
      <c r="N259" s="52">
        <v>0</v>
      </c>
      <c r="O259" s="300">
        <f t="shared" si="49"/>
        <v>0</v>
      </c>
      <c r="P259" s="52">
        <v>0</v>
      </c>
      <c r="Q259" s="52">
        <v>0</v>
      </c>
      <c r="R259" s="333">
        <f t="shared" si="50"/>
        <v>0</v>
      </c>
      <c r="S259" s="43"/>
      <c r="T259" s="43"/>
      <c r="U259" s="43"/>
    </row>
    <row r="260" spans="2:21" s="47" customFormat="1" ht="40.5" customHeight="1" x14ac:dyDescent="0.2">
      <c r="B260" s="64" t="s">
        <v>381</v>
      </c>
      <c r="C260" s="53" t="s">
        <v>669</v>
      </c>
      <c r="D260" s="78" t="s">
        <v>59</v>
      </c>
      <c r="E260" s="78" t="s">
        <v>72</v>
      </c>
      <c r="F260" s="54" t="s">
        <v>380</v>
      </c>
      <c r="G260" s="60"/>
      <c r="H260" s="52">
        <f>H261+H262</f>
        <v>93505.8</v>
      </c>
      <c r="I260" s="52">
        <f>I261+I262</f>
        <v>93505.8</v>
      </c>
      <c r="J260" s="300">
        <f t="shared" si="48"/>
        <v>0</v>
      </c>
      <c r="K260" s="52">
        <f>K261+K262</f>
        <v>0</v>
      </c>
      <c r="L260" s="52">
        <f>L261+L262</f>
        <v>144645.69999999998</v>
      </c>
      <c r="M260" s="300">
        <f t="shared" si="46"/>
        <v>51139.89999999998</v>
      </c>
      <c r="N260" s="52">
        <f>N261+N262</f>
        <v>0</v>
      </c>
      <c r="O260" s="300">
        <f t="shared" si="49"/>
        <v>0</v>
      </c>
      <c r="P260" s="52">
        <f>P261+P262</f>
        <v>0</v>
      </c>
      <c r="Q260" s="52">
        <f>Q261+Q262</f>
        <v>0</v>
      </c>
      <c r="R260" s="333">
        <f t="shared" si="50"/>
        <v>0</v>
      </c>
      <c r="S260" s="43"/>
      <c r="T260" s="43"/>
      <c r="U260" s="43"/>
    </row>
    <row r="261" spans="2:21" s="47" customFormat="1" ht="25.5" hidden="1" customHeight="1" x14ac:dyDescent="0.2">
      <c r="B261" s="56" t="s">
        <v>73</v>
      </c>
      <c r="C261" s="53" t="s">
        <v>669</v>
      </c>
      <c r="D261" s="78" t="s">
        <v>59</v>
      </c>
      <c r="E261" s="78" t="s">
        <v>72</v>
      </c>
      <c r="F261" s="54" t="s">
        <v>380</v>
      </c>
      <c r="G261" s="60" t="s">
        <v>70</v>
      </c>
      <c r="H261" s="52">
        <v>0</v>
      </c>
      <c r="I261" s="52">
        <v>0</v>
      </c>
      <c r="J261" s="300">
        <f t="shared" si="48"/>
        <v>0</v>
      </c>
      <c r="K261" s="52">
        <v>0</v>
      </c>
      <c r="L261" s="52">
        <v>0</v>
      </c>
      <c r="M261" s="300">
        <f t="shared" si="46"/>
        <v>0</v>
      </c>
      <c r="N261" s="52">
        <v>0</v>
      </c>
      <c r="O261" s="300">
        <f t="shared" si="49"/>
        <v>0</v>
      </c>
      <c r="P261" s="52">
        <v>0</v>
      </c>
      <c r="Q261" s="52">
        <v>0</v>
      </c>
      <c r="R261" s="333">
        <f t="shared" si="50"/>
        <v>0</v>
      </c>
      <c r="S261" s="43"/>
      <c r="T261" s="43"/>
      <c r="U261" s="43"/>
    </row>
    <row r="262" spans="2:21" s="47" customFormat="1" ht="15.75" customHeight="1" x14ac:dyDescent="0.2">
      <c r="B262" s="64" t="s">
        <v>167</v>
      </c>
      <c r="C262" s="53" t="s">
        <v>669</v>
      </c>
      <c r="D262" s="78" t="s">
        <v>59</v>
      </c>
      <c r="E262" s="78" t="s">
        <v>72</v>
      </c>
      <c r="F262" s="54" t="s">
        <v>380</v>
      </c>
      <c r="G262" s="60" t="s">
        <v>164</v>
      </c>
      <c r="H262" s="52">
        <f>109124.6+3375-18424-569.8</f>
        <v>93505.8</v>
      </c>
      <c r="I262" s="52">
        <f>109124.6+3375-18424-569.8</f>
        <v>93505.8</v>
      </c>
      <c r="J262" s="300">
        <f t="shared" si="48"/>
        <v>0</v>
      </c>
      <c r="K262" s="52">
        <v>0</v>
      </c>
      <c r="L262" s="52">
        <f>93505.8-13492.8+63098.5+1200+152.9+181.3</f>
        <v>144645.69999999998</v>
      </c>
      <c r="M262" s="300">
        <f t="shared" si="46"/>
        <v>51139.89999999998</v>
      </c>
      <c r="N262" s="52">
        <v>0</v>
      </c>
      <c r="O262" s="300">
        <f t="shared" si="49"/>
        <v>0</v>
      </c>
      <c r="P262" s="52">
        <v>0</v>
      </c>
      <c r="Q262" s="52">
        <v>0</v>
      </c>
      <c r="R262" s="333">
        <f t="shared" si="50"/>
        <v>0</v>
      </c>
      <c r="S262" s="43"/>
      <c r="T262" s="43"/>
      <c r="U262" s="43"/>
    </row>
    <row r="263" spans="2:21" s="47" customFormat="1" ht="39" customHeight="1" x14ac:dyDescent="0.2">
      <c r="B263" s="64" t="s">
        <v>1069</v>
      </c>
      <c r="C263" s="53" t="s">
        <v>669</v>
      </c>
      <c r="D263" s="78" t="s">
        <v>59</v>
      </c>
      <c r="E263" s="78" t="s">
        <v>72</v>
      </c>
      <c r="F263" s="54" t="s">
        <v>1070</v>
      </c>
      <c r="G263" s="60"/>
      <c r="H263" s="52">
        <f>H264</f>
        <v>0</v>
      </c>
      <c r="I263" s="52">
        <f t="shared" ref="I263:Q263" si="67">I264</f>
        <v>3494.4</v>
      </c>
      <c r="J263" s="299">
        <f t="shared" si="48"/>
        <v>3494.4</v>
      </c>
      <c r="K263" s="52">
        <f t="shared" si="67"/>
        <v>0</v>
      </c>
      <c r="L263" s="52">
        <f t="shared" si="67"/>
        <v>3494.4</v>
      </c>
      <c r="M263" s="300">
        <f t="shared" si="46"/>
        <v>0</v>
      </c>
      <c r="N263" s="52">
        <f t="shared" si="67"/>
        <v>0</v>
      </c>
      <c r="O263" s="300">
        <f t="shared" si="49"/>
        <v>0</v>
      </c>
      <c r="P263" s="52">
        <f t="shared" si="67"/>
        <v>0</v>
      </c>
      <c r="Q263" s="52">
        <f t="shared" si="67"/>
        <v>0</v>
      </c>
      <c r="R263" s="333">
        <f t="shared" si="50"/>
        <v>0</v>
      </c>
      <c r="S263" s="43"/>
      <c r="T263" s="43"/>
      <c r="U263" s="43"/>
    </row>
    <row r="264" spans="2:21" s="47" customFormat="1" ht="15.75" customHeight="1" x14ac:dyDescent="0.2">
      <c r="B264" s="64" t="s">
        <v>167</v>
      </c>
      <c r="C264" s="53" t="s">
        <v>669</v>
      </c>
      <c r="D264" s="78" t="s">
        <v>59</v>
      </c>
      <c r="E264" s="78" t="s">
        <v>72</v>
      </c>
      <c r="F264" s="54" t="s">
        <v>1070</v>
      </c>
      <c r="G264" s="60" t="s">
        <v>164</v>
      </c>
      <c r="H264" s="52">
        <v>0</v>
      </c>
      <c r="I264" s="52">
        <v>3494.4</v>
      </c>
      <c r="J264" s="299">
        <f t="shared" si="48"/>
        <v>3494.4</v>
      </c>
      <c r="K264" s="52">
        <v>0</v>
      </c>
      <c r="L264" s="52">
        <v>3494.4</v>
      </c>
      <c r="M264" s="300">
        <f t="shared" si="46"/>
        <v>0</v>
      </c>
      <c r="N264" s="52">
        <v>0</v>
      </c>
      <c r="O264" s="300">
        <f t="shared" si="49"/>
        <v>0</v>
      </c>
      <c r="P264" s="52">
        <v>0</v>
      </c>
      <c r="Q264" s="52">
        <v>0</v>
      </c>
      <c r="R264" s="299">
        <f t="shared" si="50"/>
        <v>0</v>
      </c>
      <c r="S264" s="43"/>
      <c r="T264" s="43"/>
      <c r="U264" s="43"/>
    </row>
    <row r="265" spans="2:21" s="47" customFormat="1" ht="26.25" customHeight="1" x14ac:dyDescent="0.2">
      <c r="B265" s="69" t="s">
        <v>379</v>
      </c>
      <c r="C265" s="53" t="s">
        <v>669</v>
      </c>
      <c r="D265" s="53" t="s">
        <v>59</v>
      </c>
      <c r="E265" s="53" t="s">
        <v>72</v>
      </c>
      <c r="F265" s="54" t="s">
        <v>378</v>
      </c>
      <c r="G265" s="78"/>
      <c r="H265" s="52">
        <f t="shared" ref="H265:Q266" si="68">H266</f>
        <v>1000</v>
      </c>
      <c r="I265" s="52">
        <f t="shared" si="68"/>
        <v>4288.5</v>
      </c>
      <c r="J265" s="300">
        <f t="shared" si="48"/>
        <v>3288.5</v>
      </c>
      <c r="K265" s="52">
        <f t="shared" si="68"/>
        <v>1000</v>
      </c>
      <c r="L265" s="52">
        <f t="shared" si="68"/>
        <v>4107.2</v>
      </c>
      <c r="M265" s="300">
        <f t="shared" si="46"/>
        <v>-181.30000000000018</v>
      </c>
      <c r="N265" s="52">
        <f t="shared" si="68"/>
        <v>1000</v>
      </c>
      <c r="O265" s="300">
        <f t="shared" si="49"/>
        <v>0</v>
      </c>
      <c r="P265" s="52">
        <f t="shared" si="68"/>
        <v>1000</v>
      </c>
      <c r="Q265" s="52">
        <f t="shared" si="68"/>
        <v>1000</v>
      </c>
      <c r="R265" s="333">
        <f t="shared" si="50"/>
        <v>0</v>
      </c>
      <c r="S265" s="43"/>
      <c r="T265" s="43"/>
      <c r="U265" s="43"/>
    </row>
    <row r="266" spans="2:21" s="47" customFormat="1" ht="15.75" customHeight="1" x14ac:dyDescent="0.2">
      <c r="B266" s="69" t="s">
        <v>375</v>
      </c>
      <c r="C266" s="53" t="s">
        <v>669</v>
      </c>
      <c r="D266" s="78" t="s">
        <v>59</v>
      </c>
      <c r="E266" s="78" t="s">
        <v>72</v>
      </c>
      <c r="F266" s="54" t="s">
        <v>377</v>
      </c>
      <c r="G266" s="78"/>
      <c r="H266" s="52">
        <f t="shared" si="68"/>
        <v>1000</v>
      </c>
      <c r="I266" s="52">
        <f t="shared" si="68"/>
        <v>4288.5</v>
      </c>
      <c r="J266" s="300">
        <f t="shared" si="48"/>
        <v>3288.5</v>
      </c>
      <c r="K266" s="52">
        <f t="shared" si="68"/>
        <v>1000</v>
      </c>
      <c r="L266" s="52">
        <f t="shared" si="68"/>
        <v>4107.2</v>
      </c>
      <c r="M266" s="300">
        <f t="shared" si="46"/>
        <v>-181.30000000000018</v>
      </c>
      <c r="N266" s="52">
        <f t="shared" si="68"/>
        <v>1000</v>
      </c>
      <c r="O266" s="300">
        <f t="shared" si="49"/>
        <v>0</v>
      </c>
      <c r="P266" s="52">
        <f t="shared" si="68"/>
        <v>1000</v>
      </c>
      <c r="Q266" s="52">
        <f t="shared" si="68"/>
        <v>1000</v>
      </c>
      <c r="R266" s="333">
        <f t="shared" si="50"/>
        <v>0</v>
      </c>
      <c r="S266" s="43"/>
      <c r="T266" s="43"/>
      <c r="U266" s="43"/>
    </row>
    <row r="267" spans="2:21" s="47" customFormat="1" ht="28.5" customHeight="1" x14ac:dyDescent="0.2">
      <c r="B267" s="69" t="s">
        <v>73</v>
      </c>
      <c r="C267" s="53" t="s">
        <v>669</v>
      </c>
      <c r="D267" s="78" t="s">
        <v>59</v>
      </c>
      <c r="E267" s="78" t="s">
        <v>72</v>
      </c>
      <c r="F267" s="54" t="s">
        <v>377</v>
      </c>
      <c r="G267" s="78" t="s">
        <v>70</v>
      </c>
      <c r="H267" s="52">
        <v>1000</v>
      </c>
      <c r="I267" s="52">
        <f>1000+3488.5-200</f>
        <v>4288.5</v>
      </c>
      <c r="J267" s="300">
        <f t="shared" si="48"/>
        <v>3288.5</v>
      </c>
      <c r="K267" s="52">
        <v>1000</v>
      </c>
      <c r="L267" s="52">
        <f>4288.5-181.3</f>
        <v>4107.2</v>
      </c>
      <c r="M267" s="300">
        <f t="shared" si="46"/>
        <v>-181.30000000000018</v>
      </c>
      <c r="N267" s="52">
        <v>1000</v>
      </c>
      <c r="O267" s="300">
        <f t="shared" si="49"/>
        <v>0</v>
      </c>
      <c r="P267" s="65">
        <v>1000</v>
      </c>
      <c r="Q267" s="65">
        <v>1000</v>
      </c>
      <c r="R267" s="333">
        <f t="shared" si="50"/>
        <v>0</v>
      </c>
      <c r="S267" s="40"/>
      <c r="T267" s="43"/>
      <c r="U267" s="43"/>
    </row>
    <row r="268" spans="2:21" s="47" customFormat="1" ht="27.75" customHeight="1" x14ac:dyDescent="0.2">
      <c r="B268" s="69" t="s">
        <v>1075</v>
      </c>
      <c r="C268" s="53" t="s">
        <v>669</v>
      </c>
      <c r="D268" s="78" t="s">
        <v>59</v>
      </c>
      <c r="E268" s="78" t="s">
        <v>72</v>
      </c>
      <c r="F268" s="54" t="s">
        <v>376</v>
      </c>
      <c r="G268" s="78"/>
      <c r="H268" s="52">
        <f>H269+H272</f>
        <v>3000</v>
      </c>
      <c r="I268" s="52">
        <f t="shared" ref="I268:Q268" si="69">I269+I272</f>
        <v>4076.9</v>
      </c>
      <c r="J268" s="300">
        <f t="shared" si="48"/>
        <v>1076.9000000000001</v>
      </c>
      <c r="K268" s="52">
        <f t="shared" si="69"/>
        <v>1000</v>
      </c>
      <c r="L268" s="52">
        <f t="shared" si="69"/>
        <v>5276.9</v>
      </c>
      <c r="M268" s="300">
        <f t="shared" si="46"/>
        <v>1199.9999999999995</v>
      </c>
      <c r="N268" s="52">
        <f t="shared" si="69"/>
        <v>1000</v>
      </c>
      <c r="O268" s="300">
        <f t="shared" si="49"/>
        <v>0</v>
      </c>
      <c r="P268" s="52">
        <f t="shared" si="69"/>
        <v>1000</v>
      </c>
      <c r="Q268" s="52">
        <f t="shared" si="69"/>
        <v>1000</v>
      </c>
      <c r="R268" s="333">
        <f t="shared" si="50"/>
        <v>0</v>
      </c>
      <c r="S268" s="32"/>
      <c r="T268" s="43"/>
      <c r="U268" s="43"/>
    </row>
    <row r="269" spans="2:21" s="47" customFormat="1" ht="15" customHeight="1" x14ac:dyDescent="0.2">
      <c r="B269" s="69" t="s">
        <v>375</v>
      </c>
      <c r="C269" s="53" t="s">
        <v>680</v>
      </c>
      <c r="D269" s="78" t="s">
        <v>59</v>
      </c>
      <c r="E269" s="78" t="s">
        <v>72</v>
      </c>
      <c r="F269" s="54" t="s">
        <v>374</v>
      </c>
      <c r="G269" s="78"/>
      <c r="H269" s="52">
        <f t="shared" ref="H269:Q269" si="70">H270</f>
        <v>3000</v>
      </c>
      <c r="I269" s="52">
        <f t="shared" si="70"/>
        <v>3899</v>
      </c>
      <c r="J269" s="300">
        <f t="shared" si="48"/>
        <v>899</v>
      </c>
      <c r="K269" s="52">
        <f t="shared" si="70"/>
        <v>1000</v>
      </c>
      <c r="L269" s="52">
        <f t="shared" si="70"/>
        <v>5099</v>
      </c>
      <c r="M269" s="300">
        <f t="shared" si="46"/>
        <v>1200</v>
      </c>
      <c r="N269" s="52">
        <f t="shared" si="70"/>
        <v>1000</v>
      </c>
      <c r="O269" s="300">
        <f t="shared" si="49"/>
        <v>0</v>
      </c>
      <c r="P269" s="52">
        <f t="shared" si="70"/>
        <v>1000</v>
      </c>
      <c r="Q269" s="52">
        <f t="shared" si="70"/>
        <v>1000</v>
      </c>
      <c r="R269" s="333">
        <f t="shared" si="50"/>
        <v>0</v>
      </c>
      <c r="S269" s="43"/>
      <c r="T269" s="43"/>
      <c r="U269" s="43"/>
    </row>
    <row r="270" spans="2:21" s="47" customFormat="1" ht="28.5" customHeight="1" x14ac:dyDescent="0.2">
      <c r="B270" s="56" t="s">
        <v>73</v>
      </c>
      <c r="C270" s="53" t="s">
        <v>669</v>
      </c>
      <c r="D270" s="78" t="s">
        <v>59</v>
      </c>
      <c r="E270" s="78" t="s">
        <v>72</v>
      </c>
      <c r="F270" s="54" t="s">
        <v>374</v>
      </c>
      <c r="G270" s="78" t="s">
        <v>70</v>
      </c>
      <c r="H270" s="52">
        <v>3000</v>
      </c>
      <c r="I270" s="52">
        <f>3000+549+350</f>
        <v>3899</v>
      </c>
      <c r="J270" s="300">
        <f t="shared" si="48"/>
        <v>899</v>
      </c>
      <c r="K270" s="52">
        <v>1000</v>
      </c>
      <c r="L270" s="52">
        <f>3899+1200</f>
        <v>5099</v>
      </c>
      <c r="M270" s="300">
        <f t="shared" ref="M270:M333" si="71">L270-I270</f>
        <v>1200</v>
      </c>
      <c r="N270" s="52">
        <v>1000</v>
      </c>
      <c r="O270" s="300">
        <f t="shared" si="49"/>
        <v>0</v>
      </c>
      <c r="P270" s="65">
        <v>1000</v>
      </c>
      <c r="Q270" s="65">
        <v>1000</v>
      </c>
      <c r="R270" s="333">
        <f t="shared" si="50"/>
        <v>0</v>
      </c>
      <c r="S270" s="43"/>
      <c r="T270" s="43"/>
      <c r="U270" s="43"/>
    </row>
    <row r="271" spans="2:21" s="47" customFormat="1" ht="27" customHeight="1" x14ac:dyDescent="0.2">
      <c r="B271" s="56" t="s">
        <v>1092</v>
      </c>
      <c r="C271" s="53" t="s">
        <v>680</v>
      </c>
      <c r="D271" s="78" t="s">
        <v>59</v>
      </c>
      <c r="E271" s="78" t="s">
        <v>72</v>
      </c>
      <c r="F271" s="54" t="s">
        <v>1068</v>
      </c>
      <c r="G271" s="78"/>
      <c r="H271" s="52">
        <f>H272</f>
        <v>0</v>
      </c>
      <c r="I271" s="52">
        <f t="shared" ref="I271:Q271" si="72">I272</f>
        <v>177.9</v>
      </c>
      <c r="J271" s="300">
        <f t="shared" si="48"/>
        <v>177.9</v>
      </c>
      <c r="K271" s="52">
        <f t="shared" si="72"/>
        <v>0</v>
      </c>
      <c r="L271" s="52">
        <f t="shared" si="72"/>
        <v>177.9</v>
      </c>
      <c r="M271" s="300">
        <f t="shared" si="71"/>
        <v>0</v>
      </c>
      <c r="N271" s="52">
        <f t="shared" si="72"/>
        <v>0</v>
      </c>
      <c r="O271" s="300">
        <f t="shared" si="49"/>
        <v>0</v>
      </c>
      <c r="P271" s="52">
        <f t="shared" si="72"/>
        <v>0</v>
      </c>
      <c r="Q271" s="52">
        <f t="shared" si="72"/>
        <v>0</v>
      </c>
      <c r="R271" s="333">
        <f t="shared" si="50"/>
        <v>0</v>
      </c>
      <c r="S271" s="43"/>
      <c r="T271" s="43"/>
      <c r="U271" s="43"/>
    </row>
    <row r="272" spans="2:21" s="47" customFormat="1" ht="28.5" customHeight="1" x14ac:dyDescent="0.2">
      <c r="B272" s="56" t="s">
        <v>73</v>
      </c>
      <c r="C272" s="53" t="s">
        <v>669</v>
      </c>
      <c r="D272" s="78" t="s">
        <v>59</v>
      </c>
      <c r="E272" s="78" t="s">
        <v>72</v>
      </c>
      <c r="F272" s="54" t="s">
        <v>1068</v>
      </c>
      <c r="G272" s="78" t="s">
        <v>70</v>
      </c>
      <c r="H272" s="52">
        <v>0</v>
      </c>
      <c r="I272" s="52">
        <v>177.9</v>
      </c>
      <c r="J272" s="300">
        <f t="shared" si="48"/>
        <v>177.9</v>
      </c>
      <c r="K272" s="52">
        <v>0</v>
      </c>
      <c r="L272" s="52">
        <v>177.9</v>
      </c>
      <c r="M272" s="300">
        <f t="shared" si="71"/>
        <v>0</v>
      </c>
      <c r="N272" s="52">
        <v>0</v>
      </c>
      <c r="O272" s="320">
        <f t="shared" si="49"/>
        <v>0</v>
      </c>
      <c r="P272" s="65">
        <v>0</v>
      </c>
      <c r="Q272" s="52">
        <v>0</v>
      </c>
      <c r="R272" s="315">
        <f t="shared" si="50"/>
        <v>0</v>
      </c>
      <c r="S272" s="43"/>
      <c r="T272" s="43"/>
      <c r="U272" s="43"/>
    </row>
    <row r="273" spans="2:21" s="47" customFormat="1" ht="16.5" customHeight="1" x14ac:dyDescent="0.2">
      <c r="B273" s="56" t="s">
        <v>373</v>
      </c>
      <c r="C273" s="53" t="s">
        <v>669</v>
      </c>
      <c r="D273" s="78" t="s">
        <v>59</v>
      </c>
      <c r="E273" s="78" t="s">
        <v>72</v>
      </c>
      <c r="F273" s="54" t="s">
        <v>372</v>
      </c>
      <c r="G273" s="78"/>
      <c r="H273" s="52">
        <f t="shared" ref="H273:Q274" si="73">H274</f>
        <v>2552.9</v>
      </c>
      <c r="I273" s="52">
        <f t="shared" si="73"/>
        <v>2552.9</v>
      </c>
      <c r="J273" s="300">
        <f t="shared" si="48"/>
        <v>0</v>
      </c>
      <c r="K273" s="52">
        <f t="shared" si="73"/>
        <v>3000</v>
      </c>
      <c r="L273" s="52">
        <f t="shared" si="73"/>
        <v>0</v>
      </c>
      <c r="M273" s="300">
        <f t="shared" si="71"/>
        <v>-2552.9</v>
      </c>
      <c r="N273" s="52">
        <f t="shared" si="73"/>
        <v>3000</v>
      </c>
      <c r="O273" s="300">
        <f t="shared" si="49"/>
        <v>0</v>
      </c>
      <c r="P273" s="52">
        <f t="shared" si="73"/>
        <v>4700</v>
      </c>
      <c r="Q273" s="52">
        <f t="shared" si="73"/>
        <v>4700</v>
      </c>
      <c r="R273" s="333">
        <f t="shared" si="50"/>
        <v>0</v>
      </c>
      <c r="S273" s="43"/>
      <c r="T273" s="43"/>
      <c r="U273" s="43"/>
    </row>
    <row r="274" spans="2:21" s="47" customFormat="1" ht="28.5" customHeight="1" x14ac:dyDescent="0.2">
      <c r="B274" s="69" t="s">
        <v>371</v>
      </c>
      <c r="C274" s="53" t="s">
        <v>669</v>
      </c>
      <c r="D274" s="78" t="s">
        <v>59</v>
      </c>
      <c r="E274" s="78" t="s">
        <v>72</v>
      </c>
      <c r="F274" s="54" t="s">
        <v>369</v>
      </c>
      <c r="G274" s="60"/>
      <c r="H274" s="52">
        <f t="shared" si="73"/>
        <v>2552.9</v>
      </c>
      <c r="I274" s="52">
        <f t="shared" si="73"/>
        <v>2552.9</v>
      </c>
      <c r="J274" s="300">
        <f t="shared" si="48"/>
        <v>0</v>
      </c>
      <c r="K274" s="52">
        <f t="shared" si="73"/>
        <v>3000</v>
      </c>
      <c r="L274" s="52">
        <f t="shared" si="73"/>
        <v>0</v>
      </c>
      <c r="M274" s="300">
        <f t="shared" si="71"/>
        <v>-2552.9</v>
      </c>
      <c r="N274" s="52">
        <f t="shared" si="73"/>
        <v>3000</v>
      </c>
      <c r="O274" s="300">
        <f t="shared" si="49"/>
        <v>0</v>
      </c>
      <c r="P274" s="52">
        <f t="shared" si="73"/>
        <v>4700</v>
      </c>
      <c r="Q274" s="52">
        <f t="shared" si="73"/>
        <v>4700</v>
      </c>
      <c r="R274" s="333">
        <f t="shared" si="50"/>
        <v>0</v>
      </c>
      <c r="S274" s="43"/>
      <c r="T274" s="43"/>
      <c r="U274" s="43"/>
    </row>
    <row r="275" spans="2:21" s="47" customFormat="1" ht="39" customHeight="1" x14ac:dyDescent="0.2">
      <c r="B275" s="126" t="s">
        <v>370</v>
      </c>
      <c r="C275" s="53" t="s">
        <v>669</v>
      </c>
      <c r="D275" s="78" t="s">
        <v>59</v>
      </c>
      <c r="E275" s="78" t="s">
        <v>72</v>
      </c>
      <c r="F275" s="54" t="s">
        <v>369</v>
      </c>
      <c r="G275" s="60" t="s">
        <v>368</v>
      </c>
      <c r="H275" s="52">
        <f>5000-2447.1</f>
        <v>2552.9</v>
      </c>
      <c r="I275" s="52">
        <f>5000-2447.1</f>
        <v>2552.9</v>
      </c>
      <c r="J275" s="300">
        <f t="shared" si="48"/>
        <v>0</v>
      </c>
      <c r="K275" s="52">
        <f>5000-2000</f>
        <v>3000</v>
      </c>
      <c r="L275" s="52">
        <f>2552.9-1200-1200-152.9</f>
        <v>0</v>
      </c>
      <c r="M275" s="300">
        <f t="shared" si="71"/>
        <v>-2552.9</v>
      </c>
      <c r="N275" s="52">
        <f>5000-2000</f>
        <v>3000</v>
      </c>
      <c r="O275" s="300">
        <f t="shared" si="49"/>
        <v>0</v>
      </c>
      <c r="P275" s="65">
        <f>5000-300</f>
        <v>4700</v>
      </c>
      <c r="Q275" s="65">
        <f>5000-300</f>
        <v>4700</v>
      </c>
      <c r="R275" s="333">
        <f t="shared" si="50"/>
        <v>0</v>
      </c>
      <c r="S275" s="43"/>
      <c r="T275" s="43"/>
      <c r="U275" s="43"/>
    </row>
    <row r="276" spans="2:21" s="47" customFormat="1" ht="16.5" customHeight="1" x14ac:dyDescent="0.2">
      <c r="B276" s="56" t="s">
        <v>52</v>
      </c>
      <c r="C276" s="53" t="s">
        <v>669</v>
      </c>
      <c r="D276" s="78" t="s">
        <v>59</v>
      </c>
      <c r="E276" s="78" t="s">
        <v>72</v>
      </c>
      <c r="F276" s="54" t="s">
        <v>307</v>
      </c>
      <c r="G276" s="60"/>
      <c r="H276" s="52">
        <f>H277</f>
        <v>5719.2</v>
      </c>
      <c r="I276" s="52">
        <f>I277</f>
        <v>5751.2</v>
      </c>
      <c r="J276" s="300">
        <f t="shared" si="48"/>
        <v>32</v>
      </c>
      <c r="K276" s="52">
        <f>K277</f>
        <v>2815.1</v>
      </c>
      <c r="L276" s="52">
        <f>L277</f>
        <v>6531.3</v>
      </c>
      <c r="M276" s="300">
        <f t="shared" si="71"/>
        <v>780.10000000000036</v>
      </c>
      <c r="N276" s="52">
        <f>N277</f>
        <v>2815.1</v>
      </c>
      <c r="O276" s="300">
        <f t="shared" si="49"/>
        <v>0</v>
      </c>
      <c r="P276" s="52">
        <f>P277</f>
        <v>2350</v>
      </c>
      <c r="Q276" s="52">
        <f>Q277</f>
        <v>2350</v>
      </c>
      <c r="R276" s="333">
        <f t="shared" si="50"/>
        <v>0</v>
      </c>
      <c r="S276" s="43"/>
      <c r="T276" s="43"/>
      <c r="U276" s="43"/>
    </row>
    <row r="277" spans="2:21" s="47" customFormat="1" ht="41.25" customHeight="1" x14ac:dyDescent="0.2">
      <c r="B277" s="56" t="s">
        <v>367</v>
      </c>
      <c r="C277" s="53" t="s">
        <v>669</v>
      </c>
      <c r="D277" s="78" t="s">
        <v>59</v>
      </c>
      <c r="E277" s="78" t="s">
        <v>72</v>
      </c>
      <c r="F277" s="54" t="s">
        <v>366</v>
      </c>
      <c r="G277" s="60"/>
      <c r="H277" s="52">
        <f>H278+H281+H283</f>
        <v>5719.2</v>
      </c>
      <c r="I277" s="52">
        <f>I278+I281+I283</f>
        <v>5751.2</v>
      </c>
      <c r="J277" s="300">
        <f t="shared" si="48"/>
        <v>32</v>
      </c>
      <c r="K277" s="52">
        <f>K278+K281+K283</f>
        <v>2815.1</v>
      </c>
      <c r="L277" s="52">
        <f>L278+L281+L283</f>
        <v>6531.3</v>
      </c>
      <c r="M277" s="300">
        <f t="shared" si="71"/>
        <v>780.10000000000036</v>
      </c>
      <c r="N277" s="52">
        <f>N278+N281+N283</f>
        <v>2815.1</v>
      </c>
      <c r="O277" s="300">
        <f t="shared" si="49"/>
        <v>0</v>
      </c>
      <c r="P277" s="52">
        <f>P278+P281+P283</f>
        <v>2350</v>
      </c>
      <c r="Q277" s="52">
        <f>Q278+Q281+Q283</f>
        <v>2350</v>
      </c>
      <c r="R277" s="333">
        <f t="shared" si="50"/>
        <v>0</v>
      </c>
      <c r="S277" s="43"/>
      <c r="T277" s="43"/>
      <c r="U277" s="43"/>
    </row>
    <row r="278" spans="2:21" s="47" customFormat="1" ht="16.5" customHeight="1" x14ac:dyDescent="0.2">
      <c r="B278" s="56" t="s">
        <v>365</v>
      </c>
      <c r="C278" s="53" t="s">
        <v>669</v>
      </c>
      <c r="D278" s="78" t="s">
        <v>59</v>
      </c>
      <c r="E278" s="78" t="s">
        <v>72</v>
      </c>
      <c r="F278" s="54" t="s">
        <v>363</v>
      </c>
      <c r="G278" s="78"/>
      <c r="H278" s="52">
        <f>H279+H280</f>
        <v>3369.2</v>
      </c>
      <c r="I278" s="52">
        <f>I279+I280</f>
        <v>3401.2</v>
      </c>
      <c r="J278" s="300">
        <f t="shared" si="48"/>
        <v>32</v>
      </c>
      <c r="K278" s="52">
        <f>K279+K280</f>
        <v>2815.1</v>
      </c>
      <c r="L278" s="52">
        <f>L279+L280</f>
        <v>4181.3</v>
      </c>
      <c r="M278" s="300">
        <f t="shared" si="71"/>
        <v>780.10000000000036</v>
      </c>
      <c r="N278" s="52">
        <f>N279+N280</f>
        <v>2815.1</v>
      </c>
      <c r="O278" s="300">
        <f t="shared" si="49"/>
        <v>0</v>
      </c>
      <c r="P278" s="52">
        <f>P279+P280</f>
        <v>2350</v>
      </c>
      <c r="Q278" s="52">
        <f>Q279+Q280</f>
        <v>2350</v>
      </c>
      <c r="R278" s="333">
        <f t="shared" si="50"/>
        <v>0</v>
      </c>
      <c r="S278" s="43"/>
      <c r="T278" s="43"/>
      <c r="U278" s="43"/>
    </row>
    <row r="279" spans="2:21" s="47" customFormat="1" ht="28.5" customHeight="1" x14ac:dyDescent="0.2">
      <c r="B279" s="56" t="s">
        <v>73</v>
      </c>
      <c r="C279" s="53" t="s">
        <v>669</v>
      </c>
      <c r="D279" s="78" t="s">
        <v>59</v>
      </c>
      <c r="E279" s="78" t="s">
        <v>72</v>
      </c>
      <c r="F279" s="54" t="s">
        <v>363</v>
      </c>
      <c r="G279" s="78" t="s">
        <v>70</v>
      </c>
      <c r="H279" s="52">
        <f>1404.1+1500</f>
        <v>2904.1</v>
      </c>
      <c r="I279" s="52">
        <f>2904.1+32</f>
        <v>2936.1</v>
      </c>
      <c r="J279" s="300">
        <f t="shared" si="48"/>
        <v>32</v>
      </c>
      <c r="K279" s="52">
        <f>1500+465.1+850</f>
        <v>2815.1</v>
      </c>
      <c r="L279" s="52">
        <f>2936.1+468</f>
        <v>3404.1</v>
      </c>
      <c r="M279" s="300">
        <f t="shared" si="71"/>
        <v>468</v>
      </c>
      <c r="N279" s="52">
        <f>1500+465.1+850</f>
        <v>2815.1</v>
      </c>
      <c r="O279" s="300">
        <f t="shared" si="49"/>
        <v>0</v>
      </c>
      <c r="P279" s="65">
        <f>1500+850</f>
        <v>2350</v>
      </c>
      <c r="Q279" s="65">
        <f>1500+850</f>
        <v>2350</v>
      </c>
      <c r="R279" s="333">
        <f t="shared" si="50"/>
        <v>0</v>
      </c>
      <c r="S279" s="43"/>
      <c r="T279" s="43"/>
      <c r="U279" s="43"/>
    </row>
    <row r="280" spans="2:21" s="47" customFormat="1" ht="28.5" customHeight="1" x14ac:dyDescent="0.2">
      <c r="B280" s="125" t="s">
        <v>364</v>
      </c>
      <c r="C280" s="53" t="s">
        <v>669</v>
      </c>
      <c r="D280" s="78" t="s">
        <v>59</v>
      </c>
      <c r="E280" s="78" t="s">
        <v>72</v>
      </c>
      <c r="F280" s="54" t="s">
        <v>363</v>
      </c>
      <c r="G280" s="60" t="s">
        <v>362</v>
      </c>
      <c r="H280" s="52">
        <v>465.1</v>
      </c>
      <c r="I280" s="52">
        <v>465.1</v>
      </c>
      <c r="J280" s="300">
        <f t="shared" ref="J280:J361" si="74">I280-H280</f>
        <v>0</v>
      </c>
      <c r="K280" s="52">
        <v>0</v>
      </c>
      <c r="L280" s="52">
        <f>465.1+155.1+157</f>
        <v>777.2</v>
      </c>
      <c r="M280" s="300">
        <f t="shared" si="71"/>
        <v>312.10000000000002</v>
      </c>
      <c r="N280" s="52">
        <v>0</v>
      </c>
      <c r="O280" s="300">
        <f t="shared" ref="O280:O361" si="75">N280-K280</f>
        <v>0</v>
      </c>
      <c r="P280" s="65">
        <v>0</v>
      </c>
      <c r="Q280" s="65">
        <v>0</v>
      </c>
      <c r="R280" s="333">
        <f t="shared" ref="R280:R361" si="76">Q280-P280</f>
        <v>0</v>
      </c>
      <c r="S280" s="43"/>
      <c r="T280" s="43"/>
      <c r="U280" s="43"/>
    </row>
    <row r="281" spans="2:21" s="47" customFormat="1" ht="28.5" customHeight="1" x14ac:dyDescent="0.2">
      <c r="B281" s="56" t="s">
        <v>361</v>
      </c>
      <c r="C281" s="53" t="s">
        <v>669</v>
      </c>
      <c r="D281" s="78" t="s">
        <v>59</v>
      </c>
      <c r="E281" s="78" t="s">
        <v>72</v>
      </c>
      <c r="F281" s="54" t="s">
        <v>360</v>
      </c>
      <c r="G281" s="78"/>
      <c r="H281" s="52">
        <f>H282</f>
        <v>2000</v>
      </c>
      <c r="I281" s="52">
        <f>I282</f>
        <v>2000</v>
      </c>
      <c r="J281" s="300">
        <f t="shared" si="74"/>
        <v>0</v>
      </c>
      <c r="K281" s="52">
        <f>K282</f>
        <v>0</v>
      </c>
      <c r="L281" s="52">
        <f>L282</f>
        <v>2000</v>
      </c>
      <c r="M281" s="300">
        <f t="shared" si="71"/>
        <v>0</v>
      </c>
      <c r="N281" s="52">
        <f>N282</f>
        <v>0</v>
      </c>
      <c r="O281" s="300">
        <f t="shared" si="75"/>
        <v>0</v>
      </c>
      <c r="P281" s="52">
        <f>P282</f>
        <v>0</v>
      </c>
      <c r="Q281" s="52">
        <f>Q282</f>
        <v>0</v>
      </c>
      <c r="R281" s="333">
        <f t="shared" si="76"/>
        <v>0</v>
      </c>
      <c r="S281" s="43"/>
      <c r="T281" s="43"/>
      <c r="U281" s="43"/>
    </row>
    <row r="282" spans="2:21" s="47" customFormat="1" ht="28.5" customHeight="1" x14ac:dyDescent="0.2">
      <c r="B282" s="56" t="s">
        <v>73</v>
      </c>
      <c r="C282" s="53" t="s">
        <v>669</v>
      </c>
      <c r="D282" s="78" t="s">
        <v>59</v>
      </c>
      <c r="E282" s="78" t="s">
        <v>72</v>
      </c>
      <c r="F282" s="54" t="s">
        <v>360</v>
      </c>
      <c r="G282" s="78" t="s">
        <v>70</v>
      </c>
      <c r="H282" s="52">
        <f>4000-2000</f>
        <v>2000</v>
      </c>
      <c r="I282" s="52">
        <f>4000-2000</f>
        <v>2000</v>
      </c>
      <c r="J282" s="300">
        <f t="shared" si="74"/>
        <v>0</v>
      </c>
      <c r="K282" s="52">
        <v>0</v>
      </c>
      <c r="L282" s="52">
        <f>4000-2000</f>
        <v>2000</v>
      </c>
      <c r="M282" s="300">
        <f t="shared" si="71"/>
        <v>0</v>
      </c>
      <c r="N282" s="52">
        <v>0</v>
      </c>
      <c r="O282" s="300">
        <f t="shared" si="75"/>
        <v>0</v>
      </c>
      <c r="P282" s="52">
        <v>0</v>
      </c>
      <c r="Q282" s="52">
        <v>0</v>
      </c>
      <c r="R282" s="333">
        <f t="shared" si="76"/>
        <v>0</v>
      </c>
      <c r="S282" s="43"/>
      <c r="T282" s="43"/>
      <c r="U282" s="43"/>
    </row>
    <row r="283" spans="2:21" s="47" customFormat="1" ht="28.5" customHeight="1" x14ac:dyDescent="0.2">
      <c r="B283" s="124" t="s">
        <v>359</v>
      </c>
      <c r="C283" s="53" t="s">
        <v>669</v>
      </c>
      <c r="D283" s="78" t="s">
        <v>59</v>
      </c>
      <c r="E283" s="78" t="s">
        <v>72</v>
      </c>
      <c r="F283" s="54" t="s">
        <v>358</v>
      </c>
      <c r="G283" s="60"/>
      <c r="H283" s="52">
        <f>H284</f>
        <v>350</v>
      </c>
      <c r="I283" s="52">
        <f>I284</f>
        <v>350</v>
      </c>
      <c r="J283" s="300">
        <f t="shared" si="74"/>
        <v>0</v>
      </c>
      <c r="K283" s="52">
        <f>K284</f>
        <v>0</v>
      </c>
      <c r="L283" s="52">
        <f>L284</f>
        <v>350</v>
      </c>
      <c r="M283" s="300">
        <f t="shared" si="71"/>
        <v>0</v>
      </c>
      <c r="N283" s="52">
        <f>N284</f>
        <v>0</v>
      </c>
      <c r="O283" s="300">
        <f t="shared" si="75"/>
        <v>0</v>
      </c>
      <c r="P283" s="52">
        <f>P284</f>
        <v>0</v>
      </c>
      <c r="Q283" s="52">
        <f>Q284</f>
        <v>0</v>
      </c>
      <c r="R283" s="333">
        <f t="shared" si="76"/>
        <v>0</v>
      </c>
      <c r="S283" s="43"/>
      <c r="T283" s="43"/>
      <c r="U283" s="43"/>
    </row>
    <row r="284" spans="2:21" s="47" customFormat="1" ht="28.5" customHeight="1" x14ac:dyDescent="0.2">
      <c r="B284" s="56" t="s">
        <v>73</v>
      </c>
      <c r="C284" s="53" t="s">
        <v>669</v>
      </c>
      <c r="D284" s="78" t="s">
        <v>59</v>
      </c>
      <c r="E284" s="78" t="s">
        <v>72</v>
      </c>
      <c r="F284" s="54" t="s">
        <v>358</v>
      </c>
      <c r="G284" s="60" t="s">
        <v>70</v>
      </c>
      <c r="H284" s="52">
        <v>350</v>
      </c>
      <c r="I284" s="52">
        <v>350</v>
      </c>
      <c r="J284" s="300">
        <f t="shared" si="74"/>
        <v>0</v>
      </c>
      <c r="K284" s="52">
        <v>0</v>
      </c>
      <c r="L284" s="52">
        <v>350</v>
      </c>
      <c r="M284" s="300">
        <f t="shared" si="71"/>
        <v>0</v>
      </c>
      <c r="N284" s="52">
        <v>0</v>
      </c>
      <c r="O284" s="300">
        <f t="shared" si="75"/>
        <v>0</v>
      </c>
      <c r="P284" s="65">
        <v>0</v>
      </c>
      <c r="Q284" s="65">
        <v>0</v>
      </c>
      <c r="R284" s="333">
        <f t="shared" si="76"/>
        <v>0</v>
      </c>
      <c r="S284" s="43"/>
      <c r="T284" s="43"/>
      <c r="U284" s="43"/>
    </row>
    <row r="285" spans="2:21" s="47" customFormat="1" ht="41.25" customHeight="1" x14ac:dyDescent="0.2">
      <c r="B285" s="64" t="s">
        <v>135</v>
      </c>
      <c r="C285" s="53" t="s">
        <v>669</v>
      </c>
      <c r="D285" s="53" t="s">
        <v>59</v>
      </c>
      <c r="E285" s="53" t="s">
        <v>72</v>
      </c>
      <c r="F285" s="54" t="s">
        <v>134</v>
      </c>
      <c r="G285" s="53"/>
      <c r="H285" s="52">
        <f t="shared" ref="H285:Q288" si="77">H286</f>
        <v>0</v>
      </c>
      <c r="I285" s="52">
        <f t="shared" si="77"/>
        <v>0</v>
      </c>
      <c r="J285" s="300">
        <f t="shared" si="74"/>
        <v>0</v>
      </c>
      <c r="K285" s="52">
        <f t="shared" si="77"/>
        <v>100</v>
      </c>
      <c r="L285" s="52">
        <f t="shared" si="77"/>
        <v>0</v>
      </c>
      <c r="M285" s="300">
        <f t="shared" si="71"/>
        <v>0</v>
      </c>
      <c r="N285" s="52">
        <f t="shared" si="77"/>
        <v>100</v>
      </c>
      <c r="O285" s="300">
        <f t="shared" si="75"/>
        <v>0</v>
      </c>
      <c r="P285" s="52">
        <f t="shared" si="77"/>
        <v>400</v>
      </c>
      <c r="Q285" s="52">
        <f t="shared" si="77"/>
        <v>400</v>
      </c>
      <c r="R285" s="333">
        <f t="shared" si="76"/>
        <v>0</v>
      </c>
      <c r="S285" s="43"/>
      <c r="T285" s="43"/>
      <c r="U285" s="43"/>
    </row>
    <row r="286" spans="2:21" s="47" customFormat="1" ht="15.75" customHeight="1" x14ac:dyDescent="0.2">
      <c r="B286" s="77" t="s">
        <v>52</v>
      </c>
      <c r="C286" s="53" t="s">
        <v>669</v>
      </c>
      <c r="D286" s="53" t="s">
        <v>59</v>
      </c>
      <c r="E286" s="53" t="s">
        <v>72</v>
      </c>
      <c r="F286" s="54" t="s">
        <v>133</v>
      </c>
      <c r="G286" s="53"/>
      <c r="H286" s="52">
        <f t="shared" si="77"/>
        <v>0</v>
      </c>
      <c r="I286" s="52">
        <f t="shared" si="77"/>
        <v>0</v>
      </c>
      <c r="J286" s="300">
        <f t="shared" si="74"/>
        <v>0</v>
      </c>
      <c r="K286" s="52">
        <f t="shared" si="77"/>
        <v>100</v>
      </c>
      <c r="L286" s="52">
        <f t="shared" si="77"/>
        <v>0</v>
      </c>
      <c r="M286" s="300">
        <f t="shared" si="71"/>
        <v>0</v>
      </c>
      <c r="N286" s="52">
        <f t="shared" si="77"/>
        <v>100</v>
      </c>
      <c r="O286" s="300">
        <f t="shared" si="75"/>
        <v>0</v>
      </c>
      <c r="P286" s="52">
        <f t="shared" si="77"/>
        <v>400</v>
      </c>
      <c r="Q286" s="52">
        <f t="shared" si="77"/>
        <v>400</v>
      </c>
      <c r="R286" s="333">
        <f t="shared" si="76"/>
        <v>0</v>
      </c>
      <c r="S286" s="43"/>
      <c r="T286" s="43"/>
      <c r="U286" s="43"/>
    </row>
    <row r="287" spans="2:21" s="47" customFormat="1" ht="40.5" customHeight="1" x14ac:dyDescent="0.2">
      <c r="B287" s="56" t="s">
        <v>357</v>
      </c>
      <c r="C287" s="53" t="s">
        <v>669</v>
      </c>
      <c r="D287" s="53" t="s">
        <v>59</v>
      </c>
      <c r="E287" s="53" t="s">
        <v>72</v>
      </c>
      <c r="F287" s="54" t="s">
        <v>356</v>
      </c>
      <c r="G287" s="53"/>
      <c r="H287" s="52">
        <f t="shared" si="77"/>
        <v>0</v>
      </c>
      <c r="I287" s="52">
        <f t="shared" si="77"/>
        <v>0</v>
      </c>
      <c r="J287" s="300">
        <f t="shared" si="74"/>
        <v>0</v>
      </c>
      <c r="K287" s="52">
        <f t="shared" si="77"/>
        <v>100</v>
      </c>
      <c r="L287" s="52">
        <f t="shared" si="77"/>
        <v>0</v>
      </c>
      <c r="M287" s="300">
        <f t="shared" si="71"/>
        <v>0</v>
      </c>
      <c r="N287" s="52">
        <f t="shared" si="77"/>
        <v>100</v>
      </c>
      <c r="O287" s="300">
        <f t="shared" si="75"/>
        <v>0</v>
      </c>
      <c r="P287" s="52">
        <f t="shared" si="77"/>
        <v>400</v>
      </c>
      <c r="Q287" s="52">
        <f t="shared" si="77"/>
        <v>400</v>
      </c>
      <c r="R287" s="333">
        <f t="shared" si="76"/>
        <v>0</v>
      </c>
      <c r="S287" s="43"/>
      <c r="T287" s="43"/>
      <c r="U287" s="43"/>
    </row>
    <row r="288" spans="2:21" s="47" customFormat="1" ht="26.25" customHeight="1" x14ac:dyDescent="0.2">
      <c r="B288" s="123" t="s">
        <v>355</v>
      </c>
      <c r="C288" s="53" t="s">
        <v>669</v>
      </c>
      <c r="D288" s="53" t="s">
        <v>59</v>
      </c>
      <c r="E288" s="53" t="s">
        <v>72</v>
      </c>
      <c r="F288" s="74" t="s">
        <v>354</v>
      </c>
      <c r="G288" s="53"/>
      <c r="H288" s="52">
        <f t="shared" si="77"/>
        <v>0</v>
      </c>
      <c r="I288" s="52">
        <f t="shared" si="77"/>
        <v>0</v>
      </c>
      <c r="J288" s="300">
        <f t="shared" si="74"/>
        <v>0</v>
      </c>
      <c r="K288" s="52">
        <f t="shared" si="77"/>
        <v>100</v>
      </c>
      <c r="L288" s="52">
        <f t="shared" si="77"/>
        <v>0</v>
      </c>
      <c r="M288" s="300">
        <f t="shared" si="71"/>
        <v>0</v>
      </c>
      <c r="N288" s="52">
        <f t="shared" si="77"/>
        <v>100</v>
      </c>
      <c r="O288" s="300">
        <f t="shared" si="75"/>
        <v>0</v>
      </c>
      <c r="P288" s="52">
        <f t="shared" si="77"/>
        <v>400</v>
      </c>
      <c r="Q288" s="52">
        <f t="shared" si="77"/>
        <v>400</v>
      </c>
      <c r="R288" s="333">
        <f t="shared" si="76"/>
        <v>0</v>
      </c>
      <c r="S288" s="43"/>
      <c r="T288" s="43"/>
      <c r="U288" s="43"/>
    </row>
    <row r="289" spans="2:21" s="47" customFormat="1" ht="24.75" customHeight="1" x14ac:dyDescent="0.2">
      <c r="B289" s="76" t="s">
        <v>73</v>
      </c>
      <c r="C289" s="53" t="s">
        <v>669</v>
      </c>
      <c r="D289" s="53" t="s">
        <v>59</v>
      </c>
      <c r="E289" s="53" t="s">
        <v>72</v>
      </c>
      <c r="F289" s="74" t="s">
        <v>354</v>
      </c>
      <c r="G289" s="53" t="s">
        <v>70</v>
      </c>
      <c r="H289" s="52">
        <f>1898.9-1898.9</f>
        <v>0</v>
      </c>
      <c r="I289" s="52">
        <f>1898.9-1898.9</f>
        <v>0</v>
      </c>
      <c r="J289" s="300">
        <f t="shared" si="74"/>
        <v>0</v>
      </c>
      <c r="K289" s="52">
        <v>100</v>
      </c>
      <c r="L289" s="52">
        <f>1898.9-1898.9</f>
        <v>0</v>
      </c>
      <c r="M289" s="300">
        <f t="shared" si="71"/>
        <v>0</v>
      </c>
      <c r="N289" s="52">
        <v>100</v>
      </c>
      <c r="O289" s="300">
        <f t="shared" si="75"/>
        <v>0</v>
      </c>
      <c r="P289" s="65">
        <v>400</v>
      </c>
      <c r="Q289" s="65">
        <v>400</v>
      </c>
      <c r="R289" s="333">
        <f t="shared" si="76"/>
        <v>0</v>
      </c>
      <c r="S289" s="43"/>
      <c r="T289" s="43"/>
      <c r="U289" s="43"/>
    </row>
    <row r="290" spans="2:21" s="47" customFormat="1" x14ac:dyDescent="0.2">
      <c r="B290" s="59" t="s">
        <v>353</v>
      </c>
      <c r="C290" s="48" t="s">
        <v>669</v>
      </c>
      <c r="D290" s="48" t="s">
        <v>59</v>
      </c>
      <c r="E290" s="48" t="s">
        <v>111</v>
      </c>
      <c r="F290" s="49"/>
      <c r="G290" s="48"/>
      <c r="H290" s="44">
        <f>H291+H326+H333</f>
        <v>31276.199999999997</v>
      </c>
      <c r="I290" s="44">
        <f>I291+I326+I333</f>
        <v>38920.1</v>
      </c>
      <c r="J290" s="300">
        <f t="shared" si="74"/>
        <v>7643.9000000000015</v>
      </c>
      <c r="K290" s="44">
        <f>K291+K326+K333</f>
        <v>22538.300000000003</v>
      </c>
      <c r="L290" s="44">
        <f>L291+L326+L333</f>
        <v>41717.599999999999</v>
      </c>
      <c r="M290" s="300">
        <f t="shared" si="71"/>
        <v>2797.5</v>
      </c>
      <c r="N290" s="44">
        <f>N291+N326+N333</f>
        <v>22538.300000000003</v>
      </c>
      <c r="O290" s="300">
        <f t="shared" si="75"/>
        <v>0</v>
      </c>
      <c r="P290" s="44">
        <f>P291+P326+P333</f>
        <v>22431.4</v>
      </c>
      <c r="Q290" s="44">
        <f>Q291+Q326+Q333</f>
        <v>22431.4</v>
      </c>
      <c r="R290" s="333">
        <f t="shared" si="76"/>
        <v>0</v>
      </c>
      <c r="S290" s="43"/>
      <c r="T290" s="43"/>
      <c r="U290" s="43"/>
    </row>
    <row r="291" spans="2:21" s="47" customFormat="1" ht="25.5" x14ac:dyDescent="0.2">
      <c r="B291" s="56" t="s">
        <v>352</v>
      </c>
      <c r="C291" s="53" t="s">
        <v>669</v>
      </c>
      <c r="D291" s="53" t="s">
        <v>59</v>
      </c>
      <c r="E291" s="53" t="s">
        <v>111</v>
      </c>
      <c r="F291" s="54" t="s">
        <v>351</v>
      </c>
      <c r="G291" s="48"/>
      <c r="H291" s="44">
        <f>H298+H292+H318</f>
        <v>22349.1</v>
      </c>
      <c r="I291" s="44">
        <f>I298+I292+I318</f>
        <v>29992.999999999996</v>
      </c>
      <c r="J291" s="300">
        <f t="shared" si="74"/>
        <v>7643.8999999999978</v>
      </c>
      <c r="K291" s="44">
        <f>K298+K292+K318</f>
        <v>11611.2</v>
      </c>
      <c r="L291" s="44">
        <f>L298+L292+L318</f>
        <v>30692.999999999996</v>
      </c>
      <c r="M291" s="300">
        <f t="shared" si="71"/>
        <v>700</v>
      </c>
      <c r="N291" s="44">
        <f>N298+N292+N318</f>
        <v>11611.2</v>
      </c>
      <c r="O291" s="300">
        <f t="shared" si="75"/>
        <v>0</v>
      </c>
      <c r="P291" s="44">
        <f>P298+P292+P318</f>
        <v>10693.400000000001</v>
      </c>
      <c r="Q291" s="44">
        <f>Q298+Q292+Q318</f>
        <v>10693.400000000001</v>
      </c>
      <c r="R291" s="333">
        <f t="shared" si="76"/>
        <v>0</v>
      </c>
      <c r="S291" s="43"/>
      <c r="T291" s="43"/>
      <c r="U291" s="43"/>
    </row>
    <row r="292" spans="2:21" s="47" customFormat="1" x14ac:dyDescent="0.2">
      <c r="B292" s="56" t="s">
        <v>270</v>
      </c>
      <c r="C292" s="53" t="s">
        <v>669</v>
      </c>
      <c r="D292" s="53" t="s">
        <v>59</v>
      </c>
      <c r="E292" s="53" t="s">
        <v>111</v>
      </c>
      <c r="F292" s="54" t="s">
        <v>350</v>
      </c>
      <c r="G292" s="60"/>
      <c r="H292" s="52">
        <f>H293</f>
        <v>3152</v>
      </c>
      <c r="I292" s="52">
        <f>I293</f>
        <v>3152</v>
      </c>
      <c r="J292" s="300">
        <f t="shared" si="74"/>
        <v>0</v>
      </c>
      <c r="K292" s="52">
        <f t="shared" ref="K292:Q292" si="78">K293</f>
        <v>1384</v>
      </c>
      <c r="L292" s="52">
        <f>L293</f>
        <v>3152</v>
      </c>
      <c r="M292" s="300">
        <f t="shared" si="71"/>
        <v>0</v>
      </c>
      <c r="N292" s="52">
        <f t="shared" si="78"/>
        <v>1384</v>
      </c>
      <c r="O292" s="300">
        <f t="shared" si="75"/>
        <v>0</v>
      </c>
      <c r="P292" s="52">
        <f t="shared" si="78"/>
        <v>1328.8000000000002</v>
      </c>
      <c r="Q292" s="52">
        <f t="shared" si="78"/>
        <v>1328.8000000000002</v>
      </c>
      <c r="R292" s="333">
        <f t="shared" si="76"/>
        <v>0</v>
      </c>
      <c r="S292" s="43"/>
      <c r="T292" s="43"/>
      <c r="U292" s="43"/>
    </row>
    <row r="293" spans="2:21" s="47" customFormat="1" x14ac:dyDescent="0.2">
      <c r="B293" s="122" t="s">
        <v>349</v>
      </c>
      <c r="C293" s="53" t="s">
        <v>669</v>
      </c>
      <c r="D293" s="53" t="s">
        <v>59</v>
      </c>
      <c r="E293" s="53" t="s">
        <v>111</v>
      </c>
      <c r="F293" s="54" t="s">
        <v>348</v>
      </c>
      <c r="G293" s="60"/>
      <c r="H293" s="52">
        <f>H294+H296</f>
        <v>3152</v>
      </c>
      <c r="I293" s="52">
        <f>I294+I296</f>
        <v>3152</v>
      </c>
      <c r="J293" s="300">
        <f t="shared" si="74"/>
        <v>0</v>
      </c>
      <c r="K293" s="52">
        <f t="shared" ref="K293" si="79">K294+K296</f>
        <v>1384</v>
      </c>
      <c r="L293" s="52">
        <f>L294+L296</f>
        <v>3152</v>
      </c>
      <c r="M293" s="300">
        <f t="shared" si="71"/>
        <v>0</v>
      </c>
      <c r="N293" s="52">
        <f t="shared" ref="N293:Q293" si="80">N294+N296</f>
        <v>1384</v>
      </c>
      <c r="O293" s="300">
        <f t="shared" si="75"/>
        <v>0</v>
      </c>
      <c r="P293" s="52">
        <f t="shared" ref="P293" si="81">P294+P296</f>
        <v>1328.8000000000002</v>
      </c>
      <c r="Q293" s="52">
        <f t="shared" si="80"/>
        <v>1328.8000000000002</v>
      </c>
      <c r="R293" s="333">
        <f t="shared" si="76"/>
        <v>0</v>
      </c>
      <c r="S293" s="43"/>
      <c r="T293" s="43"/>
      <c r="U293" s="43"/>
    </row>
    <row r="294" spans="2:21" s="47" customFormat="1" ht="15" customHeight="1" x14ac:dyDescent="0.2">
      <c r="B294" s="121" t="s">
        <v>347</v>
      </c>
      <c r="C294" s="53" t="s">
        <v>669</v>
      </c>
      <c r="D294" s="53" t="s">
        <v>59</v>
      </c>
      <c r="E294" s="53" t="s">
        <v>111</v>
      </c>
      <c r="F294" s="54" t="s">
        <v>346</v>
      </c>
      <c r="G294" s="60"/>
      <c r="H294" s="52">
        <f>H295</f>
        <v>1440.3</v>
      </c>
      <c r="I294" s="52">
        <f>I295</f>
        <v>1440.3</v>
      </c>
      <c r="J294" s="300">
        <f t="shared" si="74"/>
        <v>0</v>
      </c>
      <c r="K294" s="52">
        <f t="shared" ref="K294:Q294" si="82">K295</f>
        <v>1384</v>
      </c>
      <c r="L294" s="52">
        <f>L295</f>
        <v>1440.3</v>
      </c>
      <c r="M294" s="300">
        <f t="shared" si="71"/>
        <v>0</v>
      </c>
      <c r="N294" s="52">
        <f t="shared" si="82"/>
        <v>1384</v>
      </c>
      <c r="O294" s="300">
        <f t="shared" si="75"/>
        <v>0</v>
      </c>
      <c r="P294" s="52">
        <f t="shared" si="82"/>
        <v>1328.8000000000002</v>
      </c>
      <c r="Q294" s="52">
        <f t="shared" si="82"/>
        <v>1328.8000000000002</v>
      </c>
      <c r="R294" s="333">
        <f t="shared" si="76"/>
        <v>0</v>
      </c>
      <c r="S294" s="43"/>
      <c r="T294" s="43"/>
      <c r="U294" s="43"/>
    </row>
    <row r="295" spans="2:21" s="47" customFormat="1" ht="25.5" x14ac:dyDescent="0.2">
      <c r="B295" s="56" t="s">
        <v>73</v>
      </c>
      <c r="C295" s="53" t="s">
        <v>669</v>
      </c>
      <c r="D295" s="53" t="s">
        <v>59</v>
      </c>
      <c r="E295" s="53" t="s">
        <v>111</v>
      </c>
      <c r="F295" s="54" t="s">
        <v>346</v>
      </c>
      <c r="G295" s="60" t="s">
        <v>70</v>
      </c>
      <c r="H295" s="52">
        <f>1296.3+144</f>
        <v>1440.3</v>
      </c>
      <c r="I295" s="52">
        <f>1296.3+144</f>
        <v>1440.3</v>
      </c>
      <c r="J295" s="300">
        <f t="shared" si="74"/>
        <v>0</v>
      </c>
      <c r="K295" s="52">
        <f>1245.6+138.4</f>
        <v>1384</v>
      </c>
      <c r="L295" s="52">
        <f>1296.3+144</f>
        <v>1440.3</v>
      </c>
      <c r="M295" s="300">
        <f t="shared" si="71"/>
        <v>0</v>
      </c>
      <c r="N295" s="52">
        <f>1245.6+138.4</f>
        <v>1384</v>
      </c>
      <c r="O295" s="300">
        <f t="shared" si="75"/>
        <v>0</v>
      </c>
      <c r="P295" s="65">
        <f>1195.9+132.9</f>
        <v>1328.8000000000002</v>
      </c>
      <c r="Q295" s="65">
        <f>1195.9+132.9</f>
        <v>1328.8000000000002</v>
      </c>
      <c r="R295" s="333">
        <f t="shared" si="76"/>
        <v>0</v>
      </c>
      <c r="S295" s="43"/>
      <c r="T295" s="43"/>
      <c r="U295" s="43"/>
    </row>
    <row r="296" spans="2:21" s="47" customFormat="1" ht="25.5" x14ac:dyDescent="0.2">
      <c r="B296" s="64" t="s">
        <v>345</v>
      </c>
      <c r="C296" s="53" t="s">
        <v>669</v>
      </c>
      <c r="D296" s="53" t="s">
        <v>59</v>
      </c>
      <c r="E296" s="53" t="s">
        <v>111</v>
      </c>
      <c r="F296" s="54" t="s">
        <v>344</v>
      </c>
      <c r="G296" s="60"/>
      <c r="H296" s="52">
        <f>H297</f>
        <v>1711.7</v>
      </c>
      <c r="I296" s="52">
        <f>I297</f>
        <v>1711.7</v>
      </c>
      <c r="J296" s="300">
        <f t="shared" si="74"/>
        <v>0</v>
      </c>
      <c r="K296" s="52">
        <f t="shared" ref="K296:Q296" si="83">K297</f>
        <v>0</v>
      </c>
      <c r="L296" s="52">
        <f>L297</f>
        <v>1711.7</v>
      </c>
      <c r="M296" s="300">
        <f t="shared" si="71"/>
        <v>0</v>
      </c>
      <c r="N296" s="52">
        <f t="shared" si="83"/>
        <v>0</v>
      </c>
      <c r="O296" s="300">
        <f t="shared" si="75"/>
        <v>0</v>
      </c>
      <c r="P296" s="52">
        <f t="shared" si="83"/>
        <v>0</v>
      </c>
      <c r="Q296" s="52">
        <f t="shared" si="83"/>
        <v>0</v>
      </c>
      <c r="R296" s="333">
        <f t="shared" si="76"/>
        <v>0</v>
      </c>
      <c r="S296" s="43"/>
      <c r="T296" s="43"/>
      <c r="U296" s="43"/>
    </row>
    <row r="297" spans="2:21" s="47" customFormat="1" ht="25.5" x14ac:dyDescent="0.2">
      <c r="B297" s="56" t="s">
        <v>73</v>
      </c>
      <c r="C297" s="53" t="s">
        <v>669</v>
      </c>
      <c r="D297" s="53" t="s">
        <v>59</v>
      </c>
      <c r="E297" s="53" t="s">
        <v>111</v>
      </c>
      <c r="F297" s="54" t="s">
        <v>344</v>
      </c>
      <c r="G297" s="60" t="s">
        <v>70</v>
      </c>
      <c r="H297" s="52">
        <f>1540.5+171.2</f>
        <v>1711.7</v>
      </c>
      <c r="I297" s="52">
        <f>1540.5+171.2</f>
        <v>1711.7</v>
      </c>
      <c r="J297" s="300">
        <f t="shared" si="74"/>
        <v>0</v>
      </c>
      <c r="K297" s="52">
        <v>0</v>
      </c>
      <c r="L297" s="52">
        <f>1540.5+171.2</f>
        <v>1711.7</v>
      </c>
      <c r="M297" s="300">
        <f t="shared" si="71"/>
        <v>0</v>
      </c>
      <c r="N297" s="52">
        <v>0</v>
      </c>
      <c r="O297" s="300">
        <f t="shared" si="75"/>
        <v>0</v>
      </c>
      <c r="P297" s="65">
        <v>0</v>
      </c>
      <c r="Q297" s="65">
        <v>0</v>
      </c>
      <c r="R297" s="333">
        <f t="shared" si="76"/>
        <v>0</v>
      </c>
      <c r="S297" s="43"/>
      <c r="T297" s="43"/>
      <c r="U297" s="43"/>
    </row>
    <row r="298" spans="2:21" s="47" customFormat="1" x14ac:dyDescent="0.2">
      <c r="B298" s="95" t="s">
        <v>66</v>
      </c>
      <c r="C298" s="53" t="s">
        <v>669</v>
      </c>
      <c r="D298" s="53" t="s">
        <v>59</v>
      </c>
      <c r="E298" s="53" t="s">
        <v>111</v>
      </c>
      <c r="F298" s="54" t="s">
        <v>343</v>
      </c>
      <c r="G298" s="53"/>
      <c r="H298" s="52">
        <f>H299+H304+H307</f>
        <v>11557.8</v>
      </c>
      <c r="I298" s="52">
        <f>I299+I304+I307</f>
        <v>19192.699999999997</v>
      </c>
      <c r="J298" s="300">
        <f t="shared" si="74"/>
        <v>7634.8999999999978</v>
      </c>
      <c r="K298" s="52">
        <f t="shared" ref="K298" si="84">K299+K304+K307+K300</f>
        <v>2587.9</v>
      </c>
      <c r="L298" s="52">
        <f>L299+L304+L307</f>
        <v>19892.699999999997</v>
      </c>
      <c r="M298" s="300">
        <f t="shared" si="71"/>
        <v>700</v>
      </c>
      <c r="N298" s="52">
        <f t="shared" ref="N298:Q298" si="85">N299+N304+N307+N300</f>
        <v>2587.9</v>
      </c>
      <c r="O298" s="300">
        <f t="shared" si="75"/>
        <v>0</v>
      </c>
      <c r="P298" s="52">
        <f t="shared" ref="P298" si="86">P299+P304+P307+P300</f>
        <v>1725.3</v>
      </c>
      <c r="Q298" s="52">
        <f t="shared" si="85"/>
        <v>1725.3</v>
      </c>
      <c r="R298" s="333">
        <f t="shared" si="76"/>
        <v>0</v>
      </c>
      <c r="S298" s="43"/>
      <c r="T298" s="43"/>
      <c r="U298" s="43"/>
    </row>
    <row r="299" spans="2:21" s="47" customFormat="1" ht="27.75" customHeight="1" x14ac:dyDescent="0.2">
      <c r="B299" s="64" t="s">
        <v>342</v>
      </c>
      <c r="C299" s="53" t="s">
        <v>669</v>
      </c>
      <c r="D299" s="53" t="s">
        <v>59</v>
      </c>
      <c r="E299" s="53" t="s">
        <v>111</v>
      </c>
      <c r="F299" s="54" t="s">
        <v>341</v>
      </c>
      <c r="G299" s="53"/>
      <c r="H299" s="52">
        <f>H302+H300</f>
        <v>6551.9</v>
      </c>
      <c r="I299" s="52">
        <f>I302+I300</f>
        <v>6551.9</v>
      </c>
      <c r="J299" s="300">
        <f t="shared" si="74"/>
        <v>0</v>
      </c>
      <c r="K299" s="52">
        <f>K302</f>
        <v>0</v>
      </c>
      <c r="L299" s="52">
        <f>L302+L300</f>
        <v>6551.9</v>
      </c>
      <c r="M299" s="300">
        <f t="shared" si="71"/>
        <v>0</v>
      </c>
      <c r="N299" s="52">
        <f>N302</f>
        <v>0</v>
      </c>
      <c r="O299" s="300">
        <f t="shared" si="75"/>
        <v>0</v>
      </c>
      <c r="P299" s="52">
        <f>P302</f>
        <v>0</v>
      </c>
      <c r="Q299" s="52">
        <f>Q302</f>
        <v>0</v>
      </c>
      <c r="R299" s="333">
        <f t="shared" si="76"/>
        <v>0</v>
      </c>
      <c r="S299" s="43"/>
      <c r="T299" s="43"/>
      <c r="U299" s="43"/>
    </row>
    <row r="300" spans="2:21" s="47" customFormat="1" ht="25.5" customHeight="1" x14ac:dyDescent="0.2">
      <c r="B300" s="64" t="s">
        <v>340</v>
      </c>
      <c r="C300" s="53" t="s">
        <v>669</v>
      </c>
      <c r="D300" s="53" t="s">
        <v>59</v>
      </c>
      <c r="E300" s="53" t="s">
        <v>111</v>
      </c>
      <c r="F300" s="54" t="s">
        <v>339</v>
      </c>
      <c r="G300" s="53"/>
      <c r="H300" s="52">
        <f>H301</f>
        <v>3286.2999999999997</v>
      </c>
      <c r="I300" s="52">
        <f>I301</f>
        <v>3286.2999999999997</v>
      </c>
      <c r="J300" s="300">
        <f t="shared" si="74"/>
        <v>0</v>
      </c>
      <c r="K300" s="52">
        <f t="shared" ref="K300:Q300" si="87">K301</f>
        <v>0</v>
      </c>
      <c r="L300" s="52">
        <f>L301</f>
        <v>3286.2999999999997</v>
      </c>
      <c r="M300" s="300">
        <f t="shared" si="71"/>
        <v>0</v>
      </c>
      <c r="N300" s="52">
        <f t="shared" si="87"/>
        <v>0</v>
      </c>
      <c r="O300" s="300">
        <f t="shared" si="75"/>
        <v>0</v>
      </c>
      <c r="P300" s="52">
        <f t="shared" si="87"/>
        <v>0</v>
      </c>
      <c r="Q300" s="52">
        <f t="shared" si="87"/>
        <v>0</v>
      </c>
      <c r="R300" s="333">
        <f t="shared" si="76"/>
        <v>0</v>
      </c>
      <c r="S300" s="43"/>
      <c r="T300" s="43"/>
      <c r="U300" s="43"/>
    </row>
    <row r="301" spans="2:21" s="47" customFormat="1" ht="27.75" customHeight="1" x14ac:dyDescent="0.2">
      <c r="B301" s="56" t="s">
        <v>73</v>
      </c>
      <c r="C301" s="53" t="s">
        <v>669</v>
      </c>
      <c r="D301" s="53" t="s">
        <v>59</v>
      </c>
      <c r="E301" s="53" t="s">
        <v>111</v>
      </c>
      <c r="F301" s="54" t="s">
        <v>339</v>
      </c>
      <c r="G301" s="53" t="s">
        <v>70</v>
      </c>
      <c r="H301" s="52">
        <f>3889-931.3+328.6</f>
        <v>3286.2999999999997</v>
      </c>
      <c r="I301" s="52">
        <f>3889-931.3+328.6</f>
        <v>3286.2999999999997</v>
      </c>
      <c r="J301" s="300">
        <f t="shared" si="74"/>
        <v>0</v>
      </c>
      <c r="K301" s="52">
        <v>0</v>
      </c>
      <c r="L301" s="52">
        <f>3889-931.3+328.6</f>
        <v>3286.2999999999997</v>
      </c>
      <c r="M301" s="300">
        <f t="shared" si="71"/>
        <v>0</v>
      </c>
      <c r="N301" s="52">
        <v>0</v>
      </c>
      <c r="O301" s="300">
        <f t="shared" si="75"/>
        <v>0</v>
      </c>
      <c r="P301" s="65">
        <v>0</v>
      </c>
      <c r="Q301" s="65">
        <v>0</v>
      </c>
      <c r="R301" s="333">
        <f t="shared" si="76"/>
        <v>0</v>
      </c>
      <c r="S301" s="43"/>
      <c r="T301" s="43"/>
      <c r="U301" s="43"/>
    </row>
    <row r="302" spans="2:21" s="47" customFormat="1" x14ac:dyDescent="0.2">
      <c r="B302" s="64" t="s">
        <v>338</v>
      </c>
      <c r="C302" s="53" t="s">
        <v>669</v>
      </c>
      <c r="D302" s="53" t="s">
        <v>59</v>
      </c>
      <c r="E302" s="53" t="s">
        <v>111</v>
      </c>
      <c r="F302" s="54" t="s">
        <v>337</v>
      </c>
      <c r="G302" s="53"/>
      <c r="H302" s="52">
        <f t="shared" ref="H302:Q302" si="88">H303</f>
        <v>3265.6000000000004</v>
      </c>
      <c r="I302" s="52">
        <f t="shared" si="88"/>
        <v>3265.6000000000004</v>
      </c>
      <c r="J302" s="300">
        <f t="shared" si="74"/>
        <v>0</v>
      </c>
      <c r="K302" s="52">
        <f t="shared" si="88"/>
        <v>0</v>
      </c>
      <c r="L302" s="52">
        <f t="shared" si="88"/>
        <v>3265.6000000000004</v>
      </c>
      <c r="M302" s="300">
        <f t="shared" si="71"/>
        <v>0</v>
      </c>
      <c r="N302" s="52">
        <f t="shared" si="88"/>
        <v>0</v>
      </c>
      <c r="O302" s="300">
        <f t="shared" si="75"/>
        <v>0</v>
      </c>
      <c r="P302" s="52">
        <f t="shared" si="88"/>
        <v>0</v>
      </c>
      <c r="Q302" s="52">
        <f t="shared" si="88"/>
        <v>0</v>
      </c>
      <c r="R302" s="333">
        <f t="shared" si="76"/>
        <v>0</v>
      </c>
      <c r="S302" s="43"/>
      <c r="T302" s="43"/>
      <c r="U302" s="43"/>
    </row>
    <row r="303" spans="2:21" s="47" customFormat="1" ht="26.25" customHeight="1" x14ac:dyDescent="0.2">
      <c r="B303" s="56" t="s">
        <v>73</v>
      </c>
      <c r="C303" s="53" t="s">
        <v>669</v>
      </c>
      <c r="D303" s="53" t="s">
        <v>59</v>
      </c>
      <c r="E303" s="53" t="s">
        <v>111</v>
      </c>
      <c r="F303" s="54" t="s">
        <v>337</v>
      </c>
      <c r="G303" s="53" t="s">
        <v>70</v>
      </c>
      <c r="H303" s="52">
        <f>745+82.8+2194+243.8</f>
        <v>3265.6000000000004</v>
      </c>
      <c r="I303" s="52">
        <f>745+82.8+2194+243.8</f>
        <v>3265.6000000000004</v>
      </c>
      <c r="J303" s="300">
        <f t="shared" si="74"/>
        <v>0</v>
      </c>
      <c r="K303" s="52">
        <v>0</v>
      </c>
      <c r="L303" s="52">
        <f>745+82.8+2194+243.8</f>
        <v>3265.6000000000004</v>
      </c>
      <c r="M303" s="300">
        <f t="shared" si="71"/>
        <v>0</v>
      </c>
      <c r="N303" s="52">
        <v>0</v>
      </c>
      <c r="O303" s="300">
        <f t="shared" si="75"/>
        <v>0</v>
      </c>
      <c r="P303" s="52">
        <v>0</v>
      </c>
      <c r="Q303" s="52">
        <v>0</v>
      </c>
      <c r="R303" s="333">
        <f t="shared" si="76"/>
        <v>0</v>
      </c>
      <c r="S303" s="43"/>
      <c r="T303" s="43"/>
      <c r="U303" s="43"/>
    </row>
    <row r="304" spans="2:21" s="47" customFormat="1" ht="25.5" x14ac:dyDescent="0.2">
      <c r="B304" s="93" t="s">
        <v>336</v>
      </c>
      <c r="C304" s="53" t="s">
        <v>669</v>
      </c>
      <c r="D304" s="53" t="s">
        <v>59</v>
      </c>
      <c r="E304" s="53" t="s">
        <v>111</v>
      </c>
      <c r="F304" s="54" t="s">
        <v>335</v>
      </c>
      <c r="G304" s="53"/>
      <c r="H304" s="52">
        <f t="shared" ref="H304:Q305" si="89">H305</f>
        <v>4143.2</v>
      </c>
      <c r="I304" s="52">
        <f t="shared" si="89"/>
        <v>4143.2</v>
      </c>
      <c r="J304" s="300">
        <f t="shared" si="74"/>
        <v>0</v>
      </c>
      <c r="K304" s="52">
        <f t="shared" si="89"/>
        <v>0</v>
      </c>
      <c r="L304" s="52">
        <f t="shared" si="89"/>
        <v>4143.2</v>
      </c>
      <c r="M304" s="300">
        <f t="shared" si="71"/>
        <v>0</v>
      </c>
      <c r="N304" s="52">
        <f t="shared" si="89"/>
        <v>0</v>
      </c>
      <c r="O304" s="300">
        <f t="shared" si="75"/>
        <v>0</v>
      </c>
      <c r="P304" s="52">
        <f t="shared" si="89"/>
        <v>0</v>
      </c>
      <c r="Q304" s="52">
        <f t="shared" si="89"/>
        <v>0</v>
      </c>
      <c r="R304" s="333">
        <f t="shared" si="76"/>
        <v>0</v>
      </c>
      <c r="S304" s="43"/>
      <c r="T304" s="43"/>
      <c r="U304" s="43"/>
    </row>
    <row r="305" spans="2:21" s="47" customFormat="1" ht="25.5" x14ac:dyDescent="0.2">
      <c r="B305" s="93" t="s">
        <v>334</v>
      </c>
      <c r="C305" s="53" t="s">
        <v>669</v>
      </c>
      <c r="D305" s="53" t="s">
        <v>59</v>
      </c>
      <c r="E305" s="53" t="s">
        <v>111</v>
      </c>
      <c r="F305" s="54" t="s">
        <v>333</v>
      </c>
      <c r="G305" s="53"/>
      <c r="H305" s="52">
        <f t="shared" si="89"/>
        <v>4143.2</v>
      </c>
      <c r="I305" s="52">
        <f t="shared" si="89"/>
        <v>4143.2</v>
      </c>
      <c r="J305" s="300">
        <f t="shared" si="74"/>
        <v>0</v>
      </c>
      <c r="K305" s="52">
        <f t="shared" si="89"/>
        <v>0</v>
      </c>
      <c r="L305" s="52">
        <f t="shared" si="89"/>
        <v>4143.2</v>
      </c>
      <c r="M305" s="300">
        <f t="shared" si="71"/>
        <v>0</v>
      </c>
      <c r="N305" s="52">
        <f t="shared" si="89"/>
        <v>0</v>
      </c>
      <c r="O305" s="300">
        <f t="shared" si="75"/>
        <v>0</v>
      </c>
      <c r="P305" s="52">
        <f t="shared" si="89"/>
        <v>0</v>
      </c>
      <c r="Q305" s="52">
        <f t="shared" si="89"/>
        <v>0</v>
      </c>
      <c r="R305" s="333">
        <f t="shared" si="76"/>
        <v>0</v>
      </c>
      <c r="S305" s="43"/>
      <c r="T305" s="43"/>
      <c r="U305" s="43"/>
    </row>
    <row r="306" spans="2:21" s="47" customFormat="1" ht="25.5" x14ac:dyDescent="0.2">
      <c r="B306" s="84" t="s">
        <v>73</v>
      </c>
      <c r="C306" s="53" t="s">
        <v>669</v>
      </c>
      <c r="D306" s="53" t="s">
        <v>59</v>
      </c>
      <c r="E306" s="53" t="s">
        <v>111</v>
      </c>
      <c r="F306" s="54" t="s">
        <v>333</v>
      </c>
      <c r="G306" s="53" t="s">
        <v>70</v>
      </c>
      <c r="H306" s="52">
        <f>4101.8+41.4</f>
        <v>4143.2</v>
      </c>
      <c r="I306" s="52">
        <f>4101.8+41.4</f>
        <v>4143.2</v>
      </c>
      <c r="J306" s="300">
        <f t="shared" si="74"/>
        <v>0</v>
      </c>
      <c r="K306" s="52">
        <v>0</v>
      </c>
      <c r="L306" s="52">
        <f>4101.8+41.4</f>
        <v>4143.2</v>
      </c>
      <c r="M306" s="300">
        <f t="shared" si="71"/>
        <v>0</v>
      </c>
      <c r="N306" s="52">
        <v>0</v>
      </c>
      <c r="O306" s="300">
        <f t="shared" si="75"/>
        <v>0</v>
      </c>
      <c r="P306" s="52">
        <v>0</v>
      </c>
      <c r="Q306" s="52">
        <v>0</v>
      </c>
      <c r="R306" s="333">
        <f t="shared" si="76"/>
        <v>0</v>
      </c>
      <c r="S306" s="43"/>
      <c r="T306" s="43"/>
      <c r="U306" s="43"/>
    </row>
    <row r="307" spans="2:21" s="47" customFormat="1" ht="25.5" x14ac:dyDescent="0.2">
      <c r="B307" s="95" t="s">
        <v>332</v>
      </c>
      <c r="C307" s="53" t="s">
        <v>669</v>
      </c>
      <c r="D307" s="53" t="s">
        <v>59</v>
      </c>
      <c r="E307" s="53" t="s">
        <v>111</v>
      </c>
      <c r="F307" s="54" t="s">
        <v>331</v>
      </c>
      <c r="G307" s="53"/>
      <c r="H307" s="52">
        <f>H308+H316+H310+H312+H314</f>
        <v>862.69999999999993</v>
      </c>
      <c r="I307" s="52">
        <f>I308+I316+I310+I312+I314</f>
        <v>8497.6</v>
      </c>
      <c r="J307" s="52">
        <f t="shared" ref="J307:Q307" si="90">J308+J316+J310+J312+J314</f>
        <v>7634.9</v>
      </c>
      <c r="K307" s="52">
        <f t="shared" si="90"/>
        <v>2587.9</v>
      </c>
      <c r="L307" s="52">
        <f t="shared" si="90"/>
        <v>9197.5999999999985</v>
      </c>
      <c r="M307" s="300">
        <f t="shared" si="71"/>
        <v>699.99999999999818</v>
      </c>
      <c r="N307" s="52">
        <f t="shared" si="90"/>
        <v>2587.9</v>
      </c>
      <c r="O307" s="52">
        <f t="shared" si="90"/>
        <v>0</v>
      </c>
      <c r="P307" s="52">
        <f t="shared" si="90"/>
        <v>1725.3</v>
      </c>
      <c r="Q307" s="52">
        <f t="shared" si="90"/>
        <v>1725.3</v>
      </c>
      <c r="R307" s="333">
        <f t="shared" si="76"/>
        <v>0</v>
      </c>
      <c r="S307" s="43"/>
      <c r="T307" s="43"/>
      <c r="U307" s="43"/>
    </row>
    <row r="308" spans="2:21" s="47" customFormat="1" x14ac:dyDescent="0.2">
      <c r="B308" s="95" t="s">
        <v>330</v>
      </c>
      <c r="C308" s="53" t="s">
        <v>669</v>
      </c>
      <c r="D308" s="53" t="s">
        <v>59</v>
      </c>
      <c r="E308" s="53" t="s">
        <v>111</v>
      </c>
      <c r="F308" s="54" t="s">
        <v>329</v>
      </c>
      <c r="G308" s="53"/>
      <c r="H308" s="52">
        <f>H309</f>
        <v>0</v>
      </c>
      <c r="I308" s="52">
        <f>I309</f>
        <v>3988.9</v>
      </c>
      <c r="J308" s="300">
        <f t="shared" si="74"/>
        <v>3988.9</v>
      </c>
      <c r="K308" s="52">
        <f>K309</f>
        <v>0</v>
      </c>
      <c r="L308" s="52">
        <f>L309</f>
        <v>4688.8999999999996</v>
      </c>
      <c r="M308" s="300">
        <f t="shared" si="71"/>
        <v>699.99999999999955</v>
      </c>
      <c r="N308" s="52">
        <f>N309</f>
        <v>0</v>
      </c>
      <c r="O308" s="300">
        <f t="shared" si="75"/>
        <v>0</v>
      </c>
      <c r="P308" s="52">
        <f>P309</f>
        <v>0</v>
      </c>
      <c r="Q308" s="52">
        <f>Q309</f>
        <v>0</v>
      </c>
      <c r="R308" s="333">
        <f t="shared" si="76"/>
        <v>0</v>
      </c>
      <c r="S308" s="43"/>
      <c r="T308" s="43"/>
      <c r="U308" s="43"/>
    </row>
    <row r="309" spans="2:21" s="47" customFormat="1" ht="25.5" x14ac:dyDescent="0.2">
      <c r="B309" s="84" t="s">
        <v>73</v>
      </c>
      <c r="C309" s="53" t="s">
        <v>669</v>
      </c>
      <c r="D309" s="53" t="s">
        <v>59</v>
      </c>
      <c r="E309" s="53" t="s">
        <v>111</v>
      </c>
      <c r="F309" s="54" t="s">
        <v>329</v>
      </c>
      <c r="G309" s="53" t="s">
        <v>70</v>
      </c>
      <c r="H309" s="52">
        <v>0</v>
      </c>
      <c r="I309" s="52">
        <f>2484.9+300+1204</f>
        <v>3988.9</v>
      </c>
      <c r="J309" s="300">
        <f t="shared" si="74"/>
        <v>3988.9</v>
      </c>
      <c r="K309" s="52">
        <v>0</v>
      </c>
      <c r="L309" s="52">
        <f>3988.9+700</f>
        <v>4688.8999999999996</v>
      </c>
      <c r="M309" s="300">
        <f t="shared" si="71"/>
        <v>699.99999999999955</v>
      </c>
      <c r="N309" s="52">
        <v>0</v>
      </c>
      <c r="O309" s="300">
        <f t="shared" si="75"/>
        <v>0</v>
      </c>
      <c r="P309" s="52">
        <v>0</v>
      </c>
      <c r="Q309" s="52">
        <v>0</v>
      </c>
      <c r="R309" s="333">
        <f t="shared" si="76"/>
        <v>0</v>
      </c>
      <c r="S309" s="32"/>
      <c r="T309" s="43"/>
      <c r="U309" s="43"/>
    </row>
    <row r="310" spans="2:21" s="47" customFormat="1" ht="25.5" x14ac:dyDescent="0.2">
      <c r="B310" s="337" t="s">
        <v>1079</v>
      </c>
      <c r="C310" s="53" t="s">
        <v>669</v>
      </c>
      <c r="D310" s="53" t="s">
        <v>59</v>
      </c>
      <c r="E310" s="53" t="s">
        <v>111</v>
      </c>
      <c r="F310" s="54" t="s">
        <v>1080</v>
      </c>
      <c r="G310" s="53"/>
      <c r="H310" s="52">
        <f>H311</f>
        <v>0</v>
      </c>
      <c r="I310" s="52">
        <f t="shared" ref="I310:Q310" si="91">I311</f>
        <v>240</v>
      </c>
      <c r="J310" s="300">
        <f t="shared" si="74"/>
        <v>240</v>
      </c>
      <c r="K310" s="52">
        <f t="shared" si="91"/>
        <v>0</v>
      </c>
      <c r="L310" s="52">
        <f t="shared" si="91"/>
        <v>240</v>
      </c>
      <c r="M310" s="300">
        <f t="shared" si="71"/>
        <v>0</v>
      </c>
      <c r="N310" s="52">
        <f t="shared" si="91"/>
        <v>0</v>
      </c>
      <c r="O310" s="300">
        <f t="shared" si="75"/>
        <v>0</v>
      </c>
      <c r="P310" s="52">
        <f t="shared" si="91"/>
        <v>0</v>
      </c>
      <c r="Q310" s="52">
        <f t="shared" si="91"/>
        <v>0</v>
      </c>
      <c r="R310" s="333">
        <f t="shared" si="76"/>
        <v>0</v>
      </c>
      <c r="S310" s="32"/>
      <c r="T310" s="43"/>
      <c r="U310" s="43"/>
    </row>
    <row r="311" spans="2:21" s="47" customFormat="1" ht="25.5" x14ac:dyDescent="0.2">
      <c r="B311" s="230" t="s">
        <v>73</v>
      </c>
      <c r="C311" s="53" t="s">
        <v>669</v>
      </c>
      <c r="D311" s="53" t="s">
        <v>59</v>
      </c>
      <c r="E311" s="53" t="s">
        <v>111</v>
      </c>
      <c r="F311" s="54" t="s">
        <v>1080</v>
      </c>
      <c r="G311" s="53" t="s">
        <v>70</v>
      </c>
      <c r="H311" s="52">
        <v>0</v>
      </c>
      <c r="I311" s="52">
        <v>240</v>
      </c>
      <c r="J311" s="300">
        <f t="shared" si="74"/>
        <v>240</v>
      </c>
      <c r="K311" s="52">
        <v>0</v>
      </c>
      <c r="L311" s="52">
        <v>240</v>
      </c>
      <c r="M311" s="300">
        <f t="shared" si="71"/>
        <v>0</v>
      </c>
      <c r="N311" s="52">
        <v>0</v>
      </c>
      <c r="O311" s="300">
        <f t="shared" si="75"/>
        <v>0</v>
      </c>
      <c r="P311" s="65">
        <v>0</v>
      </c>
      <c r="Q311" s="52">
        <v>0</v>
      </c>
      <c r="R311" s="333">
        <f t="shared" si="76"/>
        <v>0</v>
      </c>
      <c r="S311" s="32"/>
      <c r="T311" s="43"/>
      <c r="U311" s="43"/>
    </row>
    <row r="312" spans="2:21" s="47" customFormat="1" ht="25.5" x14ac:dyDescent="0.2">
      <c r="B312" s="64" t="s">
        <v>1081</v>
      </c>
      <c r="C312" s="53" t="s">
        <v>669</v>
      </c>
      <c r="D312" s="53" t="s">
        <v>59</v>
      </c>
      <c r="E312" s="53" t="s">
        <v>111</v>
      </c>
      <c r="F312" s="54" t="s">
        <v>1082</v>
      </c>
      <c r="G312" s="53"/>
      <c r="H312" s="52">
        <f>H313</f>
        <v>0</v>
      </c>
      <c r="I312" s="52">
        <f t="shared" ref="I312:Q312" si="92">I313</f>
        <v>206</v>
      </c>
      <c r="J312" s="300">
        <f t="shared" si="74"/>
        <v>206</v>
      </c>
      <c r="K312" s="52">
        <f t="shared" si="92"/>
        <v>0</v>
      </c>
      <c r="L312" s="52">
        <f t="shared" si="92"/>
        <v>206</v>
      </c>
      <c r="M312" s="300">
        <f t="shared" si="71"/>
        <v>0</v>
      </c>
      <c r="N312" s="52">
        <f t="shared" si="92"/>
        <v>0</v>
      </c>
      <c r="O312" s="300">
        <f t="shared" si="75"/>
        <v>0</v>
      </c>
      <c r="P312" s="52">
        <f t="shared" si="92"/>
        <v>0</v>
      </c>
      <c r="Q312" s="52">
        <f t="shared" si="92"/>
        <v>0</v>
      </c>
      <c r="R312" s="333">
        <f t="shared" si="76"/>
        <v>0</v>
      </c>
      <c r="S312" s="32"/>
      <c r="T312" s="43"/>
      <c r="U312" s="43"/>
    </row>
    <row r="313" spans="2:21" s="47" customFormat="1" ht="25.5" x14ac:dyDescent="0.2">
      <c r="B313" s="121" t="s">
        <v>73</v>
      </c>
      <c r="C313" s="53" t="s">
        <v>669</v>
      </c>
      <c r="D313" s="53" t="s">
        <v>59</v>
      </c>
      <c r="E313" s="53" t="s">
        <v>111</v>
      </c>
      <c r="F313" s="54" t="s">
        <v>1082</v>
      </c>
      <c r="G313" s="53" t="s">
        <v>70</v>
      </c>
      <c r="H313" s="52">
        <v>0</v>
      </c>
      <c r="I313" s="52">
        <v>206</v>
      </c>
      <c r="J313" s="300">
        <f t="shared" si="74"/>
        <v>206</v>
      </c>
      <c r="K313" s="52">
        <v>0</v>
      </c>
      <c r="L313" s="52">
        <v>206</v>
      </c>
      <c r="M313" s="300">
        <f t="shared" si="71"/>
        <v>0</v>
      </c>
      <c r="N313" s="52">
        <v>0</v>
      </c>
      <c r="O313" s="300">
        <f t="shared" si="75"/>
        <v>0</v>
      </c>
      <c r="P313" s="65">
        <v>0</v>
      </c>
      <c r="Q313" s="52">
        <v>0</v>
      </c>
      <c r="R313" s="333">
        <f t="shared" si="76"/>
        <v>0</v>
      </c>
      <c r="S313" s="32"/>
      <c r="T313" s="43"/>
      <c r="U313" s="43"/>
    </row>
    <row r="314" spans="2:21" s="47" customFormat="1" ht="25.5" x14ac:dyDescent="0.2">
      <c r="B314" s="62" t="s">
        <v>1103</v>
      </c>
      <c r="C314" s="53" t="s">
        <v>669</v>
      </c>
      <c r="D314" s="53" t="s">
        <v>59</v>
      </c>
      <c r="E314" s="53" t="s">
        <v>111</v>
      </c>
      <c r="F314" s="54" t="s">
        <v>1091</v>
      </c>
      <c r="G314" s="60"/>
      <c r="H314" s="52">
        <f>H315</f>
        <v>0</v>
      </c>
      <c r="I314" s="52">
        <f t="shared" ref="I314:Q314" si="93">I315</f>
        <v>3200</v>
      </c>
      <c r="J314" s="299">
        <f>I314-H314</f>
        <v>3200</v>
      </c>
      <c r="K314" s="52">
        <f t="shared" si="93"/>
        <v>0</v>
      </c>
      <c r="L314" s="52">
        <f t="shared" si="93"/>
        <v>3200</v>
      </c>
      <c r="M314" s="300">
        <f t="shared" si="71"/>
        <v>0</v>
      </c>
      <c r="N314" s="52">
        <f t="shared" si="93"/>
        <v>0</v>
      </c>
      <c r="O314" s="299">
        <f>N314-K314</f>
        <v>0</v>
      </c>
      <c r="P314" s="52">
        <f t="shared" si="93"/>
        <v>0</v>
      </c>
      <c r="Q314" s="52">
        <f t="shared" si="93"/>
        <v>0</v>
      </c>
      <c r="R314" s="299">
        <f>Q314-P314</f>
        <v>0</v>
      </c>
      <c r="S314" s="32"/>
      <c r="T314" s="43"/>
      <c r="U314" s="43"/>
    </row>
    <row r="315" spans="2:21" s="47" customFormat="1" ht="25.5" x14ac:dyDescent="0.2">
      <c r="B315" s="56" t="s">
        <v>73</v>
      </c>
      <c r="C315" s="53" t="s">
        <v>669</v>
      </c>
      <c r="D315" s="53" t="s">
        <v>59</v>
      </c>
      <c r="E315" s="53" t="s">
        <v>111</v>
      </c>
      <c r="F315" s="54" t="s">
        <v>1091</v>
      </c>
      <c r="G315" s="60" t="s">
        <v>70</v>
      </c>
      <c r="H315" s="52">
        <v>0</v>
      </c>
      <c r="I315" s="52">
        <f>3000+200</f>
        <v>3200</v>
      </c>
      <c r="J315" s="299">
        <f>I315-H315</f>
        <v>3200</v>
      </c>
      <c r="K315" s="52">
        <v>0</v>
      </c>
      <c r="L315" s="52">
        <f>3000+200</f>
        <v>3200</v>
      </c>
      <c r="M315" s="300">
        <f t="shared" si="71"/>
        <v>0</v>
      </c>
      <c r="N315" s="52">
        <v>0</v>
      </c>
      <c r="O315" s="299">
        <f>N315-K315</f>
        <v>0</v>
      </c>
      <c r="P315" s="52">
        <v>0</v>
      </c>
      <c r="Q315" s="52">
        <v>0</v>
      </c>
      <c r="R315" s="299">
        <f>Q315-P315</f>
        <v>0</v>
      </c>
      <c r="S315" s="32"/>
      <c r="T315" s="43"/>
      <c r="U315" s="43"/>
    </row>
    <row r="316" spans="2:21" s="47" customFormat="1" ht="18" customHeight="1" x14ac:dyDescent="0.2">
      <c r="B316" s="95" t="s">
        <v>328</v>
      </c>
      <c r="C316" s="53" t="s">
        <v>669</v>
      </c>
      <c r="D316" s="53" t="s">
        <v>59</v>
      </c>
      <c r="E316" s="53" t="s">
        <v>111</v>
      </c>
      <c r="F316" s="54" t="s">
        <v>327</v>
      </c>
      <c r="G316" s="60"/>
      <c r="H316" s="52">
        <f>H317</f>
        <v>862.69999999999993</v>
      </c>
      <c r="I316" s="52">
        <f>I317</f>
        <v>862.69999999999993</v>
      </c>
      <c r="J316" s="300">
        <f t="shared" si="74"/>
        <v>0</v>
      </c>
      <c r="K316" s="52">
        <f>K317</f>
        <v>2587.9</v>
      </c>
      <c r="L316" s="52">
        <f>L317</f>
        <v>862.69999999999993</v>
      </c>
      <c r="M316" s="300">
        <f t="shared" si="71"/>
        <v>0</v>
      </c>
      <c r="N316" s="52">
        <f>N317</f>
        <v>2587.9</v>
      </c>
      <c r="O316" s="300">
        <f t="shared" si="75"/>
        <v>0</v>
      </c>
      <c r="P316" s="52">
        <f>P317</f>
        <v>1725.3</v>
      </c>
      <c r="Q316" s="52">
        <f>Q317</f>
        <v>1725.3</v>
      </c>
      <c r="R316" s="333">
        <f t="shared" si="76"/>
        <v>0</v>
      </c>
      <c r="S316" s="43"/>
      <c r="T316" s="43"/>
      <c r="U316" s="43"/>
    </row>
    <row r="317" spans="2:21" s="47" customFormat="1" ht="25.5" x14ac:dyDescent="0.2">
      <c r="B317" s="121" t="s">
        <v>73</v>
      </c>
      <c r="C317" s="53" t="s">
        <v>669</v>
      </c>
      <c r="D317" s="53" t="s">
        <v>59</v>
      </c>
      <c r="E317" s="53" t="s">
        <v>111</v>
      </c>
      <c r="F317" s="54" t="s">
        <v>327</v>
      </c>
      <c r="G317" s="60" t="s">
        <v>70</v>
      </c>
      <c r="H317" s="52">
        <f>836.8+25.9</f>
        <v>862.69999999999993</v>
      </c>
      <c r="I317" s="52">
        <f>836.8+25.9</f>
        <v>862.69999999999993</v>
      </c>
      <c r="J317" s="300">
        <f t="shared" si="74"/>
        <v>0</v>
      </c>
      <c r="K317" s="52">
        <f>2510.3+77.6</f>
        <v>2587.9</v>
      </c>
      <c r="L317" s="52">
        <f>836.8+25.9</f>
        <v>862.69999999999993</v>
      </c>
      <c r="M317" s="300">
        <f t="shared" si="71"/>
        <v>0</v>
      </c>
      <c r="N317" s="52">
        <f>2510.3+77.6</f>
        <v>2587.9</v>
      </c>
      <c r="O317" s="300">
        <f t="shared" si="75"/>
        <v>0</v>
      </c>
      <c r="P317" s="52">
        <f>1673.5+51.8</f>
        <v>1725.3</v>
      </c>
      <c r="Q317" s="52">
        <f>1673.5+51.8</f>
        <v>1725.3</v>
      </c>
      <c r="R317" s="333">
        <f t="shared" si="76"/>
        <v>0</v>
      </c>
      <c r="S317" s="43"/>
      <c r="T317" s="43"/>
      <c r="U317" s="43"/>
    </row>
    <row r="318" spans="2:21" s="47" customFormat="1" x14ac:dyDescent="0.2">
      <c r="B318" s="121" t="s">
        <v>52</v>
      </c>
      <c r="C318" s="53" t="s">
        <v>669</v>
      </c>
      <c r="D318" s="53" t="s">
        <v>59</v>
      </c>
      <c r="E318" s="53" t="s">
        <v>111</v>
      </c>
      <c r="F318" s="54" t="s">
        <v>326</v>
      </c>
      <c r="G318" s="60"/>
      <c r="H318" s="52">
        <f>H319+H323</f>
        <v>7639.3</v>
      </c>
      <c r="I318" s="52">
        <f t="shared" ref="I318:Q318" si="94">I319+I323</f>
        <v>7648.3</v>
      </c>
      <c r="J318" s="300">
        <f t="shared" si="74"/>
        <v>9</v>
      </c>
      <c r="K318" s="52">
        <f t="shared" si="94"/>
        <v>7639.3</v>
      </c>
      <c r="L318" s="52">
        <f t="shared" si="94"/>
        <v>7648.3</v>
      </c>
      <c r="M318" s="300">
        <f t="shared" si="71"/>
        <v>0</v>
      </c>
      <c r="N318" s="52">
        <f t="shared" si="94"/>
        <v>7639.3</v>
      </c>
      <c r="O318" s="300">
        <f t="shared" si="75"/>
        <v>0</v>
      </c>
      <c r="P318" s="52">
        <f t="shared" si="94"/>
        <v>7639.3</v>
      </c>
      <c r="Q318" s="52">
        <f t="shared" si="94"/>
        <v>7639.3</v>
      </c>
      <c r="R318" s="333">
        <f t="shared" si="76"/>
        <v>0</v>
      </c>
      <c r="S318" s="43"/>
      <c r="T318" s="43"/>
      <c r="U318" s="43"/>
    </row>
    <row r="319" spans="2:21" s="51" customFormat="1" ht="15.75" customHeight="1" x14ac:dyDescent="0.2">
      <c r="B319" s="64" t="s">
        <v>325</v>
      </c>
      <c r="C319" s="53" t="s">
        <v>669</v>
      </c>
      <c r="D319" s="53" t="s">
        <v>59</v>
      </c>
      <c r="E319" s="53" t="s">
        <v>111</v>
      </c>
      <c r="F319" s="54" t="s">
        <v>324</v>
      </c>
      <c r="G319" s="53"/>
      <c r="H319" s="52">
        <f>H320</f>
        <v>7639.3</v>
      </c>
      <c r="I319" s="52">
        <f>I320</f>
        <v>7639.3</v>
      </c>
      <c r="J319" s="300">
        <f t="shared" si="74"/>
        <v>0</v>
      </c>
      <c r="K319" s="52">
        <f t="shared" ref="K319:Q319" si="95">K320</f>
        <v>7639.3</v>
      </c>
      <c r="L319" s="52">
        <f>L320</f>
        <v>7639.3</v>
      </c>
      <c r="M319" s="300">
        <f t="shared" si="71"/>
        <v>0</v>
      </c>
      <c r="N319" s="52">
        <f t="shared" si="95"/>
        <v>7639.3</v>
      </c>
      <c r="O319" s="300">
        <f t="shared" si="75"/>
        <v>0</v>
      </c>
      <c r="P319" s="52">
        <f t="shared" si="95"/>
        <v>7639.3</v>
      </c>
      <c r="Q319" s="52">
        <f t="shared" si="95"/>
        <v>7639.3</v>
      </c>
      <c r="R319" s="333">
        <f t="shared" si="76"/>
        <v>0</v>
      </c>
      <c r="S319" s="32"/>
      <c r="T319" s="32"/>
      <c r="U319" s="32"/>
    </row>
    <row r="320" spans="2:21" s="51" customFormat="1" x14ac:dyDescent="0.2">
      <c r="B320" s="64" t="s">
        <v>323</v>
      </c>
      <c r="C320" s="53" t="s">
        <v>669</v>
      </c>
      <c r="D320" s="53" t="s">
        <v>59</v>
      </c>
      <c r="E320" s="53" t="s">
        <v>111</v>
      </c>
      <c r="F320" s="54" t="s">
        <v>321</v>
      </c>
      <c r="G320" s="53"/>
      <c r="H320" s="52">
        <f>H321+H322</f>
        <v>7639.3</v>
      </c>
      <c r="I320" s="52">
        <f>I321+I322</f>
        <v>7639.3</v>
      </c>
      <c r="J320" s="300">
        <f t="shared" si="74"/>
        <v>0</v>
      </c>
      <c r="K320" s="52">
        <f>K321+K322</f>
        <v>7639.3</v>
      </c>
      <c r="L320" s="52">
        <f>L321+L322</f>
        <v>7639.3</v>
      </c>
      <c r="M320" s="300">
        <f t="shared" si="71"/>
        <v>0</v>
      </c>
      <c r="N320" s="52">
        <f>N321+N322</f>
        <v>7639.3</v>
      </c>
      <c r="O320" s="300">
        <f t="shared" si="75"/>
        <v>0</v>
      </c>
      <c r="P320" s="52">
        <f>P321+P322</f>
        <v>7639.3</v>
      </c>
      <c r="Q320" s="52">
        <f>Q321+Q322</f>
        <v>7639.3</v>
      </c>
      <c r="R320" s="333">
        <f t="shared" si="76"/>
        <v>0</v>
      </c>
      <c r="S320" s="32"/>
      <c r="T320" s="32"/>
      <c r="U320" s="32"/>
    </row>
    <row r="321" spans="2:21" s="51" customFormat="1" ht="25.5" x14ac:dyDescent="0.2">
      <c r="B321" s="56" t="s">
        <v>73</v>
      </c>
      <c r="C321" s="53" t="s">
        <v>669</v>
      </c>
      <c r="D321" s="53" t="s">
        <v>59</v>
      </c>
      <c r="E321" s="53" t="s">
        <v>111</v>
      </c>
      <c r="F321" s="54" t="s">
        <v>321</v>
      </c>
      <c r="G321" s="53" t="s">
        <v>70</v>
      </c>
      <c r="H321" s="52">
        <f>5729.5+1909.8</f>
        <v>7639.3</v>
      </c>
      <c r="I321" s="52">
        <f>7639.3-0.4</f>
        <v>7638.9000000000005</v>
      </c>
      <c r="J321" s="300">
        <f t="shared" si="74"/>
        <v>-0.3999999999996362</v>
      </c>
      <c r="K321" s="52">
        <f>5729.5+1909.8</f>
        <v>7639.3</v>
      </c>
      <c r="L321" s="52">
        <f>7639.3-0.4</f>
        <v>7638.9000000000005</v>
      </c>
      <c r="M321" s="300">
        <f t="shared" si="71"/>
        <v>0</v>
      </c>
      <c r="N321" s="52">
        <f>5729.5+1909.8</f>
        <v>7639.3</v>
      </c>
      <c r="O321" s="300">
        <f t="shared" si="75"/>
        <v>0</v>
      </c>
      <c r="P321" s="52">
        <f>5729.5+1909.8</f>
        <v>7639.3</v>
      </c>
      <c r="Q321" s="52">
        <f>5729.5+1909.8</f>
        <v>7639.3</v>
      </c>
      <c r="R321" s="333">
        <f t="shared" si="76"/>
        <v>0</v>
      </c>
      <c r="S321" s="32"/>
      <c r="T321" s="32"/>
      <c r="U321" s="32"/>
    </row>
    <row r="322" spans="2:21" s="51" customFormat="1" x14ac:dyDescent="0.2">
      <c r="B322" s="180" t="s">
        <v>322</v>
      </c>
      <c r="C322" s="53" t="s">
        <v>669</v>
      </c>
      <c r="D322" s="53" t="s">
        <v>59</v>
      </c>
      <c r="E322" s="53" t="s">
        <v>111</v>
      </c>
      <c r="F322" s="54" t="s">
        <v>321</v>
      </c>
      <c r="G322" s="53" t="s">
        <v>320</v>
      </c>
      <c r="H322" s="52">
        <v>0</v>
      </c>
      <c r="I322" s="52">
        <v>0.4</v>
      </c>
      <c r="J322" s="300">
        <f t="shared" si="74"/>
        <v>0.4</v>
      </c>
      <c r="K322" s="52">
        <v>0</v>
      </c>
      <c r="L322" s="52">
        <v>0.4</v>
      </c>
      <c r="M322" s="300">
        <f t="shared" si="71"/>
        <v>0</v>
      </c>
      <c r="N322" s="52">
        <v>0</v>
      </c>
      <c r="O322" s="300">
        <f t="shared" si="75"/>
        <v>0</v>
      </c>
      <c r="P322" s="52">
        <v>0</v>
      </c>
      <c r="Q322" s="52">
        <v>0</v>
      </c>
      <c r="R322" s="333">
        <f t="shared" si="76"/>
        <v>0</v>
      </c>
      <c r="S322" s="32"/>
      <c r="T322" s="32"/>
      <c r="U322" s="32"/>
    </row>
    <row r="323" spans="2:21" s="51" customFormat="1" ht="25.5" x14ac:dyDescent="0.2">
      <c r="B323" s="95" t="s">
        <v>317</v>
      </c>
      <c r="C323" s="53" t="s">
        <v>669</v>
      </c>
      <c r="D323" s="53" t="s">
        <v>59</v>
      </c>
      <c r="E323" s="53" t="s">
        <v>111</v>
      </c>
      <c r="F323" s="54" t="s">
        <v>316</v>
      </c>
      <c r="G323" s="53"/>
      <c r="H323" s="52">
        <f t="shared" ref="H323:Q324" si="96">H324</f>
        <v>0</v>
      </c>
      <c r="I323" s="52">
        <f t="shared" si="96"/>
        <v>9</v>
      </c>
      <c r="J323" s="300">
        <f t="shared" si="74"/>
        <v>9</v>
      </c>
      <c r="K323" s="52">
        <f t="shared" si="96"/>
        <v>0</v>
      </c>
      <c r="L323" s="52">
        <f t="shared" si="96"/>
        <v>9</v>
      </c>
      <c r="M323" s="300">
        <f t="shared" si="71"/>
        <v>0</v>
      </c>
      <c r="N323" s="52">
        <f t="shared" si="96"/>
        <v>0</v>
      </c>
      <c r="O323" s="300">
        <f t="shared" si="75"/>
        <v>0</v>
      </c>
      <c r="P323" s="52">
        <f t="shared" si="96"/>
        <v>0</v>
      </c>
      <c r="Q323" s="52">
        <f t="shared" si="96"/>
        <v>0</v>
      </c>
      <c r="R323" s="333">
        <f t="shared" si="76"/>
        <v>0</v>
      </c>
      <c r="S323" s="32"/>
      <c r="T323" s="32"/>
      <c r="U323" s="32"/>
    </row>
    <row r="324" spans="2:21" s="51" customFormat="1" x14ac:dyDescent="0.2">
      <c r="B324" s="84" t="s">
        <v>315</v>
      </c>
      <c r="C324" s="53" t="s">
        <v>669</v>
      </c>
      <c r="D324" s="53" t="s">
        <v>59</v>
      </c>
      <c r="E324" s="53" t="s">
        <v>111</v>
      </c>
      <c r="F324" s="54" t="s">
        <v>314</v>
      </c>
      <c r="G324" s="53"/>
      <c r="H324" s="52">
        <f t="shared" si="96"/>
        <v>0</v>
      </c>
      <c r="I324" s="52">
        <f t="shared" si="96"/>
        <v>9</v>
      </c>
      <c r="J324" s="300">
        <f t="shared" si="74"/>
        <v>9</v>
      </c>
      <c r="K324" s="52">
        <f t="shared" si="96"/>
        <v>0</v>
      </c>
      <c r="L324" s="52">
        <f t="shared" si="96"/>
        <v>9</v>
      </c>
      <c r="M324" s="300">
        <f t="shared" si="71"/>
        <v>0</v>
      </c>
      <c r="N324" s="52">
        <f t="shared" si="96"/>
        <v>0</v>
      </c>
      <c r="O324" s="300">
        <f t="shared" si="75"/>
        <v>0</v>
      </c>
      <c r="P324" s="52">
        <f t="shared" si="96"/>
        <v>0</v>
      </c>
      <c r="Q324" s="52">
        <f t="shared" si="96"/>
        <v>0</v>
      </c>
      <c r="R324" s="333">
        <f t="shared" si="76"/>
        <v>0</v>
      </c>
      <c r="S324" s="32"/>
      <c r="T324" s="32"/>
      <c r="U324" s="32"/>
    </row>
    <row r="325" spans="2:21" s="51" customFormat="1" ht="25.5" x14ac:dyDescent="0.2">
      <c r="B325" s="84" t="s">
        <v>73</v>
      </c>
      <c r="C325" s="53" t="s">
        <v>669</v>
      </c>
      <c r="D325" s="53" t="s">
        <v>59</v>
      </c>
      <c r="E325" s="53" t="s">
        <v>111</v>
      </c>
      <c r="F325" s="54" t="s">
        <v>314</v>
      </c>
      <c r="G325" s="53" t="s">
        <v>70</v>
      </c>
      <c r="H325" s="52">
        <v>0</v>
      </c>
      <c r="I325" s="52">
        <f>9</f>
        <v>9</v>
      </c>
      <c r="J325" s="300">
        <f t="shared" si="74"/>
        <v>9</v>
      </c>
      <c r="K325" s="52">
        <v>0</v>
      </c>
      <c r="L325" s="52">
        <f>9</f>
        <v>9</v>
      </c>
      <c r="M325" s="300">
        <f t="shared" si="71"/>
        <v>0</v>
      </c>
      <c r="N325" s="52">
        <v>0</v>
      </c>
      <c r="O325" s="300">
        <f t="shared" si="75"/>
        <v>0</v>
      </c>
      <c r="P325" s="52">
        <v>0</v>
      </c>
      <c r="Q325" s="52">
        <v>0</v>
      </c>
      <c r="R325" s="333">
        <f t="shared" si="76"/>
        <v>0</v>
      </c>
      <c r="S325" s="32"/>
      <c r="T325" s="32"/>
      <c r="U325" s="32"/>
    </row>
    <row r="326" spans="2:21" s="47" customFormat="1" ht="38.25" x14ac:dyDescent="0.2">
      <c r="B326" s="121" t="s">
        <v>309</v>
      </c>
      <c r="C326" s="53" t="s">
        <v>669</v>
      </c>
      <c r="D326" s="53" t="s">
        <v>59</v>
      </c>
      <c r="E326" s="53" t="s">
        <v>111</v>
      </c>
      <c r="F326" s="54" t="s">
        <v>308</v>
      </c>
      <c r="G326" s="60"/>
      <c r="H326" s="52">
        <f t="shared" ref="H326:Q327" si="97">H327</f>
        <v>8927.1</v>
      </c>
      <c r="I326" s="52">
        <f t="shared" si="97"/>
        <v>8927.1</v>
      </c>
      <c r="J326" s="300">
        <f t="shared" si="74"/>
        <v>0</v>
      </c>
      <c r="K326" s="52">
        <f t="shared" si="97"/>
        <v>10927.1</v>
      </c>
      <c r="L326" s="52">
        <f t="shared" si="97"/>
        <v>11024.6</v>
      </c>
      <c r="M326" s="300">
        <f t="shared" si="71"/>
        <v>2097.5</v>
      </c>
      <c r="N326" s="52">
        <f t="shared" si="97"/>
        <v>10927.1</v>
      </c>
      <c r="O326" s="300">
        <f t="shared" si="75"/>
        <v>0</v>
      </c>
      <c r="P326" s="52">
        <f t="shared" si="97"/>
        <v>11738</v>
      </c>
      <c r="Q326" s="52">
        <f t="shared" si="97"/>
        <v>11738</v>
      </c>
      <c r="R326" s="333">
        <f t="shared" si="76"/>
        <v>0</v>
      </c>
      <c r="S326" s="43"/>
      <c r="T326" s="43"/>
      <c r="U326" s="43"/>
    </row>
    <row r="327" spans="2:21" s="47" customFormat="1" x14ac:dyDescent="0.2">
      <c r="B327" s="121" t="s">
        <v>52</v>
      </c>
      <c r="C327" s="53" t="s">
        <v>669</v>
      </c>
      <c r="D327" s="53" t="s">
        <v>59</v>
      </c>
      <c r="E327" s="53" t="s">
        <v>111</v>
      </c>
      <c r="F327" s="54" t="s">
        <v>307</v>
      </c>
      <c r="G327" s="60"/>
      <c r="H327" s="52">
        <f t="shared" si="97"/>
        <v>8927.1</v>
      </c>
      <c r="I327" s="52">
        <f t="shared" si="97"/>
        <v>8927.1</v>
      </c>
      <c r="J327" s="300">
        <f t="shared" si="74"/>
        <v>0</v>
      </c>
      <c r="K327" s="52">
        <f t="shared" si="97"/>
        <v>10927.1</v>
      </c>
      <c r="L327" s="52">
        <f t="shared" si="97"/>
        <v>11024.6</v>
      </c>
      <c r="M327" s="300">
        <f t="shared" si="71"/>
        <v>2097.5</v>
      </c>
      <c r="N327" s="52">
        <f t="shared" si="97"/>
        <v>10927.1</v>
      </c>
      <c r="O327" s="300">
        <f t="shared" si="75"/>
        <v>0</v>
      </c>
      <c r="P327" s="52">
        <f t="shared" si="97"/>
        <v>11738</v>
      </c>
      <c r="Q327" s="52">
        <f t="shared" si="97"/>
        <v>11738</v>
      </c>
      <c r="R327" s="333">
        <f t="shared" si="76"/>
        <v>0</v>
      </c>
      <c r="S327" s="43"/>
      <c r="T327" s="43"/>
      <c r="U327" s="43"/>
    </row>
    <row r="328" spans="2:21" s="47" customFormat="1" ht="25.5" x14ac:dyDescent="0.2">
      <c r="B328" s="56" t="s">
        <v>306</v>
      </c>
      <c r="C328" s="53" t="s">
        <v>669</v>
      </c>
      <c r="D328" s="53" t="s">
        <v>59</v>
      </c>
      <c r="E328" s="53" t="s">
        <v>111</v>
      </c>
      <c r="F328" s="54" t="s">
        <v>305</v>
      </c>
      <c r="G328" s="60"/>
      <c r="H328" s="52">
        <f>H329+H331</f>
        <v>8927.1</v>
      </c>
      <c r="I328" s="52">
        <f>I329+I331</f>
        <v>8927.1</v>
      </c>
      <c r="J328" s="300">
        <f t="shared" si="74"/>
        <v>0</v>
      </c>
      <c r="K328" s="52">
        <f>K329+K331</f>
        <v>10927.1</v>
      </c>
      <c r="L328" s="52">
        <f>L329+L331</f>
        <v>11024.6</v>
      </c>
      <c r="M328" s="300">
        <f t="shared" si="71"/>
        <v>2097.5</v>
      </c>
      <c r="N328" s="52">
        <f>N329+N331</f>
        <v>10927.1</v>
      </c>
      <c r="O328" s="300">
        <f t="shared" si="75"/>
        <v>0</v>
      </c>
      <c r="P328" s="52">
        <f>P329+P331</f>
        <v>11738</v>
      </c>
      <c r="Q328" s="52">
        <f>Q329+Q331</f>
        <v>11738</v>
      </c>
      <c r="R328" s="333">
        <f t="shared" si="76"/>
        <v>0</v>
      </c>
      <c r="S328" s="43"/>
      <c r="T328" s="43"/>
      <c r="U328" s="43"/>
    </row>
    <row r="329" spans="2:21" s="47" customFormat="1" ht="27.75" customHeight="1" x14ac:dyDescent="0.2">
      <c r="B329" s="75" t="s">
        <v>1096</v>
      </c>
      <c r="C329" s="53" t="s">
        <v>669</v>
      </c>
      <c r="D329" s="53" t="s">
        <v>59</v>
      </c>
      <c r="E329" s="53" t="s">
        <v>111</v>
      </c>
      <c r="F329" s="54" t="s">
        <v>304</v>
      </c>
      <c r="G329" s="119"/>
      <c r="H329" s="52">
        <f>H330</f>
        <v>1000</v>
      </c>
      <c r="I329" s="52">
        <f>I330</f>
        <v>1000</v>
      </c>
      <c r="J329" s="300">
        <f t="shared" si="74"/>
        <v>0</v>
      </c>
      <c r="K329" s="52">
        <f>K330</f>
        <v>3000</v>
      </c>
      <c r="L329" s="52">
        <f>L330</f>
        <v>3097.5</v>
      </c>
      <c r="M329" s="300">
        <f t="shared" si="71"/>
        <v>2097.5</v>
      </c>
      <c r="N329" s="52">
        <f>N330</f>
        <v>3000</v>
      </c>
      <c r="O329" s="300">
        <f t="shared" si="75"/>
        <v>0</v>
      </c>
      <c r="P329" s="52">
        <f>P330</f>
        <v>3810.9</v>
      </c>
      <c r="Q329" s="52">
        <f>Q330</f>
        <v>3810.9</v>
      </c>
      <c r="R329" s="333">
        <f t="shared" si="76"/>
        <v>0</v>
      </c>
      <c r="S329" s="43"/>
      <c r="T329" s="43"/>
      <c r="U329" s="43"/>
    </row>
    <row r="330" spans="2:21" s="47" customFormat="1" x14ac:dyDescent="0.2">
      <c r="B330" s="75" t="s">
        <v>82</v>
      </c>
      <c r="C330" s="53" t="s">
        <v>669</v>
      </c>
      <c r="D330" s="53" t="s">
        <v>59</v>
      </c>
      <c r="E330" s="53" t="s">
        <v>111</v>
      </c>
      <c r="F330" s="54" t="s">
        <v>304</v>
      </c>
      <c r="G330" s="78" t="s">
        <v>81</v>
      </c>
      <c r="H330" s="52">
        <v>1000</v>
      </c>
      <c r="I330" s="52">
        <f>1000</f>
        <v>1000</v>
      </c>
      <c r="J330" s="300">
        <f t="shared" si="74"/>
        <v>0</v>
      </c>
      <c r="K330" s="52">
        <v>3000</v>
      </c>
      <c r="L330" s="52">
        <f>1000+1600+97.7+165.8+114.7+119.3</f>
        <v>3097.5</v>
      </c>
      <c r="M330" s="300">
        <f t="shared" si="71"/>
        <v>2097.5</v>
      </c>
      <c r="N330" s="52">
        <v>3000</v>
      </c>
      <c r="O330" s="300">
        <f t="shared" si="75"/>
        <v>0</v>
      </c>
      <c r="P330" s="52">
        <f>3000+810.9</f>
        <v>3810.9</v>
      </c>
      <c r="Q330" s="52">
        <f>3000+810.9</f>
        <v>3810.9</v>
      </c>
      <c r="R330" s="333">
        <f t="shared" si="76"/>
        <v>0</v>
      </c>
      <c r="S330" s="39"/>
      <c r="T330" s="43"/>
      <c r="U330" s="43"/>
    </row>
    <row r="331" spans="2:21" s="47" customFormat="1" ht="25.5" x14ac:dyDescent="0.2">
      <c r="B331" s="64" t="s">
        <v>88</v>
      </c>
      <c r="C331" s="53" t="s">
        <v>669</v>
      </c>
      <c r="D331" s="53" t="s">
        <v>59</v>
      </c>
      <c r="E331" s="53" t="s">
        <v>111</v>
      </c>
      <c r="F331" s="54" t="s">
        <v>303</v>
      </c>
      <c r="G331" s="53"/>
      <c r="H331" s="52">
        <f>H332</f>
        <v>7927.1</v>
      </c>
      <c r="I331" s="52">
        <f>I332</f>
        <v>7927.1</v>
      </c>
      <c r="J331" s="300">
        <f t="shared" si="74"/>
        <v>0</v>
      </c>
      <c r="K331" s="52">
        <f>K332</f>
        <v>7927.1</v>
      </c>
      <c r="L331" s="52">
        <f>L332</f>
        <v>7927.1</v>
      </c>
      <c r="M331" s="300">
        <f t="shared" si="71"/>
        <v>0</v>
      </c>
      <c r="N331" s="52">
        <f>N332</f>
        <v>7927.1</v>
      </c>
      <c r="O331" s="300">
        <f t="shared" si="75"/>
        <v>0</v>
      </c>
      <c r="P331" s="52">
        <f>P332</f>
        <v>7927.1</v>
      </c>
      <c r="Q331" s="52">
        <f>Q332</f>
        <v>7927.1</v>
      </c>
      <c r="R331" s="333">
        <f t="shared" si="76"/>
        <v>0</v>
      </c>
      <c r="S331" s="43"/>
      <c r="T331" s="43"/>
      <c r="U331" s="43"/>
    </row>
    <row r="332" spans="2:21" s="47" customFormat="1" x14ac:dyDescent="0.2">
      <c r="B332" s="64" t="s">
        <v>82</v>
      </c>
      <c r="C332" s="53" t="s">
        <v>669</v>
      </c>
      <c r="D332" s="53" t="s">
        <v>59</v>
      </c>
      <c r="E332" s="53" t="s">
        <v>111</v>
      </c>
      <c r="F332" s="54" t="s">
        <v>303</v>
      </c>
      <c r="G332" s="53" t="s">
        <v>81</v>
      </c>
      <c r="H332" s="52">
        <v>7927.1</v>
      </c>
      <c r="I332" s="52">
        <v>7927.1</v>
      </c>
      <c r="J332" s="300">
        <f t="shared" si="74"/>
        <v>0</v>
      </c>
      <c r="K332" s="52">
        <v>7927.1</v>
      </c>
      <c r="L332" s="52">
        <v>7927.1</v>
      </c>
      <c r="M332" s="300">
        <f t="shared" si="71"/>
        <v>0</v>
      </c>
      <c r="N332" s="52">
        <v>7927.1</v>
      </c>
      <c r="O332" s="300">
        <f t="shared" si="75"/>
        <v>0</v>
      </c>
      <c r="P332" s="52">
        <v>7927.1</v>
      </c>
      <c r="Q332" s="52">
        <v>7927.1</v>
      </c>
      <c r="R332" s="333">
        <f t="shared" si="76"/>
        <v>0</v>
      </c>
      <c r="S332" s="43"/>
      <c r="T332" s="43"/>
      <c r="U332" s="43"/>
    </row>
    <row r="333" spans="2:21" s="47" customFormat="1" ht="25.5" hidden="1" x14ac:dyDescent="0.2">
      <c r="B333" s="56" t="s">
        <v>1087</v>
      </c>
      <c r="C333" s="53" t="s">
        <v>669</v>
      </c>
      <c r="D333" s="53" t="s">
        <v>59</v>
      </c>
      <c r="E333" s="53" t="s">
        <v>111</v>
      </c>
      <c r="F333" s="54" t="s">
        <v>53</v>
      </c>
      <c r="G333" s="94"/>
      <c r="H333" s="52">
        <f>H334</f>
        <v>0</v>
      </c>
      <c r="I333" s="52">
        <f t="shared" ref="I333:Q333" si="98">I334</f>
        <v>0</v>
      </c>
      <c r="J333" s="300">
        <f t="shared" si="74"/>
        <v>0</v>
      </c>
      <c r="K333" s="52">
        <f t="shared" si="98"/>
        <v>0</v>
      </c>
      <c r="L333" s="52">
        <f t="shared" si="98"/>
        <v>0</v>
      </c>
      <c r="M333" s="300">
        <f t="shared" si="71"/>
        <v>0</v>
      </c>
      <c r="N333" s="52">
        <f t="shared" si="98"/>
        <v>0</v>
      </c>
      <c r="O333" s="334">
        <f t="shared" si="75"/>
        <v>0</v>
      </c>
      <c r="P333" s="52">
        <f t="shared" si="98"/>
        <v>0</v>
      </c>
      <c r="Q333" s="52">
        <f t="shared" si="98"/>
        <v>0</v>
      </c>
      <c r="R333" s="333">
        <f t="shared" si="76"/>
        <v>0</v>
      </c>
      <c r="S333" s="43"/>
      <c r="T333" s="43"/>
      <c r="U333" s="43"/>
    </row>
    <row r="334" spans="2:21" s="47" customFormat="1" hidden="1" x14ac:dyDescent="0.2">
      <c r="B334" s="126" t="s">
        <v>66</v>
      </c>
      <c r="C334" s="53" t="s">
        <v>669</v>
      </c>
      <c r="D334" s="53" t="s">
        <v>59</v>
      </c>
      <c r="E334" s="53" t="s">
        <v>111</v>
      </c>
      <c r="F334" s="54" t="s">
        <v>724</v>
      </c>
      <c r="G334" s="60"/>
      <c r="H334" s="52">
        <f t="shared" ref="H334:Q336" si="99">H335</f>
        <v>0</v>
      </c>
      <c r="I334" s="52">
        <f t="shared" si="99"/>
        <v>0</v>
      </c>
      <c r="J334" s="300">
        <f t="shared" si="74"/>
        <v>0</v>
      </c>
      <c r="K334" s="52">
        <f t="shared" si="99"/>
        <v>0</v>
      </c>
      <c r="L334" s="52">
        <f t="shared" si="99"/>
        <v>0</v>
      </c>
      <c r="M334" s="300">
        <f t="shared" ref="M334:M397" si="100">L334-I334</f>
        <v>0</v>
      </c>
      <c r="N334" s="52">
        <f t="shared" si="99"/>
        <v>0</v>
      </c>
      <c r="O334" s="300">
        <f t="shared" si="75"/>
        <v>0</v>
      </c>
      <c r="P334" s="65">
        <f t="shared" si="99"/>
        <v>0</v>
      </c>
      <c r="Q334" s="52">
        <f t="shared" si="99"/>
        <v>0</v>
      </c>
      <c r="R334" s="333">
        <f t="shared" si="76"/>
        <v>0</v>
      </c>
      <c r="S334" s="43"/>
      <c r="T334" s="43"/>
      <c r="U334" s="43"/>
    </row>
    <row r="335" spans="2:21" s="47" customFormat="1" ht="25.5" hidden="1" x14ac:dyDescent="0.2">
      <c r="B335" s="56" t="s">
        <v>725</v>
      </c>
      <c r="C335" s="53" t="s">
        <v>669</v>
      </c>
      <c r="D335" s="53" t="s">
        <v>59</v>
      </c>
      <c r="E335" s="53" t="s">
        <v>111</v>
      </c>
      <c r="F335" s="54" t="s">
        <v>726</v>
      </c>
      <c r="G335" s="60"/>
      <c r="H335" s="52">
        <f t="shared" si="99"/>
        <v>0</v>
      </c>
      <c r="I335" s="52">
        <f t="shared" si="99"/>
        <v>0</v>
      </c>
      <c r="J335" s="300">
        <f t="shared" si="74"/>
        <v>0</v>
      </c>
      <c r="K335" s="52">
        <f t="shared" si="99"/>
        <v>0</v>
      </c>
      <c r="L335" s="52">
        <f t="shared" si="99"/>
        <v>0</v>
      </c>
      <c r="M335" s="300">
        <f t="shared" si="100"/>
        <v>0</v>
      </c>
      <c r="N335" s="52">
        <f t="shared" si="99"/>
        <v>0</v>
      </c>
      <c r="O335" s="300">
        <f t="shared" si="75"/>
        <v>0</v>
      </c>
      <c r="P335" s="65">
        <f t="shared" si="99"/>
        <v>0</v>
      </c>
      <c r="Q335" s="52">
        <f t="shared" si="99"/>
        <v>0</v>
      </c>
      <c r="R335" s="333">
        <f t="shared" si="76"/>
        <v>0</v>
      </c>
      <c r="S335" s="43"/>
      <c r="T335" s="43"/>
      <c r="U335" s="43"/>
    </row>
    <row r="336" spans="2:21" s="47" customFormat="1" ht="25.5" hidden="1" x14ac:dyDescent="0.2">
      <c r="B336" s="56" t="s">
        <v>727</v>
      </c>
      <c r="C336" s="53" t="s">
        <v>669</v>
      </c>
      <c r="D336" s="53" t="s">
        <v>59</v>
      </c>
      <c r="E336" s="53" t="s">
        <v>111</v>
      </c>
      <c r="F336" s="54" t="s">
        <v>728</v>
      </c>
      <c r="G336" s="60"/>
      <c r="H336" s="52">
        <f>H337</f>
        <v>0</v>
      </c>
      <c r="I336" s="52">
        <f t="shared" si="99"/>
        <v>0</v>
      </c>
      <c r="J336" s="300">
        <f t="shared" si="74"/>
        <v>0</v>
      </c>
      <c r="K336" s="52">
        <f t="shared" si="99"/>
        <v>0</v>
      </c>
      <c r="L336" s="52">
        <f t="shared" si="99"/>
        <v>0</v>
      </c>
      <c r="M336" s="300">
        <f t="shared" si="100"/>
        <v>0</v>
      </c>
      <c r="N336" s="52">
        <f t="shared" si="99"/>
        <v>0</v>
      </c>
      <c r="O336" s="300">
        <f t="shared" si="75"/>
        <v>0</v>
      </c>
      <c r="P336" s="52">
        <f t="shared" si="99"/>
        <v>0</v>
      </c>
      <c r="Q336" s="52">
        <f t="shared" si="99"/>
        <v>0</v>
      </c>
      <c r="R336" s="333">
        <f t="shared" si="76"/>
        <v>0</v>
      </c>
      <c r="S336" s="43"/>
      <c r="T336" s="43"/>
      <c r="U336" s="43"/>
    </row>
    <row r="337" spans="2:21" s="47" customFormat="1" ht="25.5" hidden="1" x14ac:dyDescent="0.2">
      <c r="B337" s="56" t="s">
        <v>73</v>
      </c>
      <c r="C337" s="53" t="s">
        <v>669</v>
      </c>
      <c r="D337" s="53" t="s">
        <v>59</v>
      </c>
      <c r="E337" s="53" t="s">
        <v>111</v>
      </c>
      <c r="F337" s="54" t="s">
        <v>728</v>
      </c>
      <c r="G337" s="60" t="s">
        <v>70</v>
      </c>
      <c r="H337" s="52">
        <v>0</v>
      </c>
      <c r="I337" s="52">
        <f>2800-2800</f>
        <v>0</v>
      </c>
      <c r="J337" s="300">
        <f t="shared" si="74"/>
        <v>0</v>
      </c>
      <c r="K337" s="52">
        <v>0</v>
      </c>
      <c r="L337" s="52">
        <f>2800-2800</f>
        <v>0</v>
      </c>
      <c r="M337" s="300">
        <f t="shared" si="100"/>
        <v>0</v>
      </c>
      <c r="N337" s="52">
        <v>0</v>
      </c>
      <c r="O337" s="300">
        <f t="shared" si="75"/>
        <v>0</v>
      </c>
      <c r="P337" s="65">
        <v>0</v>
      </c>
      <c r="Q337" s="52">
        <v>0</v>
      </c>
      <c r="R337" s="333">
        <f t="shared" si="76"/>
        <v>0</v>
      </c>
      <c r="S337" s="43"/>
      <c r="T337" s="43"/>
      <c r="U337" s="43"/>
    </row>
    <row r="338" spans="2:21" s="43" customFormat="1" x14ac:dyDescent="0.2">
      <c r="B338" s="181" t="s">
        <v>682</v>
      </c>
      <c r="C338" s="48" t="s">
        <v>669</v>
      </c>
      <c r="D338" s="48" t="s">
        <v>96</v>
      </c>
      <c r="E338" s="48"/>
      <c r="F338" s="49"/>
      <c r="G338" s="48"/>
      <c r="H338" s="44">
        <f t="shared" ref="H338:Q339" si="101">H339</f>
        <v>675</v>
      </c>
      <c r="I338" s="44">
        <f t="shared" si="101"/>
        <v>176.7</v>
      </c>
      <c r="J338" s="300">
        <f t="shared" si="74"/>
        <v>-498.3</v>
      </c>
      <c r="K338" s="44">
        <f t="shared" si="101"/>
        <v>176</v>
      </c>
      <c r="L338" s="44">
        <f t="shared" si="101"/>
        <v>176.7</v>
      </c>
      <c r="M338" s="300">
        <f t="shared" si="100"/>
        <v>0</v>
      </c>
      <c r="N338" s="44">
        <f t="shared" si="101"/>
        <v>176</v>
      </c>
      <c r="O338" s="300">
        <f t="shared" si="75"/>
        <v>0</v>
      </c>
      <c r="P338" s="44">
        <f t="shared" si="101"/>
        <v>176</v>
      </c>
      <c r="Q338" s="44">
        <f t="shared" si="101"/>
        <v>176</v>
      </c>
      <c r="R338" s="333">
        <f t="shared" si="76"/>
        <v>0</v>
      </c>
    </row>
    <row r="339" spans="2:21" s="43" customFormat="1" x14ac:dyDescent="0.2">
      <c r="B339" s="175" t="s">
        <v>301</v>
      </c>
      <c r="C339" s="48" t="s">
        <v>669</v>
      </c>
      <c r="D339" s="48" t="s">
        <v>96</v>
      </c>
      <c r="E339" s="48" t="s">
        <v>59</v>
      </c>
      <c r="F339" s="49"/>
      <c r="G339" s="48"/>
      <c r="H339" s="44">
        <f t="shared" si="101"/>
        <v>675</v>
      </c>
      <c r="I339" s="44">
        <f t="shared" si="101"/>
        <v>176.7</v>
      </c>
      <c r="J339" s="300">
        <f t="shared" si="74"/>
        <v>-498.3</v>
      </c>
      <c r="K339" s="44">
        <f t="shared" si="101"/>
        <v>176</v>
      </c>
      <c r="L339" s="44">
        <f t="shared" si="101"/>
        <v>176.7</v>
      </c>
      <c r="M339" s="300">
        <f t="shared" si="100"/>
        <v>0</v>
      </c>
      <c r="N339" s="44">
        <f t="shared" si="101"/>
        <v>176</v>
      </c>
      <c r="O339" s="300">
        <f t="shared" si="75"/>
        <v>0</v>
      </c>
      <c r="P339" s="44">
        <f t="shared" si="101"/>
        <v>176</v>
      </c>
      <c r="Q339" s="44">
        <f t="shared" si="101"/>
        <v>176</v>
      </c>
      <c r="R339" s="333">
        <f t="shared" si="76"/>
        <v>0</v>
      </c>
    </row>
    <row r="340" spans="2:21" s="32" customFormat="1" ht="27.75" customHeight="1" x14ac:dyDescent="0.2">
      <c r="B340" s="56" t="s">
        <v>300</v>
      </c>
      <c r="C340" s="53" t="s">
        <v>669</v>
      </c>
      <c r="D340" s="53" t="s">
        <v>96</v>
      </c>
      <c r="E340" s="53" t="s">
        <v>59</v>
      </c>
      <c r="F340" s="54" t="s">
        <v>109</v>
      </c>
      <c r="G340" s="53"/>
      <c r="H340" s="52">
        <f>H341+H349</f>
        <v>675</v>
      </c>
      <c r="I340" s="52">
        <f>I341+I349</f>
        <v>176.7</v>
      </c>
      <c r="J340" s="300">
        <f t="shared" si="74"/>
        <v>-498.3</v>
      </c>
      <c r="K340" s="52">
        <f>K341+K349</f>
        <v>176</v>
      </c>
      <c r="L340" s="52">
        <f>L341+L349</f>
        <v>176.7</v>
      </c>
      <c r="M340" s="300">
        <f t="shared" si="100"/>
        <v>0</v>
      </c>
      <c r="N340" s="52">
        <f>N341+N349</f>
        <v>176</v>
      </c>
      <c r="O340" s="300">
        <f t="shared" si="75"/>
        <v>0</v>
      </c>
      <c r="P340" s="52">
        <f>P341+P349</f>
        <v>176</v>
      </c>
      <c r="Q340" s="52">
        <f>Q341+Q349</f>
        <v>176</v>
      </c>
      <c r="R340" s="333">
        <f t="shared" si="76"/>
        <v>0</v>
      </c>
    </row>
    <row r="341" spans="2:21" s="32" customFormat="1" ht="17.25" customHeight="1" x14ac:dyDescent="0.2">
      <c r="B341" s="62" t="s">
        <v>66</v>
      </c>
      <c r="C341" s="53" t="s">
        <v>669</v>
      </c>
      <c r="D341" s="53" t="s">
        <v>96</v>
      </c>
      <c r="E341" s="53" t="s">
        <v>59</v>
      </c>
      <c r="F341" s="54" t="s">
        <v>299</v>
      </c>
      <c r="G341" s="53"/>
      <c r="H341" s="52">
        <f>H342+H345</f>
        <v>649</v>
      </c>
      <c r="I341" s="52">
        <f>I342+I345</f>
        <v>150</v>
      </c>
      <c r="J341" s="300">
        <f t="shared" si="74"/>
        <v>-499</v>
      </c>
      <c r="K341" s="52">
        <f>K342+K345</f>
        <v>150</v>
      </c>
      <c r="L341" s="52">
        <f>L342+L345</f>
        <v>150</v>
      </c>
      <c r="M341" s="300">
        <f t="shared" si="100"/>
        <v>0</v>
      </c>
      <c r="N341" s="52">
        <f>N342+N345</f>
        <v>150</v>
      </c>
      <c r="O341" s="300">
        <f t="shared" si="75"/>
        <v>0</v>
      </c>
      <c r="P341" s="52">
        <f>P342+P345</f>
        <v>150</v>
      </c>
      <c r="Q341" s="52">
        <f>Q342+Q345</f>
        <v>150</v>
      </c>
      <c r="R341" s="333">
        <f t="shared" si="76"/>
        <v>0</v>
      </c>
    </row>
    <row r="342" spans="2:21" s="32" customFormat="1" ht="27.75" customHeight="1" x14ac:dyDescent="0.2">
      <c r="B342" s="56" t="s">
        <v>298</v>
      </c>
      <c r="C342" s="53" t="s">
        <v>669</v>
      </c>
      <c r="D342" s="53" t="s">
        <v>96</v>
      </c>
      <c r="E342" s="53" t="s">
        <v>59</v>
      </c>
      <c r="F342" s="54" t="s">
        <v>297</v>
      </c>
      <c r="G342" s="60"/>
      <c r="H342" s="52">
        <f t="shared" ref="H342:Q343" si="102">H343</f>
        <v>549</v>
      </c>
      <c r="I342" s="52">
        <f t="shared" si="102"/>
        <v>0</v>
      </c>
      <c r="J342" s="300">
        <f t="shared" si="74"/>
        <v>-549</v>
      </c>
      <c r="K342" s="52">
        <f t="shared" si="102"/>
        <v>150</v>
      </c>
      <c r="L342" s="52">
        <f t="shared" si="102"/>
        <v>0</v>
      </c>
      <c r="M342" s="300">
        <f t="shared" si="100"/>
        <v>0</v>
      </c>
      <c r="N342" s="52">
        <f t="shared" si="102"/>
        <v>150</v>
      </c>
      <c r="O342" s="300">
        <f t="shared" si="75"/>
        <v>0</v>
      </c>
      <c r="P342" s="52">
        <f t="shared" si="102"/>
        <v>150</v>
      </c>
      <c r="Q342" s="52">
        <f t="shared" si="102"/>
        <v>150</v>
      </c>
      <c r="R342" s="333">
        <f t="shared" si="76"/>
        <v>0</v>
      </c>
    </row>
    <row r="343" spans="2:21" s="32" customFormat="1" ht="15.75" customHeight="1" x14ac:dyDescent="0.2">
      <c r="B343" s="56" t="s">
        <v>296</v>
      </c>
      <c r="C343" s="53" t="s">
        <v>669</v>
      </c>
      <c r="D343" s="53" t="s">
        <v>96</v>
      </c>
      <c r="E343" s="53" t="s">
        <v>59</v>
      </c>
      <c r="F343" s="54" t="s">
        <v>295</v>
      </c>
      <c r="G343" s="60"/>
      <c r="H343" s="52">
        <f t="shared" si="102"/>
        <v>549</v>
      </c>
      <c r="I343" s="52">
        <f t="shared" si="102"/>
        <v>0</v>
      </c>
      <c r="J343" s="300">
        <f t="shared" si="74"/>
        <v>-549</v>
      </c>
      <c r="K343" s="52">
        <f t="shared" si="102"/>
        <v>150</v>
      </c>
      <c r="L343" s="52">
        <f t="shared" si="102"/>
        <v>0</v>
      </c>
      <c r="M343" s="300">
        <f t="shared" si="100"/>
        <v>0</v>
      </c>
      <c r="N343" s="52">
        <f t="shared" si="102"/>
        <v>150</v>
      </c>
      <c r="O343" s="300">
        <f t="shared" si="75"/>
        <v>0</v>
      </c>
      <c r="P343" s="52">
        <f t="shared" si="102"/>
        <v>150</v>
      </c>
      <c r="Q343" s="52">
        <f t="shared" si="102"/>
        <v>150</v>
      </c>
      <c r="R343" s="333">
        <f t="shared" si="76"/>
        <v>0</v>
      </c>
    </row>
    <row r="344" spans="2:21" s="32" customFormat="1" ht="27.75" customHeight="1" x14ac:dyDescent="0.2">
      <c r="B344" s="56" t="s">
        <v>73</v>
      </c>
      <c r="C344" s="53" t="s">
        <v>669</v>
      </c>
      <c r="D344" s="53" t="s">
        <v>96</v>
      </c>
      <c r="E344" s="53" t="s">
        <v>59</v>
      </c>
      <c r="F344" s="54" t="s">
        <v>295</v>
      </c>
      <c r="G344" s="60" t="s">
        <v>70</v>
      </c>
      <c r="H344" s="52">
        <f>249+300</f>
        <v>549</v>
      </c>
      <c r="I344" s="52">
        <f>549-549</f>
        <v>0</v>
      </c>
      <c r="J344" s="300">
        <f t="shared" si="74"/>
        <v>-549</v>
      </c>
      <c r="K344" s="52">
        <v>150</v>
      </c>
      <c r="L344" s="52">
        <f>549-549</f>
        <v>0</v>
      </c>
      <c r="M344" s="300">
        <f t="shared" si="100"/>
        <v>0</v>
      </c>
      <c r="N344" s="52">
        <v>150</v>
      </c>
      <c r="O344" s="300">
        <f t="shared" si="75"/>
        <v>0</v>
      </c>
      <c r="P344" s="52">
        <v>150</v>
      </c>
      <c r="Q344" s="52">
        <v>150</v>
      </c>
      <c r="R344" s="333">
        <f t="shared" si="76"/>
        <v>0</v>
      </c>
    </row>
    <row r="345" spans="2:21" s="32" customFormat="1" ht="25.5" x14ac:dyDescent="0.2">
      <c r="B345" s="84" t="s">
        <v>294</v>
      </c>
      <c r="C345" s="53" t="s">
        <v>669</v>
      </c>
      <c r="D345" s="53" t="s">
        <v>96</v>
      </c>
      <c r="E345" s="53" t="s">
        <v>59</v>
      </c>
      <c r="F345" s="54" t="s">
        <v>293</v>
      </c>
      <c r="G345" s="53"/>
      <c r="H345" s="52">
        <f t="shared" ref="H345:Q345" si="103">H346</f>
        <v>100</v>
      </c>
      <c r="I345" s="52">
        <f t="shared" si="103"/>
        <v>150</v>
      </c>
      <c r="J345" s="300">
        <f t="shared" si="74"/>
        <v>50</v>
      </c>
      <c r="K345" s="52">
        <f t="shared" si="103"/>
        <v>0</v>
      </c>
      <c r="L345" s="52">
        <f t="shared" si="103"/>
        <v>150</v>
      </c>
      <c r="M345" s="300">
        <f t="shared" si="100"/>
        <v>0</v>
      </c>
      <c r="N345" s="52">
        <f t="shared" si="103"/>
        <v>0</v>
      </c>
      <c r="O345" s="300">
        <f t="shared" si="75"/>
        <v>0</v>
      </c>
      <c r="P345" s="52">
        <f t="shared" si="103"/>
        <v>0</v>
      </c>
      <c r="Q345" s="52">
        <f t="shared" si="103"/>
        <v>0</v>
      </c>
      <c r="R345" s="333">
        <f t="shared" si="76"/>
        <v>0</v>
      </c>
    </row>
    <row r="346" spans="2:21" s="32" customFormat="1" ht="25.5" x14ac:dyDescent="0.2">
      <c r="B346" s="56" t="s">
        <v>290</v>
      </c>
      <c r="C346" s="53" t="s">
        <v>669</v>
      </c>
      <c r="D346" s="118" t="s">
        <v>96</v>
      </c>
      <c r="E346" s="118" t="s">
        <v>59</v>
      </c>
      <c r="F346" s="54" t="s">
        <v>289</v>
      </c>
      <c r="G346" s="53"/>
      <c r="H346" s="52">
        <f>H347+H348</f>
        <v>100</v>
      </c>
      <c r="I346" s="52">
        <f t="shared" ref="I346:Q346" si="104">I347+I348</f>
        <v>150</v>
      </c>
      <c r="J346" s="300">
        <f t="shared" si="74"/>
        <v>50</v>
      </c>
      <c r="K346" s="52">
        <f t="shared" si="104"/>
        <v>0</v>
      </c>
      <c r="L346" s="52">
        <f t="shared" si="104"/>
        <v>150</v>
      </c>
      <c r="M346" s="300">
        <f t="shared" si="100"/>
        <v>0</v>
      </c>
      <c r="N346" s="52">
        <f t="shared" si="104"/>
        <v>0</v>
      </c>
      <c r="O346" s="300">
        <f t="shared" si="75"/>
        <v>0</v>
      </c>
      <c r="P346" s="52">
        <f t="shared" si="104"/>
        <v>0</v>
      </c>
      <c r="Q346" s="52">
        <f t="shared" si="104"/>
        <v>0</v>
      </c>
      <c r="R346" s="333">
        <f t="shared" si="76"/>
        <v>0</v>
      </c>
    </row>
    <row r="347" spans="2:21" s="32" customFormat="1" ht="25.5" x14ac:dyDescent="0.2">
      <c r="B347" s="56" t="s">
        <v>73</v>
      </c>
      <c r="C347" s="53" t="s">
        <v>669</v>
      </c>
      <c r="D347" s="118" t="s">
        <v>96</v>
      </c>
      <c r="E347" s="118" t="s">
        <v>59</v>
      </c>
      <c r="F347" s="54" t="s">
        <v>289</v>
      </c>
      <c r="G347" s="53" t="s">
        <v>70</v>
      </c>
      <c r="H347" s="52">
        <f>2300+100-2300</f>
        <v>100</v>
      </c>
      <c r="I347" s="52">
        <f>2300+100-2300</f>
        <v>100</v>
      </c>
      <c r="J347" s="300">
        <f t="shared" si="74"/>
        <v>0</v>
      </c>
      <c r="K347" s="52">
        <v>0</v>
      </c>
      <c r="L347" s="52">
        <f>2300+100-2300</f>
        <v>100</v>
      </c>
      <c r="M347" s="300">
        <f t="shared" si="100"/>
        <v>0</v>
      </c>
      <c r="N347" s="52">
        <v>0</v>
      </c>
      <c r="O347" s="300">
        <f t="shared" si="75"/>
        <v>0</v>
      </c>
      <c r="P347" s="52">
        <v>0</v>
      </c>
      <c r="Q347" s="52">
        <v>0</v>
      </c>
      <c r="R347" s="333">
        <f t="shared" si="76"/>
        <v>0</v>
      </c>
    </row>
    <row r="348" spans="2:21" s="32" customFormat="1" x14ac:dyDescent="0.2">
      <c r="B348" s="62" t="s">
        <v>413</v>
      </c>
      <c r="C348" s="53" t="s">
        <v>669</v>
      </c>
      <c r="D348" s="118" t="s">
        <v>96</v>
      </c>
      <c r="E348" s="118" t="s">
        <v>59</v>
      </c>
      <c r="F348" s="54" t="s">
        <v>289</v>
      </c>
      <c r="G348" s="60" t="s">
        <v>320</v>
      </c>
      <c r="H348" s="52">
        <v>0</v>
      </c>
      <c r="I348" s="52">
        <v>50</v>
      </c>
      <c r="J348" s="300">
        <f t="shared" si="74"/>
        <v>50</v>
      </c>
      <c r="K348" s="52">
        <v>0</v>
      </c>
      <c r="L348" s="52">
        <v>50</v>
      </c>
      <c r="M348" s="300">
        <f t="shared" si="100"/>
        <v>0</v>
      </c>
      <c r="N348" s="52">
        <v>0</v>
      </c>
      <c r="O348" s="300">
        <f t="shared" si="75"/>
        <v>0</v>
      </c>
      <c r="P348" s="65">
        <v>0</v>
      </c>
      <c r="Q348" s="52">
        <v>0</v>
      </c>
      <c r="R348" s="333">
        <f t="shared" si="76"/>
        <v>0</v>
      </c>
    </row>
    <row r="349" spans="2:21" s="32" customFormat="1" x14ac:dyDescent="0.2">
      <c r="B349" s="56" t="s">
        <v>52</v>
      </c>
      <c r="C349" s="53" t="s">
        <v>669</v>
      </c>
      <c r="D349" s="53" t="s">
        <v>96</v>
      </c>
      <c r="E349" s="53" t="s">
        <v>59</v>
      </c>
      <c r="F349" s="54" t="s">
        <v>286</v>
      </c>
      <c r="G349" s="53"/>
      <c r="H349" s="52">
        <f>H350+H355</f>
        <v>26</v>
      </c>
      <c r="I349" s="52">
        <f t="shared" ref="I349:Q349" si="105">I350+I355</f>
        <v>26.7</v>
      </c>
      <c r="J349" s="300">
        <f t="shared" si="74"/>
        <v>0.69999999999999929</v>
      </c>
      <c r="K349" s="52">
        <f t="shared" si="105"/>
        <v>26</v>
      </c>
      <c r="L349" s="52">
        <f t="shared" si="105"/>
        <v>26.7</v>
      </c>
      <c r="M349" s="300">
        <f t="shared" si="100"/>
        <v>0</v>
      </c>
      <c r="N349" s="52">
        <f t="shared" si="105"/>
        <v>26</v>
      </c>
      <c r="O349" s="300">
        <f t="shared" si="75"/>
        <v>0</v>
      </c>
      <c r="P349" s="52">
        <f t="shared" si="105"/>
        <v>26</v>
      </c>
      <c r="Q349" s="52">
        <f t="shared" si="105"/>
        <v>26</v>
      </c>
      <c r="R349" s="333">
        <f t="shared" si="76"/>
        <v>0</v>
      </c>
    </row>
    <row r="350" spans="2:21" s="32" customFormat="1" ht="25.5" x14ac:dyDescent="0.2">
      <c r="B350" s="56" t="s">
        <v>281</v>
      </c>
      <c r="C350" s="53" t="s">
        <v>669</v>
      </c>
      <c r="D350" s="53" t="s">
        <v>96</v>
      </c>
      <c r="E350" s="53" t="s">
        <v>59</v>
      </c>
      <c r="F350" s="54" t="s">
        <v>280</v>
      </c>
      <c r="G350" s="53"/>
      <c r="H350" s="52">
        <f t="shared" ref="H350:Q350" si="106">H351</f>
        <v>26</v>
      </c>
      <c r="I350" s="52">
        <f t="shared" si="106"/>
        <v>26</v>
      </c>
      <c r="J350" s="300">
        <f t="shared" si="74"/>
        <v>0</v>
      </c>
      <c r="K350" s="52">
        <f t="shared" si="106"/>
        <v>26</v>
      </c>
      <c r="L350" s="52">
        <f t="shared" si="106"/>
        <v>26</v>
      </c>
      <c r="M350" s="300">
        <f t="shared" si="100"/>
        <v>0</v>
      </c>
      <c r="N350" s="52">
        <f t="shared" si="106"/>
        <v>26</v>
      </c>
      <c r="O350" s="300">
        <f t="shared" si="75"/>
        <v>0</v>
      </c>
      <c r="P350" s="52">
        <f t="shared" si="106"/>
        <v>26</v>
      </c>
      <c r="Q350" s="52">
        <f t="shared" si="106"/>
        <v>26</v>
      </c>
      <c r="R350" s="333">
        <f t="shared" si="76"/>
        <v>0</v>
      </c>
    </row>
    <row r="351" spans="2:21" s="32" customFormat="1" x14ac:dyDescent="0.2">
      <c r="B351" s="57" t="s">
        <v>279</v>
      </c>
      <c r="C351" s="53" t="s">
        <v>669</v>
      </c>
      <c r="D351" s="53" t="s">
        <v>96</v>
      </c>
      <c r="E351" s="53" t="s">
        <v>59</v>
      </c>
      <c r="F351" s="54" t="s">
        <v>278</v>
      </c>
      <c r="G351" s="53"/>
      <c r="H351" s="52">
        <f>H352+H353+H354</f>
        <v>26</v>
      </c>
      <c r="I351" s="52">
        <f>I352+I353+I354</f>
        <v>26</v>
      </c>
      <c r="J351" s="300">
        <f t="shared" si="74"/>
        <v>0</v>
      </c>
      <c r="K351" s="52">
        <f>K352+K353+K354</f>
        <v>26</v>
      </c>
      <c r="L351" s="52">
        <f>L352+L353+L354</f>
        <v>26</v>
      </c>
      <c r="M351" s="300">
        <f t="shared" si="100"/>
        <v>0</v>
      </c>
      <c r="N351" s="52">
        <f>N352+N353+N354</f>
        <v>26</v>
      </c>
      <c r="O351" s="300">
        <f t="shared" si="75"/>
        <v>0</v>
      </c>
      <c r="P351" s="52">
        <f>P352+P353+P354</f>
        <v>26</v>
      </c>
      <c r="Q351" s="52">
        <f>Q352+Q353+Q354</f>
        <v>26</v>
      </c>
      <c r="R351" s="333">
        <f t="shared" si="76"/>
        <v>0</v>
      </c>
    </row>
    <row r="352" spans="2:21" s="32" customFormat="1" ht="25.5" x14ac:dyDescent="0.2">
      <c r="B352" s="56" t="s">
        <v>73</v>
      </c>
      <c r="C352" s="53" t="s">
        <v>669</v>
      </c>
      <c r="D352" s="53" t="s">
        <v>96</v>
      </c>
      <c r="E352" s="53" t="s">
        <v>59</v>
      </c>
      <c r="F352" s="54" t="s">
        <v>278</v>
      </c>
      <c r="G352" s="53" t="s">
        <v>70</v>
      </c>
      <c r="H352" s="52">
        <v>6</v>
      </c>
      <c r="I352" s="52">
        <v>6</v>
      </c>
      <c r="J352" s="300">
        <f t="shared" si="74"/>
        <v>0</v>
      </c>
      <c r="K352" s="52">
        <v>6</v>
      </c>
      <c r="L352" s="52">
        <v>6</v>
      </c>
      <c r="M352" s="300">
        <f t="shared" si="100"/>
        <v>0</v>
      </c>
      <c r="N352" s="52">
        <v>6</v>
      </c>
      <c r="O352" s="300">
        <f t="shared" si="75"/>
        <v>0</v>
      </c>
      <c r="P352" s="52">
        <v>6</v>
      </c>
      <c r="Q352" s="52">
        <v>6</v>
      </c>
      <c r="R352" s="333">
        <f t="shared" si="76"/>
        <v>0</v>
      </c>
    </row>
    <row r="353" spans="2:19" s="32" customFormat="1" x14ac:dyDescent="0.2">
      <c r="B353" s="64" t="s">
        <v>98</v>
      </c>
      <c r="C353" s="53" t="s">
        <v>669</v>
      </c>
      <c r="D353" s="53" t="s">
        <v>96</v>
      </c>
      <c r="E353" s="53" t="s">
        <v>59</v>
      </c>
      <c r="F353" s="54" t="s">
        <v>278</v>
      </c>
      <c r="G353" s="53" t="s">
        <v>81</v>
      </c>
      <c r="H353" s="52">
        <f>10</f>
        <v>10</v>
      </c>
      <c r="I353" s="52">
        <f>10</f>
        <v>10</v>
      </c>
      <c r="J353" s="300">
        <f t="shared" si="74"/>
        <v>0</v>
      </c>
      <c r="K353" s="52">
        <f>10</f>
        <v>10</v>
      </c>
      <c r="L353" s="52">
        <f>10</f>
        <v>10</v>
      </c>
      <c r="M353" s="300">
        <f t="shared" si="100"/>
        <v>0</v>
      </c>
      <c r="N353" s="52">
        <f>10</f>
        <v>10</v>
      </c>
      <c r="O353" s="300">
        <f t="shared" si="75"/>
        <v>0</v>
      </c>
      <c r="P353" s="52">
        <f>10</f>
        <v>10</v>
      </c>
      <c r="Q353" s="52">
        <f>10</f>
        <v>10</v>
      </c>
      <c r="R353" s="333">
        <f t="shared" si="76"/>
        <v>0</v>
      </c>
    </row>
    <row r="354" spans="2:19" s="32" customFormat="1" x14ac:dyDescent="0.2">
      <c r="B354" s="64" t="s">
        <v>87</v>
      </c>
      <c r="C354" s="53" t="s">
        <v>669</v>
      </c>
      <c r="D354" s="53" t="s">
        <v>96</v>
      </c>
      <c r="E354" s="53" t="s">
        <v>59</v>
      </c>
      <c r="F354" s="54" t="s">
        <v>278</v>
      </c>
      <c r="G354" s="53" t="s">
        <v>57</v>
      </c>
      <c r="H354" s="52">
        <v>10</v>
      </c>
      <c r="I354" s="52">
        <v>10</v>
      </c>
      <c r="J354" s="300">
        <f t="shared" si="74"/>
        <v>0</v>
      </c>
      <c r="K354" s="52">
        <v>10</v>
      </c>
      <c r="L354" s="52">
        <v>10</v>
      </c>
      <c r="M354" s="300">
        <f t="shared" si="100"/>
        <v>0</v>
      </c>
      <c r="N354" s="52">
        <v>10</v>
      </c>
      <c r="O354" s="300">
        <f t="shared" si="75"/>
        <v>0</v>
      </c>
      <c r="P354" s="52">
        <v>10</v>
      </c>
      <c r="Q354" s="52">
        <v>10</v>
      </c>
      <c r="R354" s="333">
        <f t="shared" si="76"/>
        <v>0</v>
      </c>
    </row>
    <row r="355" spans="2:19" s="32" customFormat="1" ht="25.5" x14ac:dyDescent="0.2">
      <c r="B355" s="84" t="s">
        <v>1076</v>
      </c>
      <c r="C355" s="53" t="s">
        <v>669</v>
      </c>
      <c r="D355" s="53" t="s">
        <v>96</v>
      </c>
      <c r="E355" s="53" t="s">
        <v>59</v>
      </c>
      <c r="F355" s="54" t="s">
        <v>1077</v>
      </c>
      <c r="G355" s="60"/>
      <c r="H355" s="52">
        <f>H356</f>
        <v>0</v>
      </c>
      <c r="I355" s="52">
        <f>I356</f>
        <v>0.7</v>
      </c>
      <c r="J355" s="300">
        <f t="shared" si="74"/>
        <v>0.7</v>
      </c>
      <c r="K355" s="52">
        <f>K356</f>
        <v>0</v>
      </c>
      <c r="L355" s="52">
        <f>L356</f>
        <v>0.7</v>
      </c>
      <c r="M355" s="300">
        <f t="shared" si="100"/>
        <v>0</v>
      </c>
      <c r="N355" s="52">
        <f>N356</f>
        <v>0</v>
      </c>
      <c r="O355" s="320">
        <f>N355-K355</f>
        <v>0</v>
      </c>
      <c r="P355" s="65">
        <f>P356</f>
        <v>0</v>
      </c>
      <c r="Q355" s="52">
        <f>Q356</f>
        <v>0</v>
      </c>
      <c r="R355" s="315">
        <f>Q355-P355</f>
        <v>0</v>
      </c>
    </row>
    <row r="356" spans="2:19" s="32" customFormat="1" x14ac:dyDescent="0.2">
      <c r="B356" s="84" t="s">
        <v>296</v>
      </c>
      <c r="C356" s="53" t="s">
        <v>669</v>
      </c>
      <c r="D356" s="53" t="s">
        <v>96</v>
      </c>
      <c r="E356" s="53" t="s">
        <v>59</v>
      </c>
      <c r="F356" s="54" t="s">
        <v>1078</v>
      </c>
      <c r="G356" s="60"/>
      <c r="H356" s="52">
        <f>H357</f>
        <v>0</v>
      </c>
      <c r="I356" s="52">
        <f>I357</f>
        <v>0.7</v>
      </c>
      <c r="J356" s="315">
        <f>I356-H356</f>
        <v>0.7</v>
      </c>
      <c r="K356" s="52">
        <f>K357</f>
        <v>0</v>
      </c>
      <c r="L356" s="52">
        <f>L357</f>
        <v>0.7</v>
      </c>
      <c r="M356" s="300">
        <f t="shared" si="100"/>
        <v>0</v>
      </c>
      <c r="N356" s="52">
        <f>N357</f>
        <v>0</v>
      </c>
      <c r="O356" s="320">
        <f>N356-K356</f>
        <v>0</v>
      </c>
      <c r="P356" s="65">
        <f>P357</f>
        <v>0</v>
      </c>
      <c r="Q356" s="52">
        <f>Q357</f>
        <v>0</v>
      </c>
      <c r="R356" s="315">
        <f>Q356-P356</f>
        <v>0</v>
      </c>
    </row>
    <row r="357" spans="2:19" s="32" customFormat="1" ht="25.5" x14ac:dyDescent="0.2">
      <c r="B357" s="84" t="s">
        <v>73</v>
      </c>
      <c r="C357" s="53" t="s">
        <v>669</v>
      </c>
      <c r="D357" s="53" t="s">
        <v>96</v>
      </c>
      <c r="E357" s="53" t="s">
        <v>59</v>
      </c>
      <c r="F357" s="54" t="s">
        <v>1078</v>
      </c>
      <c r="G357" s="60" t="s">
        <v>320</v>
      </c>
      <c r="H357" s="52">
        <v>0</v>
      </c>
      <c r="I357" s="52">
        <v>0.7</v>
      </c>
      <c r="J357" s="315">
        <f>I357-H357</f>
        <v>0.7</v>
      </c>
      <c r="K357" s="52">
        <v>0</v>
      </c>
      <c r="L357" s="52">
        <v>0.7</v>
      </c>
      <c r="M357" s="300">
        <f t="shared" si="100"/>
        <v>0</v>
      </c>
      <c r="N357" s="52">
        <v>0</v>
      </c>
      <c r="O357" s="320">
        <f>N357-K357</f>
        <v>0</v>
      </c>
      <c r="P357" s="65">
        <v>0</v>
      </c>
      <c r="Q357" s="52">
        <v>0</v>
      </c>
      <c r="R357" s="315">
        <f>Q357-P357</f>
        <v>0</v>
      </c>
    </row>
    <row r="358" spans="2:19" s="43" customFormat="1" x14ac:dyDescent="0.2">
      <c r="B358" s="59" t="s">
        <v>277</v>
      </c>
      <c r="C358" s="48" t="s">
        <v>669</v>
      </c>
      <c r="D358" s="48" t="s">
        <v>159</v>
      </c>
      <c r="E358" s="48"/>
      <c r="F358" s="49"/>
      <c r="G358" s="48"/>
      <c r="H358" s="44">
        <f>H366+H372+H359</f>
        <v>39238.1</v>
      </c>
      <c r="I358" s="44">
        <f>I366+I372+I359</f>
        <v>39982</v>
      </c>
      <c r="J358" s="300">
        <f t="shared" si="74"/>
        <v>743.90000000000146</v>
      </c>
      <c r="K358" s="44">
        <f>K366+K372+K359</f>
        <v>7382.4</v>
      </c>
      <c r="L358" s="44">
        <f>L366+L372+L359</f>
        <v>39290.699999999997</v>
      </c>
      <c r="M358" s="300">
        <f t="shared" si="100"/>
        <v>-691.30000000000291</v>
      </c>
      <c r="N358" s="44">
        <f>N366+N372+N359</f>
        <v>7382.4</v>
      </c>
      <c r="O358" s="300">
        <f t="shared" si="75"/>
        <v>0</v>
      </c>
      <c r="P358" s="44">
        <f>P366+P372+P359</f>
        <v>7382.4</v>
      </c>
      <c r="Q358" s="44">
        <f>Q366+Q372+Q359</f>
        <v>7382.4</v>
      </c>
      <c r="R358" s="333">
        <f t="shared" si="76"/>
        <v>0</v>
      </c>
    </row>
    <row r="359" spans="2:19" s="43" customFormat="1" x14ac:dyDescent="0.2">
      <c r="B359" s="59" t="s">
        <v>271</v>
      </c>
      <c r="C359" s="48" t="s">
        <v>669</v>
      </c>
      <c r="D359" s="48" t="s">
        <v>159</v>
      </c>
      <c r="E359" s="48" t="s">
        <v>72</v>
      </c>
      <c r="F359" s="49"/>
      <c r="G359" s="48"/>
      <c r="H359" s="44">
        <f t="shared" ref="H359:I362" si="107">H360</f>
        <v>31855.7</v>
      </c>
      <c r="I359" s="44">
        <f t="shared" si="107"/>
        <v>32599.600000000002</v>
      </c>
      <c r="J359" s="300">
        <f t="shared" si="74"/>
        <v>743.90000000000146</v>
      </c>
      <c r="K359" s="44">
        <f t="shared" ref="K359:Q362" si="108">K360</f>
        <v>0</v>
      </c>
      <c r="L359" s="44">
        <f t="shared" si="108"/>
        <v>32023</v>
      </c>
      <c r="M359" s="300">
        <f t="shared" si="100"/>
        <v>-576.60000000000218</v>
      </c>
      <c r="N359" s="44">
        <f t="shared" si="108"/>
        <v>0</v>
      </c>
      <c r="O359" s="300">
        <f t="shared" si="75"/>
        <v>0</v>
      </c>
      <c r="P359" s="44">
        <f t="shared" si="108"/>
        <v>0</v>
      </c>
      <c r="Q359" s="44">
        <f t="shared" si="108"/>
        <v>0</v>
      </c>
      <c r="R359" s="333">
        <f t="shared" si="76"/>
        <v>0</v>
      </c>
    </row>
    <row r="360" spans="2:19" s="43" customFormat="1" ht="25.5" x14ac:dyDescent="0.2">
      <c r="B360" s="64" t="s">
        <v>142</v>
      </c>
      <c r="C360" s="53" t="s">
        <v>669</v>
      </c>
      <c r="D360" s="53" t="s">
        <v>159</v>
      </c>
      <c r="E360" s="53" t="s">
        <v>72</v>
      </c>
      <c r="F360" s="54" t="s">
        <v>141</v>
      </c>
      <c r="G360" s="53"/>
      <c r="H360" s="52">
        <f t="shared" si="107"/>
        <v>31855.7</v>
      </c>
      <c r="I360" s="52">
        <f t="shared" si="107"/>
        <v>32599.600000000002</v>
      </c>
      <c r="J360" s="300">
        <f t="shared" si="74"/>
        <v>743.90000000000146</v>
      </c>
      <c r="K360" s="52">
        <f t="shared" si="108"/>
        <v>0</v>
      </c>
      <c r="L360" s="52">
        <f t="shared" si="108"/>
        <v>32023</v>
      </c>
      <c r="M360" s="300">
        <f t="shared" si="100"/>
        <v>-576.60000000000218</v>
      </c>
      <c r="N360" s="52">
        <f t="shared" si="108"/>
        <v>0</v>
      </c>
      <c r="O360" s="300">
        <f t="shared" si="75"/>
        <v>0</v>
      </c>
      <c r="P360" s="52">
        <f t="shared" si="108"/>
        <v>0</v>
      </c>
      <c r="Q360" s="52">
        <f t="shared" si="108"/>
        <v>0</v>
      </c>
      <c r="R360" s="333">
        <f t="shared" si="76"/>
        <v>0</v>
      </c>
    </row>
    <row r="361" spans="2:19" s="43" customFormat="1" x14ac:dyDescent="0.2">
      <c r="B361" s="106" t="s">
        <v>66</v>
      </c>
      <c r="C361" s="53" t="s">
        <v>669</v>
      </c>
      <c r="D361" s="53" t="s">
        <v>159</v>
      </c>
      <c r="E361" s="53" t="s">
        <v>72</v>
      </c>
      <c r="F361" s="74" t="s">
        <v>224</v>
      </c>
      <c r="G361" s="53"/>
      <c r="H361" s="52">
        <f t="shared" si="107"/>
        <v>31855.7</v>
      </c>
      <c r="I361" s="52">
        <f t="shared" si="107"/>
        <v>32599.600000000002</v>
      </c>
      <c r="J361" s="300">
        <f t="shared" si="74"/>
        <v>743.90000000000146</v>
      </c>
      <c r="K361" s="52">
        <f t="shared" si="108"/>
        <v>0</v>
      </c>
      <c r="L361" s="52">
        <f t="shared" si="108"/>
        <v>32023</v>
      </c>
      <c r="M361" s="300">
        <f t="shared" si="100"/>
        <v>-576.60000000000218</v>
      </c>
      <c r="N361" s="52">
        <f t="shared" si="108"/>
        <v>0</v>
      </c>
      <c r="O361" s="300">
        <f t="shared" si="75"/>
        <v>0</v>
      </c>
      <c r="P361" s="52">
        <f t="shared" si="108"/>
        <v>0</v>
      </c>
      <c r="Q361" s="52">
        <f t="shared" si="108"/>
        <v>0</v>
      </c>
      <c r="R361" s="333">
        <f t="shared" si="76"/>
        <v>0</v>
      </c>
    </row>
    <row r="362" spans="2:19" s="43" customFormat="1" ht="25.5" x14ac:dyDescent="0.2">
      <c r="B362" s="76" t="s">
        <v>249</v>
      </c>
      <c r="C362" s="53" t="s">
        <v>669</v>
      </c>
      <c r="D362" s="53" t="s">
        <v>159</v>
      </c>
      <c r="E362" s="53" t="s">
        <v>72</v>
      </c>
      <c r="F362" s="74" t="s">
        <v>248</v>
      </c>
      <c r="G362" s="53"/>
      <c r="H362" s="52">
        <f t="shared" si="107"/>
        <v>31855.7</v>
      </c>
      <c r="I362" s="52">
        <f t="shared" si="107"/>
        <v>32599.600000000002</v>
      </c>
      <c r="J362" s="300">
        <f t="shared" ref="J362:J433" si="109">I362-H362</f>
        <v>743.90000000000146</v>
      </c>
      <c r="K362" s="52">
        <f t="shared" si="108"/>
        <v>0</v>
      </c>
      <c r="L362" s="52">
        <f t="shared" si="108"/>
        <v>32023</v>
      </c>
      <c r="M362" s="300">
        <f t="shared" si="100"/>
        <v>-576.60000000000218</v>
      </c>
      <c r="N362" s="52">
        <f t="shared" si="108"/>
        <v>0</v>
      </c>
      <c r="O362" s="300">
        <f t="shared" ref="O362:O433" si="110">N362-K362</f>
        <v>0</v>
      </c>
      <c r="P362" s="52">
        <f t="shared" si="108"/>
        <v>0</v>
      </c>
      <c r="Q362" s="52">
        <f t="shared" si="108"/>
        <v>0</v>
      </c>
      <c r="R362" s="333">
        <f t="shared" ref="R362:R430" si="111">Q362-P362</f>
        <v>0</v>
      </c>
    </row>
    <row r="363" spans="2:19" s="43" customFormat="1" ht="38.25" x14ac:dyDescent="0.2">
      <c r="B363" s="75" t="s">
        <v>235</v>
      </c>
      <c r="C363" s="53" t="s">
        <v>669</v>
      </c>
      <c r="D363" s="53" t="s">
        <v>159</v>
      </c>
      <c r="E363" s="53" t="s">
        <v>72</v>
      </c>
      <c r="F363" s="103" t="s">
        <v>234</v>
      </c>
      <c r="G363" s="53"/>
      <c r="H363" s="104">
        <f>H365+H364</f>
        <v>31855.7</v>
      </c>
      <c r="I363" s="104">
        <f t="shared" ref="I363:Q363" si="112">I365+I364</f>
        <v>32599.600000000002</v>
      </c>
      <c r="J363" s="300">
        <f t="shared" si="109"/>
        <v>743.90000000000146</v>
      </c>
      <c r="K363" s="104">
        <f t="shared" si="112"/>
        <v>0</v>
      </c>
      <c r="L363" s="104">
        <f t="shared" si="112"/>
        <v>32023</v>
      </c>
      <c r="M363" s="300">
        <f t="shared" si="100"/>
        <v>-576.60000000000218</v>
      </c>
      <c r="N363" s="104">
        <f t="shared" si="112"/>
        <v>0</v>
      </c>
      <c r="O363" s="300">
        <f t="shared" si="110"/>
        <v>0</v>
      </c>
      <c r="P363" s="104">
        <f t="shared" si="112"/>
        <v>0</v>
      </c>
      <c r="Q363" s="104">
        <f t="shared" si="112"/>
        <v>0</v>
      </c>
      <c r="R363" s="333">
        <f t="shared" si="111"/>
        <v>0</v>
      </c>
    </row>
    <row r="364" spans="2:19" s="43" customFormat="1" ht="25.5" x14ac:dyDescent="0.2">
      <c r="B364" s="84" t="s">
        <v>73</v>
      </c>
      <c r="C364" s="53" t="s">
        <v>669</v>
      </c>
      <c r="D364" s="53" t="s">
        <v>159</v>
      </c>
      <c r="E364" s="53" t="s">
        <v>72</v>
      </c>
      <c r="F364" s="103" t="s">
        <v>234</v>
      </c>
      <c r="G364" s="53" t="s">
        <v>70</v>
      </c>
      <c r="H364" s="104">
        <v>0</v>
      </c>
      <c r="I364" s="104">
        <v>23</v>
      </c>
      <c r="J364" s="300">
        <f t="shared" si="109"/>
        <v>23</v>
      </c>
      <c r="K364" s="104">
        <v>0</v>
      </c>
      <c r="L364" s="104">
        <v>23</v>
      </c>
      <c r="M364" s="300">
        <f t="shared" si="100"/>
        <v>0</v>
      </c>
      <c r="N364" s="104">
        <v>0</v>
      </c>
      <c r="O364" s="300">
        <f t="shared" si="110"/>
        <v>0</v>
      </c>
      <c r="P364" s="111">
        <v>0</v>
      </c>
      <c r="Q364" s="111">
        <v>0</v>
      </c>
      <c r="R364" s="333">
        <f t="shared" si="111"/>
        <v>0</v>
      </c>
    </row>
    <row r="365" spans="2:19" s="43" customFormat="1" x14ac:dyDescent="0.2">
      <c r="B365" s="112" t="s">
        <v>167</v>
      </c>
      <c r="C365" s="53" t="s">
        <v>669</v>
      </c>
      <c r="D365" s="53" t="s">
        <v>159</v>
      </c>
      <c r="E365" s="53" t="s">
        <v>72</v>
      </c>
      <c r="F365" s="103" t="s">
        <v>234</v>
      </c>
      <c r="G365" s="53" t="s">
        <v>164</v>
      </c>
      <c r="H365" s="104">
        <f>30900+955.7</f>
        <v>31855.7</v>
      </c>
      <c r="I365" s="104">
        <f>31855.7+720.9</f>
        <v>32576.600000000002</v>
      </c>
      <c r="J365" s="300">
        <f t="shared" si="109"/>
        <v>720.90000000000146</v>
      </c>
      <c r="K365" s="104">
        <v>0</v>
      </c>
      <c r="L365" s="104">
        <f>32576.6-576.6</f>
        <v>32000</v>
      </c>
      <c r="M365" s="300">
        <f t="shared" si="100"/>
        <v>-576.60000000000218</v>
      </c>
      <c r="N365" s="104">
        <v>0</v>
      </c>
      <c r="O365" s="300">
        <f t="shared" si="110"/>
        <v>0</v>
      </c>
      <c r="P365" s="111">
        <v>0</v>
      </c>
      <c r="Q365" s="111">
        <v>0</v>
      </c>
      <c r="R365" s="333">
        <f t="shared" si="111"/>
        <v>0</v>
      </c>
      <c r="S365" s="39"/>
    </row>
    <row r="366" spans="2:19" s="43" customFormat="1" x14ac:dyDescent="0.2">
      <c r="B366" s="59" t="s">
        <v>226</v>
      </c>
      <c r="C366" s="48" t="s">
        <v>669</v>
      </c>
      <c r="D366" s="48" t="s">
        <v>159</v>
      </c>
      <c r="E366" s="48" t="s">
        <v>111</v>
      </c>
      <c r="F366" s="54"/>
      <c r="G366" s="48"/>
      <c r="H366" s="44">
        <f t="shared" ref="H366:Q370" si="113">H367</f>
        <v>6997.4</v>
      </c>
      <c r="I366" s="44">
        <f t="shared" si="113"/>
        <v>6997.4</v>
      </c>
      <c r="J366" s="300">
        <f t="shared" si="109"/>
        <v>0</v>
      </c>
      <c r="K366" s="44">
        <f t="shared" si="113"/>
        <v>6997.4</v>
      </c>
      <c r="L366" s="44">
        <f t="shared" si="113"/>
        <v>6882.7</v>
      </c>
      <c r="M366" s="300">
        <f t="shared" si="100"/>
        <v>-114.69999999999982</v>
      </c>
      <c r="N366" s="44">
        <f t="shared" si="113"/>
        <v>6997.4</v>
      </c>
      <c r="O366" s="300">
        <f t="shared" si="110"/>
        <v>0</v>
      </c>
      <c r="P366" s="44">
        <f t="shared" si="113"/>
        <v>6997.4</v>
      </c>
      <c r="Q366" s="44">
        <f t="shared" si="113"/>
        <v>6997.4</v>
      </c>
      <c r="R366" s="333">
        <f t="shared" si="111"/>
        <v>0</v>
      </c>
    </row>
    <row r="367" spans="2:19" s="43" customFormat="1" ht="40.5" customHeight="1" x14ac:dyDescent="0.2">
      <c r="B367" s="108" t="s">
        <v>68</v>
      </c>
      <c r="C367" s="53" t="s">
        <v>669</v>
      </c>
      <c r="D367" s="53" t="s">
        <v>159</v>
      </c>
      <c r="E367" s="53" t="s">
        <v>111</v>
      </c>
      <c r="F367" s="54" t="s">
        <v>67</v>
      </c>
      <c r="G367" s="53"/>
      <c r="H367" s="52">
        <f t="shared" si="113"/>
        <v>6997.4</v>
      </c>
      <c r="I367" s="52">
        <f t="shared" si="113"/>
        <v>6997.4</v>
      </c>
      <c r="J367" s="300">
        <f t="shared" si="109"/>
        <v>0</v>
      </c>
      <c r="K367" s="52">
        <f t="shared" si="113"/>
        <v>6997.4</v>
      </c>
      <c r="L367" s="52">
        <f t="shared" si="113"/>
        <v>6882.7</v>
      </c>
      <c r="M367" s="300">
        <f t="shared" si="100"/>
        <v>-114.69999999999982</v>
      </c>
      <c r="N367" s="52">
        <f t="shared" si="113"/>
        <v>6997.4</v>
      </c>
      <c r="O367" s="300">
        <f t="shared" si="110"/>
        <v>0</v>
      </c>
      <c r="P367" s="52">
        <f t="shared" si="113"/>
        <v>6997.4</v>
      </c>
      <c r="Q367" s="52">
        <f t="shared" si="113"/>
        <v>6997.4</v>
      </c>
      <c r="R367" s="333">
        <f t="shared" si="111"/>
        <v>0</v>
      </c>
    </row>
    <row r="368" spans="2:19" s="43" customFormat="1" ht="15.75" customHeight="1" x14ac:dyDescent="0.2">
      <c r="B368" s="182" t="s">
        <v>52</v>
      </c>
      <c r="C368" s="53" t="s">
        <v>669</v>
      </c>
      <c r="D368" s="53" t="s">
        <v>159</v>
      </c>
      <c r="E368" s="53" t="s">
        <v>111</v>
      </c>
      <c r="F368" s="54" t="s">
        <v>92</v>
      </c>
      <c r="G368" s="53"/>
      <c r="H368" s="52">
        <f t="shared" si="113"/>
        <v>6997.4</v>
      </c>
      <c r="I368" s="52">
        <f t="shared" si="113"/>
        <v>6997.4</v>
      </c>
      <c r="J368" s="300">
        <f t="shared" si="109"/>
        <v>0</v>
      </c>
      <c r="K368" s="52">
        <f t="shared" si="113"/>
        <v>6997.4</v>
      </c>
      <c r="L368" s="52">
        <f t="shared" si="113"/>
        <v>6882.7</v>
      </c>
      <c r="M368" s="300">
        <f t="shared" si="100"/>
        <v>-114.69999999999982</v>
      </c>
      <c r="N368" s="52">
        <f t="shared" si="113"/>
        <v>6997.4</v>
      </c>
      <c r="O368" s="300">
        <f t="shared" si="110"/>
        <v>0</v>
      </c>
      <c r="P368" s="52">
        <f t="shared" si="113"/>
        <v>6997.4</v>
      </c>
      <c r="Q368" s="52">
        <f t="shared" si="113"/>
        <v>6997.4</v>
      </c>
      <c r="R368" s="333">
        <f t="shared" si="111"/>
        <v>0</v>
      </c>
    </row>
    <row r="369" spans="2:19" s="43" customFormat="1" ht="24.75" customHeight="1" x14ac:dyDescent="0.2">
      <c r="B369" s="62" t="s">
        <v>176</v>
      </c>
      <c r="C369" s="53" t="s">
        <v>669</v>
      </c>
      <c r="D369" s="53" t="s">
        <v>159</v>
      </c>
      <c r="E369" s="53" t="s">
        <v>111</v>
      </c>
      <c r="F369" s="54" t="s">
        <v>175</v>
      </c>
      <c r="G369" s="53"/>
      <c r="H369" s="52">
        <f t="shared" si="113"/>
        <v>6997.4</v>
      </c>
      <c r="I369" s="52">
        <f t="shared" si="113"/>
        <v>6997.4</v>
      </c>
      <c r="J369" s="300">
        <f t="shared" si="109"/>
        <v>0</v>
      </c>
      <c r="K369" s="52">
        <f t="shared" si="113"/>
        <v>6997.4</v>
      </c>
      <c r="L369" s="52">
        <f t="shared" si="113"/>
        <v>6882.7</v>
      </c>
      <c r="M369" s="300">
        <f t="shared" si="100"/>
        <v>-114.69999999999982</v>
      </c>
      <c r="N369" s="52">
        <f t="shared" si="113"/>
        <v>6997.4</v>
      </c>
      <c r="O369" s="300">
        <f t="shared" si="110"/>
        <v>0</v>
      </c>
      <c r="P369" s="52">
        <f t="shared" si="113"/>
        <v>6997.4</v>
      </c>
      <c r="Q369" s="52">
        <f t="shared" si="113"/>
        <v>6997.4</v>
      </c>
      <c r="R369" s="333">
        <f t="shared" si="111"/>
        <v>0</v>
      </c>
    </row>
    <row r="370" spans="2:19" s="43" customFormat="1" ht="15.75" customHeight="1" x14ac:dyDescent="0.2">
      <c r="B370" s="56" t="s">
        <v>683</v>
      </c>
      <c r="C370" s="53" t="s">
        <v>669</v>
      </c>
      <c r="D370" s="53" t="s">
        <v>159</v>
      </c>
      <c r="E370" s="53" t="s">
        <v>111</v>
      </c>
      <c r="F370" s="54" t="s">
        <v>225</v>
      </c>
      <c r="G370" s="53"/>
      <c r="H370" s="52">
        <f t="shared" si="113"/>
        <v>6997.4</v>
      </c>
      <c r="I370" s="52">
        <f t="shared" si="113"/>
        <v>6997.4</v>
      </c>
      <c r="J370" s="300">
        <f t="shared" si="109"/>
        <v>0</v>
      </c>
      <c r="K370" s="52">
        <f t="shared" si="113"/>
        <v>6997.4</v>
      </c>
      <c r="L370" s="52">
        <f t="shared" si="113"/>
        <v>6882.7</v>
      </c>
      <c r="M370" s="300">
        <f t="shared" si="100"/>
        <v>-114.69999999999982</v>
      </c>
      <c r="N370" s="52">
        <f t="shared" si="113"/>
        <v>6997.4</v>
      </c>
      <c r="O370" s="300">
        <f t="shared" si="110"/>
        <v>0</v>
      </c>
      <c r="P370" s="52">
        <f t="shared" si="113"/>
        <v>6997.4</v>
      </c>
      <c r="Q370" s="52">
        <f t="shared" si="113"/>
        <v>6997.4</v>
      </c>
      <c r="R370" s="333">
        <f t="shared" si="111"/>
        <v>0</v>
      </c>
    </row>
    <row r="371" spans="2:19" s="43" customFormat="1" ht="14.25" customHeight="1" x14ac:dyDescent="0.2">
      <c r="B371" s="64" t="s">
        <v>82</v>
      </c>
      <c r="C371" s="53" t="s">
        <v>669</v>
      </c>
      <c r="D371" s="53" t="s">
        <v>159</v>
      </c>
      <c r="E371" s="53" t="s">
        <v>111</v>
      </c>
      <c r="F371" s="54" t="s">
        <v>225</v>
      </c>
      <c r="G371" s="53" t="s">
        <v>81</v>
      </c>
      <c r="H371" s="52">
        <v>6997.4</v>
      </c>
      <c r="I371" s="52">
        <v>6997.4</v>
      </c>
      <c r="J371" s="300">
        <f t="shared" si="109"/>
        <v>0</v>
      </c>
      <c r="K371" s="52">
        <v>6997.4</v>
      </c>
      <c r="L371" s="52">
        <f>6997.4-114.7</f>
        <v>6882.7</v>
      </c>
      <c r="M371" s="300">
        <f t="shared" si="100"/>
        <v>-114.69999999999982</v>
      </c>
      <c r="N371" s="52">
        <v>6997.4</v>
      </c>
      <c r="O371" s="300">
        <f t="shared" si="110"/>
        <v>0</v>
      </c>
      <c r="P371" s="52">
        <v>6997.4</v>
      </c>
      <c r="Q371" s="52">
        <v>6997.4</v>
      </c>
      <c r="R371" s="333">
        <f t="shared" si="111"/>
        <v>0</v>
      </c>
      <c r="S371" s="39"/>
    </row>
    <row r="372" spans="2:19" s="43" customFormat="1" x14ac:dyDescent="0.2">
      <c r="B372" s="175" t="s">
        <v>213</v>
      </c>
      <c r="C372" s="48" t="s">
        <v>669</v>
      </c>
      <c r="D372" s="48" t="s">
        <v>159</v>
      </c>
      <c r="E372" s="48" t="s">
        <v>159</v>
      </c>
      <c r="F372" s="49"/>
      <c r="G372" s="48"/>
      <c r="H372" s="44">
        <f>H373</f>
        <v>385</v>
      </c>
      <c r="I372" s="44">
        <f>I373</f>
        <v>385</v>
      </c>
      <c r="J372" s="300">
        <f t="shared" si="109"/>
        <v>0</v>
      </c>
      <c r="K372" s="44">
        <f>K373</f>
        <v>385</v>
      </c>
      <c r="L372" s="44">
        <f>L373</f>
        <v>385</v>
      </c>
      <c r="M372" s="300">
        <f t="shared" si="100"/>
        <v>0</v>
      </c>
      <c r="N372" s="44">
        <f>N373</f>
        <v>385</v>
      </c>
      <c r="O372" s="300">
        <f t="shared" si="110"/>
        <v>0</v>
      </c>
      <c r="P372" s="44">
        <f>P373</f>
        <v>385</v>
      </c>
      <c r="Q372" s="44">
        <f>Q373</f>
        <v>385</v>
      </c>
      <c r="R372" s="333">
        <f t="shared" si="111"/>
        <v>0</v>
      </c>
    </row>
    <row r="373" spans="2:19" s="32" customFormat="1" ht="38.25" x14ac:dyDescent="0.2">
      <c r="B373" s="64" t="s">
        <v>68</v>
      </c>
      <c r="C373" s="53" t="s">
        <v>669</v>
      </c>
      <c r="D373" s="53" t="s">
        <v>159</v>
      </c>
      <c r="E373" s="53" t="s">
        <v>159</v>
      </c>
      <c r="F373" s="54" t="s">
        <v>67</v>
      </c>
      <c r="G373" s="53"/>
      <c r="H373" s="52">
        <f>H374+H378</f>
        <v>385</v>
      </c>
      <c r="I373" s="52">
        <f>I374+I378</f>
        <v>385</v>
      </c>
      <c r="J373" s="300">
        <f t="shared" si="109"/>
        <v>0</v>
      </c>
      <c r="K373" s="52">
        <f>K374+K378</f>
        <v>385</v>
      </c>
      <c r="L373" s="52">
        <f>L374+L378</f>
        <v>385</v>
      </c>
      <c r="M373" s="300">
        <f t="shared" si="100"/>
        <v>0</v>
      </c>
      <c r="N373" s="52">
        <f>N374+N378</f>
        <v>385</v>
      </c>
      <c r="O373" s="300">
        <f t="shared" si="110"/>
        <v>0</v>
      </c>
      <c r="P373" s="52">
        <f>P374+P378</f>
        <v>385</v>
      </c>
      <c r="Q373" s="52">
        <f>Q374+Q378</f>
        <v>385</v>
      </c>
      <c r="R373" s="333">
        <f t="shared" si="111"/>
        <v>0</v>
      </c>
    </row>
    <row r="374" spans="2:19" s="32" customFormat="1" hidden="1" x14ac:dyDescent="0.2">
      <c r="B374" s="64" t="s">
        <v>66</v>
      </c>
      <c r="C374" s="53" t="s">
        <v>669</v>
      </c>
      <c r="D374" s="53" t="s">
        <v>159</v>
      </c>
      <c r="E374" s="53" t="s">
        <v>159</v>
      </c>
      <c r="F374" s="54" t="s">
        <v>65</v>
      </c>
      <c r="G374" s="53"/>
      <c r="H374" s="52">
        <f t="shared" ref="H374:Q376" si="114">H375</f>
        <v>0</v>
      </c>
      <c r="I374" s="52">
        <f t="shared" si="114"/>
        <v>0</v>
      </c>
      <c r="J374" s="300">
        <f t="shared" si="109"/>
        <v>0</v>
      </c>
      <c r="K374" s="52">
        <f t="shared" si="114"/>
        <v>0</v>
      </c>
      <c r="L374" s="52">
        <f t="shared" si="114"/>
        <v>0</v>
      </c>
      <c r="M374" s="300">
        <f t="shared" si="100"/>
        <v>0</v>
      </c>
      <c r="N374" s="52">
        <f t="shared" si="114"/>
        <v>0</v>
      </c>
      <c r="O374" s="300">
        <f t="shared" si="110"/>
        <v>0</v>
      </c>
      <c r="P374" s="52">
        <f t="shared" si="114"/>
        <v>0</v>
      </c>
      <c r="Q374" s="52">
        <f t="shared" si="114"/>
        <v>0</v>
      </c>
      <c r="R374" s="333">
        <f t="shared" si="111"/>
        <v>0</v>
      </c>
    </row>
    <row r="375" spans="2:19" s="32" customFormat="1" hidden="1" x14ac:dyDescent="0.2">
      <c r="B375" s="61" t="s">
        <v>211</v>
      </c>
      <c r="C375" s="53" t="s">
        <v>669</v>
      </c>
      <c r="D375" s="53" t="s">
        <v>159</v>
      </c>
      <c r="E375" s="53" t="s">
        <v>159</v>
      </c>
      <c r="F375" s="54" t="s">
        <v>212</v>
      </c>
      <c r="G375" s="53"/>
      <c r="H375" s="52">
        <f t="shared" si="114"/>
        <v>0</v>
      </c>
      <c r="I375" s="52">
        <f t="shared" si="114"/>
        <v>0</v>
      </c>
      <c r="J375" s="300">
        <f t="shared" si="109"/>
        <v>0</v>
      </c>
      <c r="K375" s="52">
        <f t="shared" si="114"/>
        <v>0</v>
      </c>
      <c r="L375" s="52">
        <f t="shared" si="114"/>
        <v>0</v>
      </c>
      <c r="M375" s="300">
        <f t="shared" si="100"/>
        <v>0</v>
      </c>
      <c r="N375" s="52">
        <f t="shared" si="114"/>
        <v>0</v>
      </c>
      <c r="O375" s="300">
        <f t="shared" si="110"/>
        <v>0</v>
      </c>
      <c r="P375" s="52">
        <f t="shared" si="114"/>
        <v>0</v>
      </c>
      <c r="Q375" s="52">
        <f t="shared" si="114"/>
        <v>0</v>
      </c>
      <c r="R375" s="333">
        <f t="shared" si="111"/>
        <v>0</v>
      </c>
    </row>
    <row r="376" spans="2:19" s="32" customFormat="1" ht="25.5" hidden="1" x14ac:dyDescent="0.2">
      <c r="B376" s="395" t="s">
        <v>210</v>
      </c>
      <c r="C376" s="53" t="s">
        <v>669</v>
      </c>
      <c r="D376" s="53" t="s">
        <v>159</v>
      </c>
      <c r="E376" s="53" t="s">
        <v>159</v>
      </c>
      <c r="F376" s="393" t="s">
        <v>1099</v>
      </c>
      <c r="G376" s="53"/>
      <c r="H376" s="52">
        <f t="shared" si="114"/>
        <v>0</v>
      </c>
      <c r="I376" s="52">
        <f t="shared" si="114"/>
        <v>0</v>
      </c>
      <c r="J376" s="300">
        <f t="shared" si="109"/>
        <v>0</v>
      </c>
      <c r="K376" s="52">
        <f t="shared" si="114"/>
        <v>0</v>
      </c>
      <c r="L376" s="52">
        <f t="shared" si="114"/>
        <v>0</v>
      </c>
      <c r="M376" s="300">
        <f t="shared" si="100"/>
        <v>0</v>
      </c>
      <c r="N376" s="52">
        <f t="shared" si="114"/>
        <v>0</v>
      </c>
      <c r="O376" s="300">
        <f t="shared" si="110"/>
        <v>0</v>
      </c>
      <c r="P376" s="52">
        <f t="shared" si="114"/>
        <v>0</v>
      </c>
      <c r="Q376" s="52">
        <f t="shared" si="114"/>
        <v>0</v>
      </c>
      <c r="R376" s="333">
        <f t="shared" si="111"/>
        <v>0</v>
      </c>
    </row>
    <row r="377" spans="2:19" s="32" customFormat="1" ht="25.5" hidden="1" x14ac:dyDescent="0.2">
      <c r="B377" s="394" t="s">
        <v>73</v>
      </c>
      <c r="C377" s="53" t="s">
        <v>669</v>
      </c>
      <c r="D377" s="53" t="s">
        <v>159</v>
      </c>
      <c r="E377" s="53" t="s">
        <v>159</v>
      </c>
      <c r="F377" s="393" t="s">
        <v>1099</v>
      </c>
      <c r="G377" s="53" t="s">
        <v>70</v>
      </c>
      <c r="H377" s="52">
        <v>0</v>
      </c>
      <c r="I377" s="52">
        <v>0</v>
      </c>
      <c r="J377" s="300">
        <f t="shared" si="109"/>
        <v>0</v>
      </c>
      <c r="K377" s="52">
        <v>0</v>
      </c>
      <c r="L377" s="52">
        <v>0</v>
      </c>
      <c r="M377" s="300">
        <f t="shared" si="100"/>
        <v>0</v>
      </c>
      <c r="N377" s="52">
        <v>0</v>
      </c>
      <c r="O377" s="300">
        <f t="shared" si="110"/>
        <v>0</v>
      </c>
      <c r="P377" s="52">
        <v>0</v>
      </c>
      <c r="Q377" s="52">
        <v>0</v>
      </c>
      <c r="R377" s="333">
        <f t="shared" si="111"/>
        <v>0</v>
      </c>
    </row>
    <row r="378" spans="2:19" s="32" customFormat="1" x14ac:dyDescent="0.2">
      <c r="B378" s="84" t="s">
        <v>52</v>
      </c>
      <c r="C378" s="53" t="s">
        <v>669</v>
      </c>
      <c r="D378" s="53" t="s">
        <v>159</v>
      </c>
      <c r="E378" s="53" t="s">
        <v>159</v>
      </c>
      <c r="F378" s="54" t="s">
        <v>92</v>
      </c>
      <c r="G378" s="53"/>
      <c r="H378" s="52">
        <f t="shared" ref="H378:Q379" si="115">H379</f>
        <v>385</v>
      </c>
      <c r="I378" s="52">
        <f t="shared" si="115"/>
        <v>385</v>
      </c>
      <c r="J378" s="300">
        <f t="shared" si="109"/>
        <v>0</v>
      </c>
      <c r="K378" s="52">
        <f t="shared" si="115"/>
        <v>385</v>
      </c>
      <c r="L378" s="52">
        <f t="shared" si="115"/>
        <v>385</v>
      </c>
      <c r="M378" s="300">
        <f t="shared" si="100"/>
        <v>0</v>
      </c>
      <c r="N378" s="52">
        <f t="shared" si="115"/>
        <v>385</v>
      </c>
      <c r="O378" s="300">
        <f t="shared" si="110"/>
        <v>0</v>
      </c>
      <c r="P378" s="52">
        <f t="shared" si="115"/>
        <v>385</v>
      </c>
      <c r="Q378" s="52">
        <f t="shared" si="115"/>
        <v>385</v>
      </c>
      <c r="R378" s="333">
        <f t="shared" si="111"/>
        <v>0</v>
      </c>
    </row>
    <row r="379" spans="2:19" s="32" customFormat="1" ht="25.5" x14ac:dyDescent="0.2">
      <c r="B379" s="64" t="s">
        <v>209</v>
      </c>
      <c r="C379" s="53" t="s">
        <v>669</v>
      </c>
      <c r="D379" s="53" t="s">
        <v>159</v>
      </c>
      <c r="E379" s="53" t="s">
        <v>159</v>
      </c>
      <c r="F379" s="54" t="s">
        <v>208</v>
      </c>
      <c r="G379" s="53"/>
      <c r="H379" s="52">
        <f t="shared" si="115"/>
        <v>385</v>
      </c>
      <c r="I379" s="52">
        <f t="shared" si="115"/>
        <v>385</v>
      </c>
      <c r="J379" s="300">
        <f t="shared" si="109"/>
        <v>0</v>
      </c>
      <c r="K379" s="52">
        <f t="shared" si="115"/>
        <v>385</v>
      </c>
      <c r="L379" s="52">
        <f t="shared" si="115"/>
        <v>385</v>
      </c>
      <c r="M379" s="300">
        <f t="shared" si="100"/>
        <v>0</v>
      </c>
      <c r="N379" s="52">
        <f t="shared" si="115"/>
        <v>385</v>
      </c>
      <c r="O379" s="300">
        <f t="shared" si="110"/>
        <v>0</v>
      </c>
      <c r="P379" s="52">
        <f t="shared" si="115"/>
        <v>385</v>
      </c>
      <c r="Q379" s="52">
        <f t="shared" si="115"/>
        <v>385</v>
      </c>
      <c r="R379" s="333">
        <f t="shared" si="111"/>
        <v>0</v>
      </c>
    </row>
    <row r="380" spans="2:19" s="32" customFormat="1" x14ac:dyDescent="0.2">
      <c r="B380" s="56" t="s">
        <v>207</v>
      </c>
      <c r="C380" s="53" t="s">
        <v>669</v>
      </c>
      <c r="D380" s="53" t="s">
        <v>159</v>
      </c>
      <c r="E380" s="53" t="s">
        <v>159</v>
      </c>
      <c r="F380" s="54" t="s">
        <v>206</v>
      </c>
      <c r="G380" s="53"/>
      <c r="H380" s="52">
        <f>H381+H382</f>
        <v>385</v>
      </c>
      <c r="I380" s="52">
        <f>I381+I382</f>
        <v>385</v>
      </c>
      <c r="J380" s="300">
        <f t="shared" si="109"/>
        <v>0</v>
      </c>
      <c r="K380" s="52">
        <f>K381+K382</f>
        <v>385</v>
      </c>
      <c r="L380" s="52">
        <f>L381+L382</f>
        <v>385</v>
      </c>
      <c r="M380" s="300">
        <f t="shared" si="100"/>
        <v>0</v>
      </c>
      <c r="N380" s="52">
        <f>N381+N382</f>
        <v>385</v>
      </c>
      <c r="O380" s="300">
        <f t="shared" si="110"/>
        <v>0</v>
      </c>
      <c r="P380" s="52">
        <f>P381+P382</f>
        <v>385</v>
      </c>
      <c r="Q380" s="52">
        <f>Q381+Q382</f>
        <v>385</v>
      </c>
      <c r="R380" s="333">
        <f t="shared" si="111"/>
        <v>0</v>
      </c>
    </row>
    <row r="381" spans="2:19" s="32" customFormat="1" ht="16.5" customHeight="1" x14ac:dyDescent="0.2">
      <c r="B381" s="56" t="s">
        <v>84</v>
      </c>
      <c r="C381" s="53" t="s">
        <v>669</v>
      </c>
      <c r="D381" s="53" t="s">
        <v>159</v>
      </c>
      <c r="E381" s="53" t="s">
        <v>159</v>
      </c>
      <c r="F381" s="54" t="s">
        <v>206</v>
      </c>
      <c r="G381" s="53" t="s">
        <v>83</v>
      </c>
      <c r="H381" s="52">
        <v>90</v>
      </c>
      <c r="I381" s="52">
        <v>90</v>
      </c>
      <c r="J381" s="300">
        <f t="shared" si="109"/>
        <v>0</v>
      </c>
      <c r="K381" s="52">
        <v>90</v>
      </c>
      <c r="L381" s="52">
        <v>90</v>
      </c>
      <c r="M381" s="300">
        <f t="shared" si="100"/>
        <v>0</v>
      </c>
      <c r="N381" s="52">
        <v>90</v>
      </c>
      <c r="O381" s="300">
        <f t="shared" si="110"/>
        <v>0</v>
      </c>
      <c r="P381" s="65">
        <v>90</v>
      </c>
      <c r="Q381" s="65">
        <v>90</v>
      </c>
      <c r="R381" s="333">
        <f t="shared" si="111"/>
        <v>0</v>
      </c>
    </row>
    <row r="382" spans="2:19" s="32" customFormat="1" ht="25.5" x14ac:dyDescent="0.2">
      <c r="B382" s="56" t="s">
        <v>73</v>
      </c>
      <c r="C382" s="53" t="s">
        <v>669</v>
      </c>
      <c r="D382" s="53" t="s">
        <v>159</v>
      </c>
      <c r="E382" s="53" t="s">
        <v>159</v>
      </c>
      <c r="F382" s="54" t="s">
        <v>206</v>
      </c>
      <c r="G382" s="53" t="s">
        <v>70</v>
      </c>
      <c r="H382" s="52">
        <v>295</v>
      </c>
      <c r="I382" s="52">
        <v>295</v>
      </c>
      <c r="J382" s="300">
        <f t="shared" si="109"/>
        <v>0</v>
      </c>
      <c r="K382" s="52">
        <v>295</v>
      </c>
      <c r="L382" s="52">
        <v>295</v>
      </c>
      <c r="M382" s="300">
        <f t="shared" si="100"/>
        <v>0</v>
      </c>
      <c r="N382" s="52">
        <v>295</v>
      </c>
      <c r="O382" s="300">
        <f t="shared" si="110"/>
        <v>0</v>
      </c>
      <c r="P382" s="65">
        <v>295</v>
      </c>
      <c r="Q382" s="65">
        <v>295</v>
      </c>
      <c r="R382" s="333">
        <f t="shared" si="111"/>
        <v>0</v>
      </c>
    </row>
    <row r="383" spans="2:19" s="43" customFormat="1" x14ac:dyDescent="0.2">
      <c r="B383" s="63" t="s">
        <v>684</v>
      </c>
      <c r="C383" s="48" t="s">
        <v>669</v>
      </c>
      <c r="D383" s="48" t="s">
        <v>166</v>
      </c>
      <c r="E383" s="48"/>
      <c r="F383" s="49"/>
      <c r="G383" s="48"/>
      <c r="H383" s="44">
        <f>H384+H424</f>
        <v>148145.4</v>
      </c>
      <c r="I383" s="44">
        <f>I384+I424</f>
        <v>380299.19999999995</v>
      </c>
      <c r="J383" s="300">
        <f t="shared" si="109"/>
        <v>232153.79999999996</v>
      </c>
      <c r="K383" s="44">
        <f t="shared" ref="K383" si="116">K384+K424</f>
        <v>71237.900000000009</v>
      </c>
      <c r="L383" s="44">
        <f>L384+L424</f>
        <v>378383.10000000003</v>
      </c>
      <c r="M383" s="300">
        <f t="shared" si="100"/>
        <v>-1916.0999999999185</v>
      </c>
      <c r="N383" s="44">
        <f t="shared" ref="N383:Q383" si="117">N384+N424</f>
        <v>71237.900000000009</v>
      </c>
      <c r="O383" s="300">
        <f t="shared" si="110"/>
        <v>0</v>
      </c>
      <c r="P383" s="44">
        <f t="shared" ref="P383" si="118">P384+P424</f>
        <v>69032.600000000006</v>
      </c>
      <c r="Q383" s="44">
        <f t="shared" si="117"/>
        <v>69032.600000000006</v>
      </c>
      <c r="R383" s="333">
        <f t="shared" si="111"/>
        <v>0</v>
      </c>
    </row>
    <row r="384" spans="2:19" s="43" customFormat="1" x14ac:dyDescent="0.2">
      <c r="B384" s="63" t="s">
        <v>191</v>
      </c>
      <c r="C384" s="53" t="s">
        <v>669</v>
      </c>
      <c r="D384" s="48" t="s">
        <v>166</v>
      </c>
      <c r="E384" s="48" t="s">
        <v>45</v>
      </c>
      <c r="F384" s="49"/>
      <c r="G384" s="48"/>
      <c r="H384" s="44">
        <f t="shared" ref="H384:Q384" si="119">H385</f>
        <v>78248.5</v>
      </c>
      <c r="I384" s="44">
        <f t="shared" si="119"/>
        <v>80532.600000000006</v>
      </c>
      <c r="J384" s="300">
        <f t="shared" si="109"/>
        <v>2284.1000000000058</v>
      </c>
      <c r="K384" s="44">
        <f t="shared" si="119"/>
        <v>71237.900000000009</v>
      </c>
      <c r="L384" s="44">
        <f t="shared" si="119"/>
        <v>78616.5</v>
      </c>
      <c r="M384" s="300">
        <f t="shared" si="100"/>
        <v>-1916.1000000000058</v>
      </c>
      <c r="N384" s="44">
        <f t="shared" si="119"/>
        <v>71237.900000000009</v>
      </c>
      <c r="O384" s="300">
        <f t="shared" si="110"/>
        <v>0</v>
      </c>
      <c r="P384" s="44">
        <f t="shared" si="119"/>
        <v>69032.600000000006</v>
      </c>
      <c r="Q384" s="44">
        <f t="shared" si="119"/>
        <v>69032.600000000006</v>
      </c>
      <c r="R384" s="333">
        <f t="shared" si="111"/>
        <v>0</v>
      </c>
    </row>
    <row r="385" spans="2:18" s="32" customFormat="1" ht="38.25" x14ac:dyDescent="0.2">
      <c r="B385" s="64" t="s">
        <v>68</v>
      </c>
      <c r="C385" s="53" t="s">
        <v>669</v>
      </c>
      <c r="D385" s="53" t="s">
        <v>166</v>
      </c>
      <c r="E385" s="53" t="s">
        <v>45</v>
      </c>
      <c r="F385" s="54" t="s">
        <v>67</v>
      </c>
      <c r="G385" s="53"/>
      <c r="H385" s="52">
        <f>H386+H407</f>
        <v>78248.5</v>
      </c>
      <c r="I385" s="52">
        <f>I386+I407</f>
        <v>80532.600000000006</v>
      </c>
      <c r="J385" s="300">
        <f t="shared" si="109"/>
        <v>2284.1000000000058</v>
      </c>
      <c r="K385" s="52">
        <f>K386+K407</f>
        <v>71237.900000000009</v>
      </c>
      <c r="L385" s="52">
        <f>L386+L407</f>
        <v>78616.5</v>
      </c>
      <c r="M385" s="300">
        <f t="shared" si="100"/>
        <v>-1916.1000000000058</v>
      </c>
      <c r="N385" s="52">
        <f>N386+N407</f>
        <v>71237.900000000009</v>
      </c>
      <c r="O385" s="300">
        <f t="shared" si="110"/>
        <v>0</v>
      </c>
      <c r="P385" s="52">
        <f>P386+P407</f>
        <v>69032.600000000006</v>
      </c>
      <c r="Q385" s="52">
        <f>Q386+Q407</f>
        <v>69032.600000000006</v>
      </c>
      <c r="R385" s="333">
        <f t="shared" si="111"/>
        <v>0</v>
      </c>
    </row>
    <row r="386" spans="2:18" s="32" customFormat="1" x14ac:dyDescent="0.2">
      <c r="B386" s="62" t="s">
        <v>66</v>
      </c>
      <c r="C386" s="53" t="s">
        <v>669</v>
      </c>
      <c r="D386" s="53" t="s">
        <v>166</v>
      </c>
      <c r="E386" s="53" t="s">
        <v>45</v>
      </c>
      <c r="F386" s="54" t="s">
        <v>65</v>
      </c>
      <c r="G386" s="60"/>
      <c r="H386" s="52">
        <f>H387+H401</f>
        <v>13532</v>
      </c>
      <c r="I386" s="52">
        <f>I387+I401+I404</f>
        <v>15583.700000000003</v>
      </c>
      <c r="J386" s="52">
        <f t="shared" ref="J386:Q386" si="120">J387+J401+J404</f>
        <v>2051.7000000000025</v>
      </c>
      <c r="K386" s="52">
        <f t="shared" si="120"/>
        <v>2105.3000000000002</v>
      </c>
      <c r="L386" s="52">
        <f t="shared" si="120"/>
        <v>16145.000000000002</v>
      </c>
      <c r="M386" s="300">
        <f t="shared" si="100"/>
        <v>561.29999999999927</v>
      </c>
      <c r="N386" s="52">
        <f t="shared" si="120"/>
        <v>2105.3000000000002</v>
      </c>
      <c r="O386" s="52">
        <f t="shared" si="120"/>
        <v>0</v>
      </c>
      <c r="P386" s="52">
        <f t="shared" si="120"/>
        <v>0</v>
      </c>
      <c r="Q386" s="52">
        <f t="shared" si="120"/>
        <v>0</v>
      </c>
      <c r="R386" s="333">
        <f t="shared" si="111"/>
        <v>0</v>
      </c>
    </row>
    <row r="387" spans="2:18" s="32" customFormat="1" ht="25.5" x14ac:dyDescent="0.2">
      <c r="B387" s="62" t="s">
        <v>170</v>
      </c>
      <c r="C387" s="53" t="s">
        <v>669</v>
      </c>
      <c r="D387" s="53" t="s">
        <v>166</v>
      </c>
      <c r="E387" s="53" t="s">
        <v>45</v>
      </c>
      <c r="F387" s="54" t="s">
        <v>169</v>
      </c>
      <c r="G387" s="60"/>
      <c r="H387" s="52">
        <f>H393+H397+H390+H388</f>
        <v>13432</v>
      </c>
      <c r="I387" s="52">
        <f t="shared" ref="I387:Q387" si="121">I393+I397+I390+I388</f>
        <v>15483.700000000003</v>
      </c>
      <c r="J387" s="300">
        <f t="shared" si="109"/>
        <v>2051.7000000000025</v>
      </c>
      <c r="K387" s="52">
        <f t="shared" si="121"/>
        <v>2105.3000000000002</v>
      </c>
      <c r="L387" s="52">
        <f t="shared" si="121"/>
        <v>15978.300000000001</v>
      </c>
      <c r="M387" s="300">
        <f t="shared" si="100"/>
        <v>494.59999999999854</v>
      </c>
      <c r="N387" s="52">
        <f t="shared" si="121"/>
        <v>2105.3000000000002</v>
      </c>
      <c r="O387" s="300">
        <f t="shared" si="110"/>
        <v>0</v>
      </c>
      <c r="P387" s="52">
        <f t="shared" si="121"/>
        <v>0</v>
      </c>
      <c r="Q387" s="52">
        <f t="shared" si="121"/>
        <v>0</v>
      </c>
      <c r="R387" s="333">
        <f t="shared" si="111"/>
        <v>0</v>
      </c>
    </row>
    <row r="388" spans="2:18" s="32" customFormat="1" ht="25.5" x14ac:dyDescent="0.2">
      <c r="B388" s="62" t="s">
        <v>1089</v>
      </c>
      <c r="C388" s="53" t="s">
        <v>669</v>
      </c>
      <c r="D388" s="53" t="s">
        <v>166</v>
      </c>
      <c r="E388" s="53" t="s">
        <v>45</v>
      </c>
      <c r="F388" s="54" t="s">
        <v>1088</v>
      </c>
      <c r="G388" s="60"/>
      <c r="H388" s="52">
        <f>H389</f>
        <v>0</v>
      </c>
      <c r="I388" s="52">
        <f t="shared" ref="I388:Q388" si="122">I389</f>
        <v>1636.6</v>
      </c>
      <c r="J388" s="300">
        <f t="shared" si="109"/>
        <v>1636.6</v>
      </c>
      <c r="K388" s="52">
        <f t="shared" si="122"/>
        <v>0</v>
      </c>
      <c r="L388" s="52">
        <f t="shared" si="122"/>
        <v>1636.6</v>
      </c>
      <c r="M388" s="300">
        <f t="shared" si="100"/>
        <v>0</v>
      </c>
      <c r="N388" s="52">
        <f t="shared" si="122"/>
        <v>0</v>
      </c>
      <c r="O388" s="300">
        <f t="shared" si="110"/>
        <v>0</v>
      </c>
      <c r="P388" s="52">
        <f t="shared" si="122"/>
        <v>0</v>
      </c>
      <c r="Q388" s="52">
        <f t="shared" si="122"/>
        <v>0</v>
      </c>
      <c r="R388" s="333">
        <f t="shared" si="111"/>
        <v>0</v>
      </c>
    </row>
    <row r="389" spans="2:18" s="32" customFormat="1" x14ac:dyDescent="0.2">
      <c r="B389" s="61" t="s">
        <v>61</v>
      </c>
      <c r="C389" s="53" t="s">
        <v>669</v>
      </c>
      <c r="D389" s="53" t="s">
        <v>166</v>
      </c>
      <c r="E389" s="53" t="s">
        <v>45</v>
      </c>
      <c r="F389" s="54" t="s">
        <v>1088</v>
      </c>
      <c r="G389" s="60" t="s">
        <v>57</v>
      </c>
      <c r="H389" s="52">
        <v>0</v>
      </c>
      <c r="I389" s="52">
        <f>1636.6</f>
        <v>1636.6</v>
      </c>
      <c r="J389" s="300">
        <f t="shared" si="109"/>
        <v>1636.6</v>
      </c>
      <c r="K389" s="52">
        <v>0</v>
      </c>
      <c r="L389" s="52">
        <f>1636.6</f>
        <v>1636.6</v>
      </c>
      <c r="M389" s="300">
        <f t="shared" si="100"/>
        <v>0</v>
      </c>
      <c r="N389" s="52">
        <v>0</v>
      </c>
      <c r="O389" s="300">
        <f t="shared" si="110"/>
        <v>0</v>
      </c>
      <c r="P389" s="52">
        <v>0</v>
      </c>
      <c r="Q389" s="52">
        <v>0</v>
      </c>
      <c r="R389" s="333">
        <f t="shared" si="111"/>
        <v>0</v>
      </c>
    </row>
    <row r="390" spans="2:18" s="32" customFormat="1" ht="25.5" x14ac:dyDescent="0.2">
      <c r="B390" s="75" t="s">
        <v>190</v>
      </c>
      <c r="C390" s="53" t="s">
        <v>669</v>
      </c>
      <c r="D390" s="53" t="s">
        <v>166</v>
      </c>
      <c r="E390" s="53" t="s">
        <v>45</v>
      </c>
      <c r="F390" s="54" t="s">
        <v>189</v>
      </c>
      <c r="G390" s="60"/>
      <c r="H390" s="52">
        <f>H391+H392</f>
        <v>365</v>
      </c>
      <c r="I390" s="52">
        <f>I391+I392</f>
        <v>365</v>
      </c>
      <c r="J390" s="300">
        <f t="shared" si="109"/>
        <v>0</v>
      </c>
      <c r="K390" s="52">
        <f t="shared" ref="K390" si="123">K391+K392</f>
        <v>0</v>
      </c>
      <c r="L390" s="52">
        <f>L391+L392</f>
        <v>365</v>
      </c>
      <c r="M390" s="300">
        <f t="shared" si="100"/>
        <v>0</v>
      </c>
      <c r="N390" s="52">
        <f t="shared" ref="N390:Q390" si="124">N391+N392</f>
        <v>0</v>
      </c>
      <c r="O390" s="300">
        <f t="shared" si="110"/>
        <v>0</v>
      </c>
      <c r="P390" s="52">
        <f t="shared" ref="P390" si="125">P391+P392</f>
        <v>0</v>
      </c>
      <c r="Q390" s="52">
        <f t="shared" si="124"/>
        <v>0</v>
      </c>
      <c r="R390" s="333">
        <f t="shared" si="111"/>
        <v>0</v>
      </c>
    </row>
    <row r="391" spans="2:18" s="32" customFormat="1" x14ac:dyDescent="0.2">
      <c r="B391" s="97" t="s">
        <v>98</v>
      </c>
      <c r="C391" s="53" t="s">
        <v>669</v>
      </c>
      <c r="D391" s="53" t="s">
        <v>166</v>
      </c>
      <c r="E391" s="53" t="s">
        <v>45</v>
      </c>
      <c r="F391" s="54" t="s">
        <v>189</v>
      </c>
      <c r="G391" s="60" t="s">
        <v>81</v>
      </c>
      <c r="H391" s="52">
        <v>205</v>
      </c>
      <c r="I391" s="52">
        <f>205+55</f>
        <v>260</v>
      </c>
      <c r="J391" s="300">
        <f t="shared" si="109"/>
        <v>55</v>
      </c>
      <c r="K391" s="52">
        <v>0</v>
      </c>
      <c r="L391" s="52">
        <f>205+55</f>
        <v>260</v>
      </c>
      <c r="M391" s="300">
        <f t="shared" si="100"/>
        <v>0</v>
      </c>
      <c r="N391" s="52">
        <v>0</v>
      </c>
      <c r="O391" s="300">
        <f t="shared" si="110"/>
        <v>0</v>
      </c>
      <c r="P391" s="65">
        <v>0</v>
      </c>
      <c r="Q391" s="65">
        <v>0</v>
      </c>
      <c r="R391" s="333">
        <f t="shared" si="111"/>
        <v>0</v>
      </c>
    </row>
    <row r="392" spans="2:18" s="32" customFormat="1" x14ac:dyDescent="0.2">
      <c r="B392" s="61" t="s">
        <v>61</v>
      </c>
      <c r="C392" s="53" t="s">
        <v>669</v>
      </c>
      <c r="D392" s="53" t="s">
        <v>166</v>
      </c>
      <c r="E392" s="53" t="s">
        <v>45</v>
      </c>
      <c r="F392" s="54" t="s">
        <v>189</v>
      </c>
      <c r="G392" s="60" t="s">
        <v>57</v>
      </c>
      <c r="H392" s="52">
        <v>160</v>
      </c>
      <c r="I392" s="52">
        <f>160-55</f>
        <v>105</v>
      </c>
      <c r="J392" s="300">
        <f t="shared" si="109"/>
        <v>-55</v>
      </c>
      <c r="K392" s="52">
        <v>0</v>
      </c>
      <c r="L392" s="52">
        <f>160-55</f>
        <v>105</v>
      </c>
      <c r="M392" s="300">
        <f t="shared" si="100"/>
        <v>0</v>
      </c>
      <c r="N392" s="52">
        <v>0</v>
      </c>
      <c r="O392" s="300">
        <f t="shared" si="110"/>
        <v>0</v>
      </c>
      <c r="P392" s="65">
        <v>0</v>
      </c>
      <c r="Q392" s="65">
        <v>0</v>
      </c>
      <c r="R392" s="333">
        <f t="shared" si="111"/>
        <v>0</v>
      </c>
    </row>
    <row r="393" spans="2:18" s="32" customFormat="1" ht="38.25" x14ac:dyDescent="0.2">
      <c r="B393" s="62" t="s">
        <v>188</v>
      </c>
      <c r="C393" s="53" t="s">
        <v>669</v>
      </c>
      <c r="D393" s="53" t="s">
        <v>166</v>
      </c>
      <c r="E393" s="53" t="s">
        <v>45</v>
      </c>
      <c r="F393" s="54" t="s">
        <v>187</v>
      </c>
      <c r="G393" s="60"/>
      <c r="H393" s="52">
        <f>H394+H395+H396</f>
        <v>10215</v>
      </c>
      <c r="I393" s="52">
        <f>I394+I395+I396</f>
        <v>10630.100000000002</v>
      </c>
      <c r="J393" s="300">
        <f t="shared" si="109"/>
        <v>415.10000000000218</v>
      </c>
      <c r="K393" s="52">
        <f>K394+K395+K396</f>
        <v>2105.3000000000002</v>
      </c>
      <c r="L393" s="52">
        <f>L394+L395+L396</f>
        <v>11124.7</v>
      </c>
      <c r="M393" s="300">
        <f t="shared" si="100"/>
        <v>494.59999999999854</v>
      </c>
      <c r="N393" s="52">
        <f>N394+N395+N396</f>
        <v>2105.3000000000002</v>
      </c>
      <c r="O393" s="300">
        <f t="shared" si="110"/>
        <v>0</v>
      </c>
      <c r="P393" s="52">
        <f>P394+P395+P396</f>
        <v>0</v>
      </c>
      <c r="Q393" s="52">
        <f>Q394+Q395+Q396</f>
        <v>0</v>
      </c>
      <c r="R393" s="333">
        <f t="shared" si="111"/>
        <v>0</v>
      </c>
    </row>
    <row r="394" spans="2:18" s="32" customFormat="1" ht="25.5" x14ac:dyDescent="0.2">
      <c r="B394" s="84" t="s">
        <v>73</v>
      </c>
      <c r="C394" s="53" t="s">
        <v>669</v>
      </c>
      <c r="D394" s="53" t="s">
        <v>166</v>
      </c>
      <c r="E394" s="53" t="s">
        <v>45</v>
      </c>
      <c r="F394" s="54" t="s">
        <v>187</v>
      </c>
      <c r="G394" s="60" t="s">
        <v>70</v>
      </c>
      <c r="H394" s="52">
        <f>2500+340+77.3+37.8</f>
        <v>2955.1000000000004</v>
      </c>
      <c r="I394" s="52">
        <f>2500+340+77.3+37.8</f>
        <v>2955.1000000000004</v>
      </c>
      <c r="J394" s="300">
        <f t="shared" si="109"/>
        <v>0</v>
      </c>
      <c r="K394" s="52">
        <v>0</v>
      </c>
      <c r="L394" s="52">
        <f>2500+340+77.3+37.8</f>
        <v>2955.1000000000004</v>
      </c>
      <c r="M394" s="300">
        <f t="shared" si="100"/>
        <v>0</v>
      </c>
      <c r="N394" s="52">
        <v>0</v>
      </c>
      <c r="O394" s="300">
        <f t="shared" si="110"/>
        <v>0</v>
      </c>
      <c r="P394" s="52">
        <v>0</v>
      </c>
      <c r="Q394" s="52">
        <v>0</v>
      </c>
      <c r="R394" s="333">
        <f t="shared" si="111"/>
        <v>0</v>
      </c>
    </row>
    <row r="395" spans="2:18" s="32" customFormat="1" x14ac:dyDescent="0.2">
      <c r="B395" s="95" t="s">
        <v>82</v>
      </c>
      <c r="C395" s="53" t="s">
        <v>669</v>
      </c>
      <c r="D395" s="53" t="s">
        <v>166</v>
      </c>
      <c r="E395" s="53" t="s">
        <v>45</v>
      </c>
      <c r="F395" s="54" t="s">
        <v>187</v>
      </c>
      <c r="G395" s="60" t="s">
        <v>81</v>
      </c>
      <c r="H395" s="52">
        <f>2000+105.3</f>
        <v>2105.3000000000002</v>
      </c>
      <c r="I395" s="52">
        <f>2000+105.3</f>
        <v>2105.3000000000002</v>
      </c>
      <c r="J395" s="300">
        <f t="shared" si="109"/>
        <v>0</v>
      </c>
      <c r="K395" s="52">
        <f>2000+105.3</f>
        <v>2105.3000000000002</v>
      </c>
      <c r="L395" s="52">
        <f>2000+105.3</f>
        <v>2105.3000000000002</v>
      </c>
      <c r="M395" s="300">
        <f t="shared" si="100"/>
        <v>0</v>
      </c>
      <c r="N395" s="52">
        <f>2000+105.3</f>
        <v>2105.3000000000002</v>
      </c>
      <c r="O395" s="300">
        <f t="shared" si="110"/>
        <v>0</v>
      </c>
      <c r="P395" s="52">
        <v>0</v>
      </c>
      <c r="Q395" s="52">
        <v>0</v>
      </c>
      <c r="R395" s="333">
        <f t="shared" si="111"/>
        <v>0</v>
      </c>
    </row>
    <row r="396" spans="2:18" s="32" customFormat="1" x14ac:dyDescent="0.2">
      <c r="B396" s="61" t="s">
        <v>61</v>
      </c>
      <c r="C396" s="53" t="s">
        <v>669</v>
      </c>
      <c r="D396" s="53" t="s">
        <v>166</v>
      </c>
      <c r="E396" s="53" t="s">
        <v>45</v>
      </c>
      <c r="F396" s="54" t="s">
        <v>187</v>
      </c>
      <c r="G396" s="60" t="s">
        <v>57</v>
      </c>
      <c r="H396" s="52">
        <f>5000+154.6</f>
        <v>5154.6000000000004</v>
      </c>
      <c r="I396" s="52">
        <f>5154.6+415.1</f>
        <v>5569.7000000000007</v>
      </c>
      <c r="J396" s="300">
        <f t="shared" si="109"/>
        <v>415.10000000000036</v>
      </c>
      <c r="K396" s="52">
        <v>0</v>
      </c>
      <c r="L396" s="52">
        <f>5569.7-279.7+774.3</f>
        <v>6064.3</v>
      </c>
      <c r="M396" s="300">
        <f t="shared" si="100"/>
        <v>494.59999999999945</v>
      </c>
      <c r="N396" s="52">
        <v>0</v>
      </c>
      <c r="O396" s="300">
        <f t="shared" si="110"/>
        <v>0</v>
      </c>
      <c r="P396" s="52">
        <v>0</v>
      </c>
      <c r="Q396" s="52">
        <v>0</v>
      </c>
      <c r="R396" s="333">
        <f t="shared" si="111"/>
        <v>0</v>
      </c>
    </row>
    <row r="397" spans="2:18" s="32" customFormat="1" ht="30.75" customHeight="1" x14ac:dyDescent="0.2">
      <c r="B397" s="64" t="s">
        <v>186</v>
      </c>
      <c r="C397" s="53" t="s">
        <v>669</v>
      </c>
      <c r="D397" s="53" t="s">
        <v>166</v>
      </c>
      <c r="E397" s="53" t="s">
        <v>45</v>
      </c>
      <c r="F397" s="54" t="s">
        <v>185</v>
      </c>
      <c r="G397" s="53"/>
      <c r="H397" s="52">
        <f>H398+H399+H400</f>
        <v>2852</v>
      </c>
      <c r="I397" s="52">
        <f>I398+I399+I400</f>
        <v>2852</v>
      </c>
      <c r="J397" s="300">
        <f t="shared" si="109"/>
        <v>0</v>
      </c>
      <c r="K397" s="52">
        <f>K398+K399+K400</f>
        <v>0</v>
      </c>
      <c r="L397" s="52">
        <f>L398+L399+L400</f>
        <v>2852</v>
      </c>
      <c r="M397" s="300">
        <f t="shared" si="100"/>
        <v>0</v>
      </c>
      <c r="N397" s="52">
        <f>N398+N399+N400</f>
        <v>0</v>
      </c>
      <c r="O397" s="300">
        <f t="shared" si="110"/>
        <v>0</v>
      </c>
      <c r="P397" s="52">
        <f>P398+P399+P400</f>
        <v>0</v>
      </c>
      <c r="Q397" s="52">
        <f>Q398+Q399+Q400</f>
        <v>0</v>
      </c>
      <c r="R397" s="333">
        <f t="shared" si="111"/>
        <v>0</v>
      </c>
    </row>
    <row r="398" spans="2:18" s="32" customFormat="1" ht="25.5" x14ac:dyDescent="0.2">
      <c r="B398" s="84" t="s">
        <v>73</v>
      </c>
      <c r="C398" s="53" t="s">
        <v>669</v>
      </c>
      <c r="D398" s="53" t="s">
        <v>166</v>
      </c>
      <c r="E398" s="53" t="s">
        <v>45</v>
      </c>
      <c r="F398" s="54" t="s">
        <v>185</v>
      </c>
      <c r="G398" s="60" t="s">
        <v>70</v>
      </c>
      <c r="H398" s="52">
        <f>2800+52</f>
        <v>2852</v>
      </c>
      <c r="I398" s="52">
        <f>2800+52</f>
        <v>2852</v>
      </c>
      <c r="J398" s="300">
        <f t="shared" si="109"/>
        <v>0</v>
      </c>
      <c r="K398" s="52">
        <v>0</v>
      </c>
      <c r="L398" s="52">
        <f>2800+52</f>
        <v>2852</v>
      </c>
      <c r="M398" s="300">
        <f t="shared" ref="M398:M461" si="126">L398-I398</f>
        <v>0</v>
      </c>
      <c r="N398" s="52">
        <v>0</v>
      </c>
      <c r="O398" s="300">
        <f t="shared" si="110"/>
        <v>0</v>
      </c>
      <c r="P398" s="52">
        <v>0</v>
      </c>
      <c r="Q398" s="52">
        <v>0</v>
      </c>
      <c r="R398" s="333">
        <f t="shared" si="111"/>
        <v>0</v>
      </c>
    </row>
    <row r="399" spans="2:18" s="32" customFormat="1" hidden="1" x14ac:dyDescent="0.2">
      <c r="B399" s="95" t="s">
        <v>82</v>
      </c>
      <c r="C399" s="53" t="s">
        <v>669</v>
      </c>
      <c r="D399" s="53" t="s">
        <v>166</v>
      </c>
      <c r="E399" s="53" t="s">
        <v>45</v>
      </c>
      <c r="F399" s="54" t="s">
        <v>1093</v>
      </c>
      <c r="G399" s="60" t="s">
        <v>81</v>
      </c>
      <c r="H399" s="52"/>
      <c r="I399" s="52"/>
      <c r="J399" s="300">
        <f t="shared" si="109"/>
        <v>0</v>
      </c>
      <c r="K399" s="52"/>
      <c r="L399" s="52"/>
      <c r="M399" s="300">
        <f t="shared" si="126"/>
        <v>0</v>
      </c>
      <c r="N399" s="52"/>
      <c r="O399" s="300">
        <f t="shared" si="110"/>
        <v>0</v>
      </c>
      <c r="P399" s="52">
        <v>0</v>
      </c>
      <c r="Q399" s="52">
        <v>0</v>
      </c>
      <c r="R399" s="333">
        <f t="shared" si="111"/>
        <v>0</v>
      </c>
    </row>
    <row r="400" spans="2:18" s="32" customFormat="1" hidden="1" x14ac:dyDescent="0.2">
      <c r="B400" s="61" t="s">
        <v>61</v>
      </c>
      <c r="C400" s="53" t="s">
        <v>669</v>
      </c>
      <c r="D400" s="53" t="s">
        <v>166</v>
      </c>
      <c r="E400" s="53" t="s">
        <v>45</v>
      </c>
      <c r="F400" s="54" t="s">
        <v>1093</v>
      </c>
      <c r="G400" s="60" t="s">
        <v>57</v>
      </c>
      <c r="H400" s="52">
        <v>0</v>
      </c>
      <c r="I400" s="52">
        <v>0</v>
      </c>
      <c r="J400" s="300">
        <f t="shared" si="109"/>
        <v>0</v>
      </c>
      <c r="K400" s="52">
        <v>0</v>
      </c>
      <c r="L400" s="52">
        <v>0</v>
      </c>
      <c r="M400" s="300">
        <f t="shared" si="126"/>
        <v>0</v>
      </c>
      <c r="N400" s="52">
        <v>0</v>
      </c>
      <c r="O400" s="300">
        <f t="shared" si="110"/>
        <v>0</v>
      </c>
      <c r="P400" s="52">
        <v>0</v>
      </c>
      <c r="Q400" s="52">
        <v>0</v>
      </c>
      <c r="R400" s="333">
        <f t="shared" si="111"/>
        <v>0</v>
      </c>
    </row>
    <row r="401" spans="2:21" s="32" customFormat="1" x14ac:dyDescent="0.2">
      <c r="B401" s="84" t="s">
        <v>184</v>
      </c>
      <c r="C401" s="53" t="s">
        <v>669</v>
      </c>
      <c r="D401" s="53" t="s">
        <v>166</v>
      </c>
      <c r="E401" s="53" t="s">
        <v>45</v>
      </c>
      <c r="F401" s="54" t="s">
        <v>183</v>
      </c>
      <c r="G401" s="60"/>
      <c r="H401" s="52">
        <f t="shared" ref="H401:Q402" si="127">H402</f>
        <v>100</v>
      </c>
      <c r="I401" s="52">
        <f t="shared" si="127"/>
        <v>100</v>
      </c>
      <c r="J401" s="300">
        <f t="shared" si="109"/>
        <v>0</v>
      </c>
      <c r="K401" s="52">
        <f t="shared" si="127"/>
        <v>0</v>
      </c>
      <c r="L401" s="52">
        <f t="shared" si="127"/>
        <v>100</v>
      </c>
      <c r="M401" s="300">
        <f t="shared" si="126"/>
        <v>0</v>
      </c>
      <c r="N401" s="52">
        <f t="shared" si="127"/>
        <v>0</v>
      </c>
      <c r="O401" s="300">
        <f t="shared" si="110"/>
        <v>0</v>
      </c>
      <c r="P401" s="52">
        <f t="shared" si="127"/>
        <v>0</v>
      </c>
      <c r="Q401" s="52">
        <f t="shared" si="127"/>
        <v>0</v>
      </c>
      <c r="R401" s="333">
        <f t="shared" si="111"/>
        <v>0</v>
      </c>
    </row>
    <row r="402" spans="2:21" s="32" customFormat="1" ht="25.5" x14ac:dyDescent="0.2">
      <c r="B402" s="56" t="s">
        <v>182</v>
      </c>
      <c r="C402" s="53" t="s">
        <v>669</v>
      </c>
      <c r="D402" s="53" t="s">
        <v>166</v>
      </c>
      <c r="E402" s="53" t="s">
        <v>45</v>
      </c>
      <c r="F402" s="54" t="s">
        <v>181</v>
      </c>
      <c r="G402" s="60"/>
      <c r="H402" s="52">
        <f t="shared" si="127"/>
        <v>100</v>
      </c>
      <c r="I402" s="52">
        <f t="shared" si="127"/>
        <v>100</v>
      </c>
      <c r="J402" s="300">
        <f t="shared" si="109"/>
        <v>0</v>
      </c>
      <c r="K402" s="52">
        <f t="shared" si="127"/>
        <v>0</v>
      </c>
      <c r="L402" s="52">
        <f t="shared" si="127"/>
        <v>100</v>
      </c>
      <c r="M402" s="300">
        <f t="shared" si="126"/>
        <v>0</v>
      </c>
      <c r="N402" s="52">
        <f t="shared" si="127"/>
        <v>0</v>
      </c>
      <c r="O402" s="300">
        <f t="shared" si="110"/>
        <v>0</v>
      </c>
      <c r="P402" s="52">
        <f t="shared" si="127"/>
        <v>0</v>
      </c>
      <c r="Q402" s="52">
        <f t="shared" si="127"/>
        <v>0</v>
      </c>
      <c r="R402" s="333">
        <f t="shared" si="111"/>
        <v>0</v>
      </c>
    </row>
    <row r="403" spans="2:21" s="32" customFormat="1" x14ac:dyDescent="0.2">
      <c r="B403" s="64" t="s">
        <v>82</v>
      </c>
      <c r="C403" s="53" t="s">
        <v>669</v>
      </c>
      <c r="D403" s="53" t="s">
        <v>166</v>
      </c>
      <c r="E403" s="53" t="s">
        <v>45</v>
      </c>
      <c r="F403" s="54" t="s">
        <v>181</v>
      </c>
      <c r="G403" s="60" t="s">
        <v>81</v>
      </c>
      <c r="H403" s="52">
        <f>100</f>
        <v>100</v>
      </c>
      <c r="I403" s="52">
        <f>100</f>
        <v>100</v>
      </c>
      <c r="J403" s="300">
        <f t="shared" si="109"/>
        <v>0</v>
      </c>
      <c r="K403" s="52">
        <v>0</v>
      </c>
      <c r="L403" s="52">
        <f>100</f>
        <v>100</v>
      </c>
      <c r="M403" s="300">
        <f t="shared" si="126"/>
        <v>0</v>
      </c>
      <c r="N403" s="52">
        <v>0</v>
      </c>
      <c r="O403" s="300">
        <f t="shared" si="110"/>
        <v>0</v>
      </c>
      <c r="P403" s="52">
        <v>0</v>
      </c>
      <c r="Q403" s="52">
        <v>0</v>
      </c>
      <c r="R403" s="333">
        <f t="shared" si="111"/>
        <v>0</v>
      </c>
    </row>
    <row r="404" spans="2:21" s="32" customFormat="1" ht="53.25" customHeight="1" x14ac:dyDescent="0.2">
      <c r="B404" s="56" t="s">
        <v>1124</v>
      </c>
      <c r="C404" s="53" t="s">
        <v>669</v>
      </c>
      <c r="D404" s="53" t="s">
        <v>166</v>
      </c>
      <c r="E404" s="53" t="s">
        <v>45</v>
      </c>
      <c r="F404" s="54" t="s">
        <v>1107</v>
      </c>
      <c r="G404" s="60"/>
      <c r="H404" s="52"/>
      <c r="I404" s="52">
        <f>I405</f>
        <v>0</v>
      </c>
      <c r="J404" s="52">
        <f t="shared" ref="J404:R405" si="128">J405</f>
        <v>0</v>
      </c>
      <c r="K404" s="52">
        <f t="shared" si="128"/>
        <v>0</v>
      </c>
      <c r="L404" s="52">
        <f t="shared" si="128"/>
        <v>66.7</v>
      </c>
      <c r="M404" s="300">
        <f t="shared" si="126"/>
        <v>66.7</v>
      </c>
      <c r="N404" s="52">
        <f t="shared" si="128"/>
        <v>0</v>
      </c>
      <c r="O404" s="52">
        <f t="shared" si="128"/>
        <v>0</v>
      </c>
      <c r="P404" s="52">
        <f t="shared" si="128"/>
        <v>0</v>
      </c>
      <c r="Q404" s="52">
        <f t="shared" si="128"/>
        <v>0</v>
      </c>
      <c r="R404" s="52">
        <f t="shared" si="128"/>
        <v>0</v>
      </c>
    </row>
    <row r="405" spans="2:21" s="32" customFormat="1" ht="25.5" x14ac:dyDescent="0.2">
      <c r="B405" s="64" t="s">
        <v>1106</v>
      </c>
      <c r="C405" s="53" t="s">
        <v>669</v>
      </c>
      <c r="D405" s="53" t="s">
        <v>166</v>
      </c>
      <c r="E405" s="53" t="s">
        <v>45</v>
      </c>
      <c r="F405" s="54" t="s">
        <v>1105</v>
      </c>
      <c r="G405" s="60"/>
      <c r="H405" s="52"/>
      <c r="I405" s="52">
        <f>I406</f>
        <v>0</v>
      </c>
      <c r="J405" s="52">
        <f t="shared" si="128"/>
        <v>0</v>
      </c>
      <c r="K405" s="52">
        <f t="shared" si="128"/>
        <v>0</v>
      </c>
      <c r="L405" s="52">
        <f t="shared" si="128"/>
        <v>66.7</v>
      </c>
      <c r="M405" s="300">
        <f t="shared" si="126"/>
        <v>66.7</v>
      </c>
      <c r="N405" s="52">
        <f t="shared" si="128"/>
        <v>0</v>
      </c>
      <c r="O405" s="52">
        <f t="shared" si="128"/>
        <v>0</v>
      </c>
      <c r="P405" s="52">
        <f t="shared" si="128"/>
        <v>0</v>
      </c>
      <c r="Q405" s="52">
        <f t="shared" si="128"/>
        <v>0</v>
      </c>
      <c r="R405" s="333"/>
    </row>
    <row r="406" spans="2:21" s="32" customFormat="1" x14ac:dyDescent="0.2">
      <c r="B406" s="61" t="s">
        <v>61</v>
      </c>
      <c r="C406" s="53" t="s">
        <v>669</v>
      </c>
      <c r="D406" s="53" t="s">
        <v>166</v>
      </c>
      <c r="E406" s="53" t="s">
        <v>45</v>
      </c>
      <c r="F406" s="54" t="s">
        <v>1105</v>
      </c>
      <c r="G406" s="60" t="s">
        <v>57</v>
      </c>
      <c r="H406" s="52"/>
      <c r="I406" s="52">
        <v>0</v>
      </c>
      <c r="J406" s="300"/>
      <c r="K406" s="52"/>
      <c r="L406" s="52">
        <v>66.7</v>
      </c>
      <c r="M406" s="300">
        <f t="shared" si="126"/>
        <v>66.7</v>
      </c>
      <c r="N406" s="52">
        <v>0</v>
      </c>
      <c r="O406" s="300"/>
      <c r="P406" s="52"/>
      <c r="Q406" s="52">
        <v>0</v>
      </c>
      <c r="R406" s="333"/>
    </row>
    <row r="407" spans="2:21" s="32" customFormat="1" x14ac:dyDescent="0.2">
      <c r="B407" s="61" t="s">
        <v>52</v>
      </c>
      <c r="C407" s="53" t="s">
        <v>669</v>
      </c>
      <c r="D407" s="53" t="s">
        <v>166</v>
      </c>
      <c r="E407" s="53" t="s">
        <v>45</v>
      </c>
      <c r="F407" s="54" t="s">
        <v>92</v>
      </c>
      <c r="G407" s="60"/>
      <c r="H407" s="52">
        <f>H408+H413</f>
        <v>64716.5</v>
      </c>
      <c r="I407" s="52">
        <f>I408+I413</f>
        <v>64948.900000000009</v>
      </c>
      <c r="J407" s="300">
        <f t="shared" si="109"/>
        <v>232.40000000000873</v>
      </c>
      <c r="K407" s="52">
        <f>K408+K413</f>
        <v>69132.600000000006</v>
      </c>
      <c r="L407" s="52">
        <f>L408+L413</f>
        <v>62471.5</v>
      </c>
      <c r="M407" s="300">
        <f t="shared" si="126"/>
        <v>-2477.4000000000087</v>
      </c>
      <c r="N407" s="52">
        <f>N408+N413</f>
        <v>69132.600000000006</v>
      </c>
      <c r="O407" s="300">
        <f t="shared" si="110"/>
        <v>0</v>
      </c>
      <c r="P407" s="52">
        <f>P408+P413</f>
        <v>69032.600000000006</v>
      </c>
      <c r="Q407" s="52">
        <f>Q408+Q413</f>
        <v>69032.600000000006</v>
      </c>
      <c r="R407" s="333">
        <f t="shared" si="111"/>
        <v>0</v>
      </c>
    </row>
    <row r="408" spans="2:21" s="32" customFormat="1" ht="29.25" customHeight="1" x14ac:dyDescent="0.2">
      <c r="B408" s="62" t="s">
        <v>180</v>
      </c>
      <c r="C408" s="53" t="s">
        <v>669</v>
      </c>
      <c r="D408" s="53" t="s">
        <v>166</v>
      </c>
      <c r="E408" s="53" t="s">
        <v>45</v>
      </c>
      <c r="F408" s="54" t="s">
        <v>179</v>
      </c>
      <c r="G408" s="60"/>
      <c r="H408" s="52">
        <f>H409</f>
        <v>530</v>
      </c>
      <c r="I408" s="52">
        <f>I409</f>
        <v>530</v>
      </c>
      <c r="J408" s="300">
        <f t="shared" si="109"/>
        <v>0</v>
      </c>
      <c r="K408" s="52">
        <f>K409</f>
        <v>504.9</v>
      </c>
      <c r="L408" s="52">
        <f>L409</f>
        <v>530</v>
      </c>
      <c r="M408" s="300">
        <f t="shared" si="126"/>
        <v>0</v>
      </c>
      <c r="N408" s="52">
        <f>N409</f>
        <v>504.9</v>
      </c>
      <c r="O408" s="300">
        <f t="shared" si="110"/>
        <v>0</v>
      </c>
      <c r="P408" s="52">
        <f>P409</f>
        <v>504.9</v>
      </c>
      <c r="Q408" s="52">
        <f>Q409</f>
        <v>504.9</v>
      </c>
      <c r="R408" s="333">
        <f t="shared" si="111"/>
        <v>0</v>
      </c>
    </row>
    <row r="409" spans="2:21" s="32" customFormat="1" x14ac:dyDescent="0.2">
      <c r="B409" s="95" t="s">
        <v>178</v>
      </c>
      <c r="C409" s="53" t="s">
        <v>669</v>
      </c>
      <c r="D409" s="53" t="s">
        <v>166</v>
      </c>
      <c r="E409" s="53" t="s">
        <v>45</v>
      </c>
      <c r="F409" s="54" t="s">
        <v>177</v>
      </c>
      <c r="G409" s="60"/>
      <c r="H409" s="52">
        <f>H410+H411+H412</f>
        <v>530</v>
      </c>
      <c r="I409" s="52">
        <f>I410+I411+I412</f>
        <v>530</v>
      </c>
      <c r="J409" s="300">
        <f t="shared" si="109"/>
        <v>0</v>
      </c>
      <c r="K409" s="52">
        <f>K410+K411+K412</f>
        <v>504.9</v>
      </c>
      <c r="L409" s="52">
        <f>L410+L411+L412</f>
        <v>530</v>
      </c>
      <c r="M409" s="300">
        <f t="shared" si="126"/>
        <v>0</v>
      </c>
      <c r="N409" s="52">
        <f>N410+N411+N412</f>
        <v>504.9</v>
      </c>
      <c r="O409" s="300">
        <f t="shared" si="110"/>
        <v>0</v>
      </c>
      <c r="P409" s="52">
        <f>P410+P411+P412</f>
        <v>504.9</v>
      </c>
      <c r="Q409" s="52">
        <f>Q410+Q411+Q412</f>
        <v>504.9</v>
      </c>
      <c r="R409" s="333">
        <f t="shared" si="111"/>
        <v>0</v>
      </c>
    </row>
    <row r="410" spans="2:21" s="32" customFormat="1" ht="25.5" x14ac:dyDescent="0.2">
      <c r="B410" s="84" t="s">
        <v>73</v>
      </c>
      <c r="C410" s="53" t="s">
        <v>669</v>
      </c>
      <c r="D410" s="53" t="s">
        <v>166</v>
      </c>
      <c r="E410" s="53" t="s">
        <v>45</v>
      </c>
      <c r="F410" s="54" t="s">
        <v>177</v>
      </c>
      <c r="G410" s="60" t="s">
        <v>70</v>
      </c>
      <c r="H410" s="52">
        <v>320</v>
      </c>
      <c r="I410" s="52">
        <v>320</v>
      </c>
      <c r="J410" s="300">
        <f t="shared" si="109"/>
        <v>0</v>
      </c>
      <c r="K410" s="52">
        <v>319.89999999999998</v>
      </c>
      <c r="L410" s="52">
        <v>320</v>
      </c>
      <c r="M410" s="300">
        <f t="shared" si="126"/>
        <v>0</v>
      </c>
      <c r="N410" s="52">
        <v>319.89999999999998</v>
      </c>
      <c r="O410" s="300">
        <f t="shared" si="110"/>
        <v>0</v>
      </c>
      <c r="P410" s="52">
        <v>319.89999999999998</v>
      </c>
      <c r="Q410" s="52">
        <v>319.89999999999998</v>
      </c>
      <c r="R410" s="333">
        <f t="shared" si="111"/>
        <v>0</v>
      </c>
    </row>
    <row r="411" spans="2:21" s="32" customFormat="1" x14ac:dyDescent="0.2">
      <c r="B411" s="95" t="s">
        <v>82</v>
      </c>
      <c r="C411" s="53" t="s">
        <v>669</v>
      </c>
      <c r="D411" s="53" t="s">
        <v>166</v>
      </c>
      <c r="E411" s="53" t="s">
        <v>45</v>
      </c>
      <c r="F411" s="54" t="s">
        <v>177</v>
      </c>
      <c r="G411" s="60" t="s">
        <v>81</v>
      </c>
      <c r="H411" s="52">
        <v>160</v>
      </c>
      <c r="I411" s="52">
        <v>160</v>
      </c>
      <c r="J411" s="300">
        <f t="shared" si="109"/>
        <v>0</v>
      </c>
      <c r="K411" s="52">
        <v>135</v>
      </c>
      <c r="L411" s="52">
        <v>160</v>
      </c>
      <c r="M411" s="300">
        <f t="shared" si="126"/>
        <v>0</v>
      </c>
      <c r="N411" s="52">
        <v>135</v>
      </c>
      <c r="O411" s="300">
        <f t="shared" si="110"/>
        <v>0</v>
      </c>
      <c r="P411" s="65">
        <v>135</v>
      </c>
      <c r="Q411" s="65">
        <v>135</v>
      </c>
      <c r="R411" s="333">
        <f t="shared" si="111"/>
        <v>0</v>
      </c>
    </row>
    <row r="412" spans="2:21" s="32" customFormat="1" x14ac:dyDescent="0.2">
      <c r="B412" s="61" t="s">
        <v>61</v>
      </c>
      <c r="C412" s="53" t="s">
        <v>669</v>
      </c>
      <c r="D412" s="53" t="s">
        <v>166</v>
      </c>
      <c r="E412" s="53" t="s">
        <v>45</v>
      </c>
      <c r="F412" s="54" t="s">
        <v>177</v>
      </c>
      <c r="G412" s="60" t="s">
        <v>57</v>
      </c>
      <c r="H412" s="52">
        <v>50</v>
      </c>
      <c r="I412" s="52">
        <v>50</v>
      </c>
      <c r="J412" s="300">
        <f t="shared" si="109"/>
        <v>0</v>
      </c>
      <c r="K412" s="52">
        <v>50</v>
      </c>
      <c r="L412" s="52">
        <v>50</v>
      </c>
      <c r="M412" s="300">
        <f t="shared" si="126"/>
        <v>0</v>
      </c>
      <c r="N412" s="52">
        <v>50</v>
      </c>
      <c r="O412" s="300">
        <f t="shared" si="110"/>
        <v>0</v>
      </c>
      <c r="P412" s="65">
        <v>50</v>
      </c>
      <c r="Q412" s="65">
        <v>50</v>
      </c>
      <c r="R412" s="333">
        <f t="shared" si="111"/>
        <v>0</v>
      </c>
    </row>
    <row r="413" spans="2:21" s="32" customFormat="1" ht="25.5" x14ac:dyDescent="0.2">
      <c r="B413" s="62" t="s">
        <v>176</v>
      </c>
      <c r="C413" s="53" t="s">
        <v>669</v>
      </c>
      <c r="D413" s="53" t="s">
        <v>166</v>
      </c>
      <c r="E413" s="53" t="s">
        <v>45</v>
      </c>
      <c r="F413" s="54" t="s">
        <v>175</v>
      </c>
      <c r="G413" s="60"/>
      <c r="H413" s="52">
        <f>H414+H420</f>
        <v>64186.5</v>
      </c>
      <c r="I413" s="52">
        <f>I414+I420</f>
        <v>64418.900000000009</v>
      </c>
      <c r="J413" s="300">
        <f t="shared" si="109"/>
        <v>232.40000000000873</v>
      </c>
      <c r="K413" s="52">
        <f>K414+K420</f>
        <v>68627.700000000012</v>
      </c>
      <c r="L413" s="52">
        <f>L414+L420</f>
        <v>61941.5</v>
      </c>
      <c r="M413" s="300">
        <f t="shared" si="126"/>
        <v>-2477.4000000000087</v>
      </c>
      <c r="N413" s="52">
        <f>N414+N420</f>
        <v>68627.700000000012</v>
      </c>
      <c r="O413" s="300">
        <f t="shared" si="110"/>
        <v>0</v>
      </c>
      <c r="P413" s="52">
        <f>P414+P420</f>
        <v>68527.700000000012</v>
      </c>
      <c r="Q413" s="52">
        <f>Q414+Q420</f>
        <v>68527.700000000012</v>
      </c>
      <c r="R413" s="333">
        <f t="shared" si="111"/>
        <v>0</v>
      </c>
    </row>
    <row r="414" spans="2:21" s="32" customFormat="1" ht="25.5" x14ac:dyDescent="0.2">
      <c r="B414" s="62" t="s">
        <v>174</v>
      </c>
      <c r="C414" s="53" t="s">
        <v>669</v>
      </c>
      <c r="D414" s="53" t="s">
        <v>166</v>
      </c>
      <c r="E414" s="53" t="s">
        <v>45</v>
      </c>
      <c r="F414" s="54" t="s">
        <v>173</v>
      </c>
      <c r="G414" s="60"/>
      <c r="H414" s="52">
        <f>H415+H416+H417+H418+H419</f>
        <v>34651.800000000003</v>
      </c>
      <c r="I414" s="52">
        <f t="shared" ref="I414:Q414" si="129">I415+I416+I417+I418+I419</f>
        <v>34884.200000000004</v>
      </c>
      <c r="J414" s="300">
        <f t="shared" si="109"/>
        <v>232.40000000000146</v>
      </c>
      <c r="K414" s="52">
        <f t="shared" si="129"/>
        <v>39038.600000000006</v>
      </c>
      <c r="L414" s="52">
        <f t="shared" si="129"/>
        <v>32406.800000000003</v>
      </c>
      <c r="M414" s="300">
        <f t="shared" si="126"/>
        <v>-2477.4000000000015</v>
      </c>
      <c r="N414" s="52">
        <f t="shared" si="129"/>
        <v>39038.600000000006</v>
      </c>
      <c r="O414" s="300">
        <f t="shared" si="110"/>
        <v>0</v>
      </c>
      <c r="P414" s="52">
        <f t="shared" si="129"/>
        <v>38938.600000000006</v>
      </c>
      <c r="Q414" s="52">
        <f t="shared" si="129"/>
        <v>38938.600000000006</v>
      </c>
      <c r="R414" s="333">
        <f t="shared" si="111"/>
        <v>0</v>
      </c>
    </row>
    <row r="415" spans="2:21" s="32" customFormat="1" x14ac:dyDescent="0.2">
      <c r="B415" s="84" t="s">
        <v>145</v>
      </c>
      <c r="C415" s="53" t="s">
        <v>669</v>
      </c>
      <c r="D415" s="53" t="s">
        <v>166</v>
      </c>
      <c r="E415" s="53" t="s">
        <v>45</v>
      </c>
      <c r="F415" s="54" t="s">
        <v>173</v>
      </c>
      <c r="G415" s="60" t="s">
        <v>144</v>
      </c>
      <c r="H415" s="52">
        <v>45.2</v>
      </c>
      <c r="I415" s="52">
        <f>45.2-0.1+200</f>
        <v>245.1</v>
      </c>
      <c r="J415" s="300">
        <f t="shared" si="109"/>
        <v>199.89999999999998</v>
      </c>
      <c r="K415" s="52">
        <v>45.2</v>
      </c>
      <c r="L415" s="52">
        <f>45.2-0.1+200</f>
        <v>245.1</v>
      </c>
      <c r="M415" s="300">
        <f t="shared" si="126"/>
        <v>0</v>
      </c>
      <c r="N415" s="52">
        <v>45.2</v>
      </c>
      <c r="O415" s="300">
        <f t="shared" si="110"/>
        <v>0</v>
      </c>
      <c r="P415" s="65">
        <v>45.2</v>
      </c>
      <c r="Q415" s="65">
        <v>45.2</v>
      </c>
      <c r="R415" s="333">
        <f t="shared" si="111"/>
        <v>0</v>
      </c>
    </row>
    <row r="416" spans="2:21" s="32" customFormat="1" ht="25.5" x14ac:dyDescent="0.2">
      <c r="B416" s="84" t="s">
        <v>73</v>
      </c>
      <c r="C416" s="53" t="s">
        <v>669</v>
      </c>
      <c r="D416" s="53" t="s">
        <v>166</v>
      </c>
      <c r="E416" s="53" t="s">
        <v>45</v>
      </c>
      <c r="F416" s="54" t="s">
        <v>173</v>
      </c>
      <c r="G416" s="60" t="s">
        <v>70</v>
      </c>
      <c r="H416" s="52">
        <v>3800</v>
      </c>
      <c r="I416" s="52">
        <v>3800</v>
      </c>
      <c r="J416" s="300">
        <f t="shared" si="109"/>
        <v>0</v>
      </c>
      <c r="K416" s="52">
        <v>3800</v>
      </c>
      <c r="L416" s="52">
        <f>3800-600-119.3</f>
        <v>3080.7</v>
      </c>
      <c r="M416" s="300">
        <f t="shared" si="126"/>
        <v>-719.30000000000018</v>
      </c>
      <c r="N416" s="52">
        <v>3800</v>
      </c>
      <c r="O416" s="300">
        <f t="shared" si="110"/>
        <v>0</v>
      </c>
      <c r="P416" s="52">
        <v>3800</v>
      </c>
      <c r="Q416" s="52">
        <v>3800</v>
      </c>
      <c r="R416" s="333">
        <f t="shared" si="111"/>
        <v>0</v>
      </c>
      <c r="S416" s="39"/>
      <c r="T416" s="234"/>
      <c r="U416" s="40"/>
    </row>
    <row r="417" spans="2:21" s="32" customFormat="1" x14ac:dyDescent="0.2">
      <c r="B417" s="95" t="s">
        <v>82</v>
      </c>
      <c r="C417" s="53" t="s">
        <v>669</v>
      </c>
      <c r="D417" s="53" t="s">
        <v>166</v>
      </c>
      <c r="E417" s="53" t="s">
        <v>45</v>
      </c>
      <c r="F417" s="54" t="s">
        <v>173</v>
      </c>
      <c r="G417" s="60" t="s">
        <v>81</v>
      </c>
      <c r="H417" s="52">
        <f>6060.6-250+1154.5+1666.5</f>
        <v>8631.6</v>
      </c>
      <c r="I417" s="52">
        <f>8631.6+383.2</f>
        <v>9014.8000000000011</v>
      </c>
      <c r="J417" s="300">
        <f t="shared" si="109"/>
        <v>383.20000000000073</v>
      </c>
      <c r="K417" s="52">
        <f>5330+1154.5+1666.5</f>
        <v>8151</v>
      </c>
      <c r="L417" s="52">
        <f>8631.6+383.2</f>
        <v>9014.8000000000011</v>
      </c>
      <c r="M417" s="300">
        <f t="shared" si="126"/>
        <v>0</v>
      </c>
      <c r="N417" s="52">
        <f>5330+1154.5+1666.5</f>
        <v>8151</v>
      </c>
      <c r="O417" s="300">
        <f t="shared" si="110"/>
        <v>0</v>
      </c>
      <c r="P417" s="65">
        <f>5330+1154.5+1666.5</f>
        <v>8151</v>
      </c>
      <c r="Q417" s="65">
        <f>5330+1154.5+1666.5</f>
        <v>8151</v>
      </c>
      <c r="R417" s="333">
        <f t="shared" si="111"/>
        <v>0</v>
      </c>
      <c r="S417" s="39"/>
      <c r="T417" s="40"/>
      <c r="U417" s="40"/>
    </row>
    <row r="418" spans="2:21" s="32" customFormat="1" x14ac:dyDescent="0.2">
      <c r="B418" s="61" t="s">
        <v>61</v>
      </c>
      <c r="C418" s="53" t="s">
        <v>669</v>
      </c>
      <c r="D418" s="53" t="s">
        <v>166</v>
      </c>
      <c r="E418" s="53" t="s">
        <v>45</v>
      </c>
      <c r="F418" s="54" t="s">
        <v>173</v>
      </c>
      <c r="G418" s="60" t="s">
        <v>57</v>
      </c>
      <c r="H418" s="52">
        <f>26242.4+150+267.2-266-1300-66.6-2800-52</f>
        <v>22175.000000000004</v>
      </c>
      <c r="I418" s="52">
        <f>22175+64.3-415.1</f>
        <v>21824.2</v>
      </c>
      <c r="J418" s="300">
        <f t="shared" si="109"/>
        <v>-350.80000000000291</v>
      </c>
      <c r="K418" s="52">
        <f>26242.4+800</f>
        <v>27042.400000000001</v>
      </c>
      <c r="L418" s="52">
        <f>21824.2-1000+279.7-97.7-165.8-774.3</f>
        <v>20066.100000000002</v>
      </c>
      <c r="M418" s="300">
        <f t="shared" si="126"/>
        <v>-1758.0999999999985</v>
      </c>
      <c r="N418" s="52">
        <f>26242.4+800</f>
        <v>27042.400000000001</v>
      </c>
      <c r="O418" s="300">
        <f t="shared" si="110"/>
        <v>0</v>
      </c>
      <c r="P418" s="52">
        <f>26242.4+700</f>
        <v>26942.400000000001</v>
      </c>
      <c r="Q418" s="52">
        <f>26242.4+700</f>
        <v>26942.400000000001</v>
      </c>
      <c r="R418" s="333">
        <f t="shared" si="111"/>
        <v>0</v>
      </c>
      <c r="S418" s="39"/>
      <c r="T418" s="40"/>
      <c r="U418" s="39"/>
    </row>
    <row r="419" spans="2:21" s="32" customFormat="1" x14ac:dyDescent="0.2">
      <c r="B419" s="96" t="s">
        <v>322</v>
      </c>
      <c r="C419" s="53" t="s">
        <v>669</v>
      </c>
      <c r="D419" s="53" t="s">
        <v>166</v>
      </c>
      <c r="E419" s="53" t="s">
        <v>45</v>
      </c>
      <c r="F419" s="54" t="s">
        <v>173</v>
      </c>
      <c r="G419" s="60" t="s">
        <v>320</v>
      </c>
      <c r="H419" s="52">
        <v>0</v>
      </c>
      <c r="I419" s="52">
        <v>0.1</v>
      </c>
      <c r="J419" s="300">
        <f t="shared" si="109"/>
        <v>0.1</v>
      </c>
      <c r="K419" s="52">
        <v>0</v>
      </c>
      <c r="L419" s="52">
        <v>0.1</v>
      </c>
      <c r="M419" s="300">
        <f t="shared" si="126"/>
        <v>0</v>
      </c>
      <c r="N419" s="52">
        <v>0</v>
      </c>
      <c r="O419" s="300">
        <f t="shared" si="110"/>
        <v>0</v>
      </c>
      <c r="P419" s="52">
        <v>0</v>
      </c>
      <c r="Q419" s="52">
        <v>0</v>
      </c>
      <c r="R419" s="333">
        <f t="shared" si="111"/>
        <v>0</v>
      </c>
    </row>
    <row r="420" spans="2:21" s="32" customFormat="1" ht="25.5" x14ac:dyDescent="0.2">
      <c r="B420" s="64" t="s">
        <v>88</v>
      </c>
      <c r="C420" s="53" t="s">
        <v>669</v>
      </c>
      <c r="D420" s="53" t="s">
        <v>166</v>
      </c>
      <c r="E420" s="53" t="s">
        <v>45</v>
      </c>
      <c r="F420" s="54" t="s">
        <v>172</v>
      </c>
      <c r="G420" s="60"/>
      <c r="H420" s="52">
        <f>H421+H422+H423</f>
        <v>29534.7</v>
      </c>
      <c r="I420" s="52">
        <f>I421+I422+I423</f>
        <v>29534.7</v>
      </c>
      <c r="J420" s="300">
        <f t="shared" si="109"/>
        <v>0</v>
      </c>
      <c r="K420" s="52">
        <f>K421+K422+K423</f>
        <v>29589.1</v>
      </c>
      <c r="L420" s="52">
        <f>L421+L422+L423</f>
        <v>29534.7</v>
      </c>
      <c r="M420" s="300">
        <f t="shared" si="126"/>
        <v>0</v>
      </c>
      <c r="N420" s="52">
        <f>N421+N422+N423</f>
        <v>29589.1</v>
      </c>
      <c r="O420" s="300">
        <f t="shared" si="110"/>
        <v>0</v>
      </c>
      <c r="P420" s="52">
        <f>P421+P422+P423</f>
        <v>29589.1</v>
      </c>
      <c r="Q420" s="52">
        <f>Q421+Q422+Q423</f>
        <v>29589.1</v>
      </c>
      <c r="R420" s="333">
        <f t="shared" si="111"/>
        <v>0</v>
      </c>
    </row>
    <row r="421" spans="2:21" s="32" customFormat="1" ht="15" customHeight="1" x14ac:dyDescent="0.2">
      <c r="B421" s="84" t="s">
        <v>145</v>
      </c>
      <c r="C421" s="53" t="s">
        <v>669</v>
      </c>
      <c r="D421" s="53" t="s">
        <v>166</v>
      </c>
      <c r="E421" s="53" t="s">
        <v>45</v>
      </c>
      <c r="F421" s="54" t="s">
        <v>172</v>
      </c>
      <c r="G421" s="60" t="s">
        <v>144</v>
      </c>
      <c r="H421" s="52">
        <f>16192-1300</f>
        <v>14892</v>
      </c>
      <c r="I421" s="52">
        <f>16192-1300</f>
        <v>14892</v>
      </c>
      <c r="J421" s="300">
        <f t="shared" si="109"/>
        <v>0</v>
      </c>
      <c r="K421" s="52">
        <v>16192</v>
      </c>
      <c r="L421" s="52">
        <f>16192-1300</f>
        <v>14892</v>
      </c>
      <c r="M421" s="300">
        <f t="shared" si="126"/>
        <v>0</v>
      </c>
      <c r="N421" s="52">
        <v>16192</v>
      </c>
      <c r="O421" s="300">
        <f t="shared" si="110"/>
        <v>0</v>
      </c>
      <c r="P421" s="65">
        <v>16192</v>
      </c>
      <c r="Q421" s="65">
        <v>16192</v>
      </c>
      <c r="R421" s="333">
        <f t="shared" si="111"/>
        <v>0</v>
      </c>
    </row>
    <row r="422" spans="2:21" s="32" customFormat="1" x14ac:dyDescent="0.2">
      <c r="B422" s="95" t="s">
        <v>82</v>
      </c>
      <c r="C422" s="53" t="s">
        <v>669</v>
      </c>
      <c r="D422" s="53" t="s">
        <v>166</v>
      </c>
      <c r="E422" s="53" t="s">
        <v>45</v>
      </c>
      <c r="F422" s="54" t="s">
        <v>172</v>
      </c>
      <c r="G422" s="60" t="s">
        <v>81</v>
      </c>
      <c r="H422" s="52">
        <f>9122.2+4939.3-718.8</f>
        <v>13342.7</v>
      </c>
      <c r="I422" s="52">
        <f>9122.2+4939.3-718.8</f>
        <v>13342.7</v>
      </c>
      <c r="J422" s="300">
        <f t="shared" si="109"/>
        <v>0</v>
      </c>
      <c r="K422" s="52">
        <f>9122.2+4939.3+54.4-718.8</f>
        <v>13397.1</v>
      </c>
      <c r="L422" s="52">
        <f>9122.2+4939.3-718.8</f>
        <v>13342.7</v>
      </c>
      <c r="M422" s="300">
        <f t="shared" si="126"/>
        <v>0</v>
      </c>
      <c r="N422" s="52">
        <f>9122.2+4939.3+54.4-718.8</f>
        <v>13397.1</v>
      </c>
      <c r="O422" s="300">
        <f t="shared" si="110"/>
        <v>0</v>
      </c>
      <c r="P422" s="52">
        <f>9122.2+4939.3+54.4-718.8</f>
        <v>13397.1</v>
      </c>
      <c r="Q422" s="52">
        <f>9122.2+4939.3+54.4-718.8</f>
        <v>13397.1</v>
      </c>
      <c r="R422" s="333">
        <f t="shared" si="111"/>
        <v>0</v>
      </c>
    </row>
    <row r="423" spans="2:21" s="32" customFormat="1" x14ac:dyDescent="0.2">
      <c r="B423" s="61" t="s">
        <v>61</v>
      </c>
      <c r="C423" s="53" t="s">
        <v>669</v>
      </c>
      <c r="D423" s="53" t="s">
        <v>166</v>
      </c>
      <c r="E423" s="53" t="s">
        <v>45</v>
      </c>
      <c r="F423" s="54" t="s">
        <v>172</v>
      </c>
      <c r="G423" s="60" t="s">
        <v>57</v>
      </c>
      <c r="H423" s="52">
        <v>1300</v>
      </c>
      <c r="I423" s="52">
        <v>1300</v>
      </c>
      <c r="J423" s="300">
        <f t="shared" si="109"/>
        <v>0</v>
      </c>
      <c r="K423" s="52">
        <v>0</v>
      </c>
      <c r="L423" s="52">
        <v>1300</v>
      </c>
      <c r="M423" s="300">
        <f t="shared" si="126"/>
        <v>0</v>
      </c>
      <c r="N423" s="52">
        <v>0</v>
      </c>
      <c r="O423" s="300">
        <f t="shared" si="110"/>
        <v>0</v>
      </c>
      <c r="P423" s="52">
        <v>0</v>
      </c>
      <c r="Q423" s="52">
        <v>0</v>
      </c>
      <c r="R423" s="333">
        <f t="shared" si="111"/>
        <v>0</v>
      </c>
    </row>
    <row r="424" spans="2:21" s="32" customFormat="1" x14ac:dyDescent="0.2">
      <c r="B424" s="59" t="s">
        <v>171</v>
      </c>
      <c r="C424" s="48" t="s">
        <v>669</v>
      </c>
      <c r="D424" s="48" t="s">
        <v>166</v>
      </c>
      <c r="E424" s="48" t="s">
        <v>108</v>
      </c>
      <c r="F424" s="54"/>
      <c r="G424" s="60"/>
      <c r="H424" s="52">
        <f>H425+H432</f>
        <v>69896.899999999994</v>
      </c>
      <c r="I424" s="52">
        <f t="shared" ref="I424:Q424" si="130">I425+I432</f>
        <v>299766.59999999998</v>
      </c>
      <c r="J424" s="300">
        <f t="shared" si="109"/>
        <v>229869.69999999998</v>
      </c>
      <c r="K424" s="52">
        <f t="shared" si="130"/>
        <v>0</v>
      </c>
      <c r="L424" s="52">
        <f t="shared" si="130"/>
        <v>299766.60000000003</v>
      </c>
      <c r="M424" s="300">
        <f t="shared" si="126"/>
        <v>0</v>
      </c>
      <c r="N424" s="52">
        <f t="shared" si="130"/>
        <v>0</v>
      </c>
      <c r="O424" s="300">
        <f t="shared" si="110"/>
        <v>0</v>
      </c>
      <c r="P424" s="52">
        <f t="shared" si="130"/>
        <v>0</v>
      </c>
      <c r="Q424" s="52">
        <f t="shared" si="130"/>
        <v>0</v>
      </c>
      <c r="R424" s="333">
        <f t="shared" si="111"/>
        <v>0</v>
      </c>
    </row>
    <row r="425" spans="2:21" s="32" customFormat="1" ht="38.25" x14ac:dyDescent="0.2">
      <c r="B425" s="64" t="s">
        <v>68</v>
      </c>
      <c r="C425" s="53" t="s">
        <v>669</v>
      </c>
      <c r="D425" s="53" t="s">
        <v>166</v>
      </c>
      <c r="E425" s="53" t="s">
        <v>108</v>
      </c>
      <c r="F425" s="54" t="s">
        <v>67</v>
      </c>
      <c r="G425" s="60"/>
      <c r="H425" s="52">
        <f t="shared" ref="H425:I427" si="131">H426</f>
        <v>69896.899999999994</v>
      </c>
      <c r="I425" s="52">
        <f t="shared" si="131"/>
        <v>297766.59999999998</v>
      </c>
      <c r="J425" s="300">
        <f t="shared" si="109"/>
        <v>227869.69999999998</v>
      </c>
      <c r="K425" s="52">
        <f t="shared" ref="K425:Q427" si="132">K426</f>
        <v>0</v>
      </c>
      <c r="L425" s="52">
        <f t="shared" si="132"/>
        <v>297766.60000000003</v>
      </c>
      <c r="M425" s="300">
        <f t="shared" si="126"/>
        <v>0</v>
      </c>
      <c r="N425" s="52">
        <f t="shared" si="132"/>
        <v>0</v>
      </c>
      <c r="O425" s="300">
        <f t="shared" si="110"/>
        <v>0</v>
      </c>
      <c r="P425" s="52">
        <f t="shared" si="132"/>
        <v>0</v>
      </c>
      <c r="Q425" s="52">
        <f t="shared" si="132"/>
        <v>0</v>
      </c>
      <c r="R425" s="333">
        <f t="shared" si="111"/>
        <v>0</v>
      </c>
    </row>
    <row r="426" spans="2:21" s="32" customFormat="1" x14ac:dyDescent="0.2">
      <c r="B426" s="62" t="s">
        <v>66</v>
      </c>
      <c r="C426" s="53" t="s">
        <v>669</v>
      </c>
      <c r="D426" s="53" t="s">
        <v>166</v>
      </c>
      <c r="E426" s="53" t="s">
        <v>108</v>
      </c>
      <c r="F426" s="54" t="s">
        <v>65</v>
      </c>
      <c r="G426" s="60"/>
      <c r="H426" s="52">
        <f t="shared" si="131"/>
        <v>69896.899999999994</v>
      </c>
      <c r="I426" s="52">
        <f t="shared" si="131"/>
        <v>297766.59999999998</v>
      </c>
      <c r="J426" s="300">
        <f t="shared" si="109"/>
        <v>227869.69999999998</v>
      </c>
      <c r="K426" s="52">
        <f t="shared" si="132"/>
        <v>0</v>
      </c>
      <c r="L426" s="52">
        <f t="shared" si="132"/>
        <v>297766.60000000003</v>
      </c>
      <c r="M426" s="300">
        <f t="shared" si="126"/>
        <v>0</v>
      </c>
      <c r="N426" s="52">
        <f t="shared" si="132"/>
        <v>0</v>
      </c>
      <c r="O426" s="300">
        <f t="shared" si="110"/>
        <v>0</v>
      </c>
      <c r="P426" s="52">
        <f t="shared" si="132"/>
        <v>0</v>
      </c>
      <c r="Q426" s="52">
        <f t="shared" si="132"/>
        <v>0</v>
      </c>
      <c r="R426" s="333">
        <f t="shared" si="111"/>
        <v>0</v>
      </c>
    </row>
    <row r="427" spans="2:21" s="32" customFormat="1" ht="25.5" x14ac:dyDescent="0.2">
      <c r="B427" s="62" t="s">
        <v>170</v>
      </c>
      <c r="C427" s="53" t="s">
        <v>669</v>
      </c>
      <c r="D427" s="53" t="s">
        <v>166</v>
      </c>
      <c r="E427" s="53" t="s">
        <v>108</v>
      </c>
      <c r="F427" s="54" t="s">
        <v>169</v>
      </c>
      <c r="G427" s="60"/>
      <c r="H427" s="52">
        <f t="shared" si="131"/>
        <v>69896.899999999994</v>
      </c>
      <c r="I427" s="52">
        <f t="shared" si="131"/>
        <v>297766.59999999998</v>
      </c>
      <c r="J427" s="300">
        <f t="shared" si="109"/>
        <v>227869.69999999998</v>
      </c>
      <c r="K427" s="52">
        <f t="shared" si="132"/>
        <v>0</v>
      </c>
      <c r="L427" s="52">
        <f t="shared" si="132"/>
        <v>297766.60000000003</v>
      </c>
      <c r="M427" s="300">
        <f t="shared" si="126"/>
        <v>0</v>
      </c>
      <c r="N427" s="52">
        <f t="shared" si="132"/>
        <v>0</v>
      </c>
      <c r="O427" s="300">
        <f t="shared" si="110"/>
        <v>0</v>
      </c>
      <c r="P427" s="52">
        <f t="shared" si="132"/>
        <v>0</v>
      </c>
      <c r="Q427" s="52">
        <f t="shared" si="132"/>
        <v>0</v>
      </c>
      <c r="R427" s="333">
        <f t="shared" si="111"/>
        <v>0</v>
      </c>
    </row>
    <row r="428" spans="2:21" s="32" customFormat="1" x14ac:dyDescent="0.2">
      <c r="B428" s="62" t="s">
        <v>168</v>
      </c>
      <c r="C428" s="53" t="s">
        <v>669</v>
      </c>
      <c r="D428" s="53" t="s">
        <v>166</v>
      </c>
      <c r="E428" s="53" t="s">
        <v>108</v>
      </c>
      <c r="F428" s="54" t="s">
        <v>165</v>
      </c>
      <c r="G428" s="60"/>
      <c r="H428" s="52">
        <f>H430+H429+H431</f>
        <v>69896.899999999994</v>
      </c>
      <c r="I428" s="52">
        <f>I430+I429+I431</f>
        <v>297766.59999999998</v>
      </c>
      <c r="J428" s="300">
        <f t="shared" si="109"/>
        <v>227869.69999999998</v>
      </c>
      <c r="K428" s="52">
        <f>K430+K429+K431</f>
        <v>0</v>
      </c>
      <c r="L428" s="52">
        <f>L430+L429+L431</f>
        <v>297766.60000000003</v>
      </c>
      <c r="M428" s="300">
        <f t="shared" si="126"/>
        <v>0</v>
      </c>
      <c r="N428" s="52">
        <f>N430+N429+N431</f>
        <v>0</v>
      </c>
      <c r="O428" s="300">
        <f t="shared" si="110"/>
        <v>0</v>
      </c>
      <c r="P428" s="52">
        <f>P430+P429+P431</f>
        <v>0</v>
      </c>
      <c r="Q428" s="52">
        <f>Q430+Q429+Q431</f>
        <v>0</v>
      </c>
      <c r="R428" s="333">
        <f t="shared" si="111"/>
        <v>0</v>
      </c>
    </row>
    <row r="429" spans="2:21" s="32" customFormat="1" ht="25.5" x14ac:dyDescent="0.2">
      <c r="B429" s="335" t="s">
        <v>73</v>
      </c>
      <c r="C429" s="53" t="s">
        <v>669</v>
      </c>
      <c r="D429" s="53" t="s">
        <v>166</v>
      </c>
      <c r="E429" s="53" t="s">
        <v>108</v>
      </c>
      <c r="F429" s="54" t="s">
        <v>165</v>
      </c>
      <c r="G429" s="60" t="s">
        <v>70</v>
      </c>
      <c r="H429" s="52">
        <v>0</v>
      </c>
      <c r="I429" s="52">
        <f>1131.2+1312.2+36575.7-4581.5</f>
        <v>34437.599999999999</v>
      </c>
      <c r="J429" s="300">
        <f t="shared" si="109"/>
        <v>34437.599999999999</v>
      </c>
      <c r="K429" s="52">
        <v>0</v>
      </c>
      <c r="L429" s="52">
        <f>34437.6+7228.8+25</f>
        <v>41691.4</v>
      </c>
      <c r="M429" s="300">
        <f t="shared" si="126"/>
        <v>7253.8000000000029</v>
      </c>
      <c r="N429" s="52">
        <v>0</v>
      </c>
      <c r="O429" s="300">
        <f t="shared" si="110"/>
        <v>0</v>
      </c>
      <c r="P429" s="65">
        <v>0</v>
      </c>
      <c r="Q429" s="65">
        <v>0</v>
      </c>
      <c r="R429" s="333">
        <f t="shared" si="111"/>
        <v>0</v>
      </c>
    </row>
    <row r="430" spans="2:21" s="32" customFormat="1" x14ac:dyDescent="0.2">
      <c r="B430" s="93" t="s">
        <v>167</v>
      </c>
      <c r="C430" s="53" t="s">
        <v>669</v>
      </c>
      <c r="D430" s="53" t="s">
        <v>166</v>
      </c>
      <c r="E430" s="53" t="s">
        <v>108</v>
      </c>
      <c r="F430" s="54" t="s">
        <v>165</v>
      </c>
      <c r="G430" s="60" t="s">
        <v>164</v>
      </c>
      <c r="H430" s="52">
        <f>67800+2096.9</f>
        <v>69896.899999999994</v>
      </c>
      <c r="I430" s="52">
        <f>69896.9+3168.8+85098.5+100583.3</f>
        <v>258747.5</v>
      </c>
      <c r="J430" s="300">
        <f t="shared" si="109"/>
        <v>188850.6</v>
      </c>
      <c r="K430" s="52">
        <v>0</v>
      </c>
      <c r="L430" s="52">
        <f>258747.5-7228.8-25</f>
        <v>251493.7</v>
      </c>
      <c r="M430" s="300">
        <f t="shared" si="126"/>
        <v>-7253.7999999999884</v>
      </c>
      <c r="N430" s="52">
        <v>0</v>
      </c>
      <c r="O430" s="300">
        <f t="shared" si="110"/>
        <v>0</v>
      </c>
      <c r="P430" s="65">
        <v>0</v>
      </c>
      <c r="Q430" s="65">
        <v>0</v>
      </c>
      <c r="R430" s="333">
        <f t="shared" si="111"/>
        <v>0</v>
      </c>
    </row>
    <row r="431" spans="2:21" s="32" customFormat="1" x14ac:dyDescent="0.2">
      <c r="B431" s="61" t="s">
        <v>61</v>
      </c>
      <c r="C431" s="53" t="s">
        <v>669</v>
      </c>
      <c r="D431" s="53" t="s">
        <v>166</v>
      </c>
      <c r="E431" s="53" t="s">
        <v>108</v>
      </c>
      <c r="F431" s="54" t="s">
        <v>165</v>
      </c>
      <c r="G431" s="60" t="s">
        <v>57</v>
      </c>
      <c r="H431" s="52">
        <v>0</v>
      </c>
      <c r="I431" s="52">
        <v>4581.5</v>
      </c>
      <c r="J431" s="300">
        <f t="shared" si="109"/>
        <v>4581.5</v>
      </c>
      <c r="K431" s="52">
        <v>0</v>
      </c>
      <c r="L431" s="52">
        <v>4581.5</v>
      </c>
      <c r="M431" s="300">
        <f t="shared" si="126"/>
        <v>0</v>
      </c>
      <c r="N431" s="52">
        <v>0</v>
      </c>
      <c r="O431" s="300">
        <f t="shared" si="110"/>
        <v>0</v>
      </c>
      <c r="P431" s="65">
        <v>0</v>
      </c>
      <c r="Q431" s="65">
        <v>0</v>
      </c>
      <c r="R431" s="333"/>
    </row>
    <row r="432" spans="2:21" s="32" customFormat="1" ht="25.5" x14ac:dyDescent="0.2">
      <c r="B432" s="84" t="s">
        <v>1102</v>
      </c>
      <c r="C432" s="53" t="s">
        <v>669</v>
      </c>
      <c r="D432" s="53" t="s">
        <v>166</v>
      </c>
      <c r="E432" s="53" t="s">
        <v>108</v>
      </c>
      <c r="F432" s="54" t="s">
        <v>53</v>
      </c>
      <c r="G432" s="53"/>
      <c r="H432" s="52">
        <f>H433</f>
        <v>0</v>
      </c>
      <c r="I432" s="52">
        <f t="shared" ref="I432:Q435" si="133">I433</f>
        <v>2000</v>
      </c>
      <c r="J432" s="300">
        <f t="shared" si="109"/>
        <v>2000</v>
      </c>
      <c r="K432" s="52">
        <f t="shared" si="133"/>
        <v>0</v>
      </c>
      <c r="L432" s="52">
        <f t="shared" si="133"/>
        <v>2000</v>
      </c>
      <c r="M432" s="300">
        <f t="shared" si="126"/>
        <v>0</v>
      </c>
      <c r="N432" s="52">
        <f t="shared" si="133"/>
        <v>0</v>
      </c>
      <c r="O432" s="300">
        <f t="shared" si="110"/>
        <v>0</v>
      </c>
      <c r="P432" s="52">
        <f t="shared" si="133"/>
        <v>0</v>
      </c>
      <c r="Q432" s="52">
        <f t="shared" si="133"/>
        <v>0</v>
      </c>
      <c r="R432" s="333"/>
    </row>
    <row r="433" spans="2:18" s="32" customFormat="1" x14ac:dyDescent="0.2">
      <c r="B433" s="126" t="s">
        <v>66</v>
      </c>
      <c r="C433" s="53" t="s">
        <v>669</v>
      </c>
      <c r="D433" s="53" t="s">
        <v>166</v>
      </c>
      <c r="E433" s="53" t="s">
        <v>108</v>
      </c>
      <c r="F433" s="54" t="s">
        <v>724</v>
      </c>
      <c r="G433" s="53"/>
      <c r="H433" s="52">
        <f>H434</f>
        <v>0</v>
      </c>
      <c r="I433" s="52">
        <f t="shared" si="133"/>
        <v>2000</v>
      </c>
      <c r="J433" s="300">
        <f t="shared" si="109"/>
        <v>2000</v>
      </c>
      <c r="K433" s="52">
        <f t="shared" si="133"/>
        <v>0</v>
      </c>
      <c r="L433" s="52">
        <f t="shared" si="133"/>
        <v>2000</v>
      </c>
      <c r="M433" s="300">
        <f t="shared" si="126"/>
        <v>0</v>
      </c>
      <c r="N433" s="52">
        <f t="shared" si="133"/>
        <v>0</v>
      </c>
      <c r="O433" s="300">
        <f t="shared" si="110"/>
        <v>0</v>
      </c>
      <c r="P433" s="52">
        <f t="shared" si="133"/>
        <v>0</v>
      </c>
      <c r="Q433" s="52">
        <f t="shared" si="133"/>
        <v>0</v>
      </c>
      <c r="R433" s="333"/>
    </row>
    <row r="434" spans="2:18" s="32" customFormat="1" ht="25.5" x14ac:dyDescent="0.2">
      <c r="B434" s="56" t="s">
        <v>725</v>
      </c>
      <c r="C434" s="53" t="s">
        <v>669</v>
      </c>
      <c r="D434" s="53" t="s">
        <v>166</v>
      </c>
      <c r="E434" s="53" t="s">
        <v>108</v>
      </c>
      <c r="F434" s="54" t="s">
        <v>726</v>
      </c>
      <c r="G434" s="53"/>
      <c r="H434" s="52">
        <f>H435</f>
        <v>0</v>
      </c>
      <c r="I434" s="52">
        <f t="shared" si="133"/>
        <v>2000</v>
      </c>
      <c r="J434" s="300">
        <f t="shared" ref="J434:J497" si="134">I434-H434</f>
        <v>2000</v>
      </c>
      <c r="K434" s="52">
        <f t="shared" si="133"/>
        <v>0</v>
      </c>
      <c r="L434" s="52">
        <f t="shared" si="133"/>
        <v>2000</v>
      </c>
      <c r="M434" s="300">
        <f t="shared" si="126"/>
        <v>0</v>
      </c>
      <c r="N434" s="52">
        <f t="shared" si="133"/>
        <v>0</v>
      </c>
      <c r="O434" s="300">
        <f t="shared" ref="O434:O497" si="135">N434-K434</f>
        <v>0</v>
      </c>
      <c r="P434" s="52">
        <f t="shared" si="133"/>
        <v>0</v>
      </c>
      <c r="Q434" s="52">
        <f t="shared" si="133"/>
        <v>0</v>
      </c>
      <c r="R434" s="333"/>
    </row>
    <row r="435" spans="2:18" s="32" customFormat="1" ht="12.75" customHeight="1" x14ac:dyDescent="0.2">
      <c r="B435" s="56" t="s">
        <v>727</v>
      </c>
      <c r="C435" s="53" t="s">
        <v>669</v>
      </c>
      <c r="D435" s="53" t="s">
        <v>166</v>
      </c>
      <c r="E435" s="53" t="s">
        <v>108</v>
      </c>
      <c r="F435" s="54" t="s">
        <v>728</v>
      </c>
      <c r="G435" s="53"/>
      <c r="H435" s="52">
        <f>H436</f>
        <v>0</v>
      </c>
      <c r="I435" s="52">
        <f t="shared" si="133"/>
        <v>2000</v>
      </c>
      <c r="J435" s="300">
        <f t="shared" si="134"/>
        <v>2000</v>
      </c>
      <c r="K435" s="52">
        <f t="shared" si="133"/>
        <v>0</v>
      </c>
      <c r="L435" s="52">
        <f t="shared" si="133"/>
        <v>2000</v>
      </c>
      <c r="M435" s="300">
        <f t="shared" si="126"/>
        <v>0</v>
      </c>
      <c r="N435" s="52">
        <f t="shared" si="133"/>
        <v>0</v>
      </c>
      <c r="O435" s="300">
        <f t="shared" si="135"/>
        <v>0</v>
      </c>
      <c r="P435" s="52">
        <f t="shared" si="133"/>
        <v>0</v>
      </c>
      <c r="Q435" s="52">
        <f t="shared" si="133"/>
        <v>0</v>
      </c>
      <c r="R435" s="333"/>
    </row>
    <row r="436" spans="2:18" s="32" customFormat="1" ht="25.5" x14ac:dyDescent="0.2">
      <c r="B436" s="56" t="s">
        <v>73</v>
      </c>
      <c r="C436" s="53" t="s">
        <v>669</v>
      </c>
      <c r="D436" s="53" t="s">
        <v>166</v>
      </c>
      <c r="E436" s="53" t="s">
        <v>108</v>
      </c>
      <c r="F436" s="54" t="s">
        <v>728</v>
      </c>
      <c r="G436" s="53" t="s">
        <v>70</v>
      </c>
      <c r="H436" s="52">
        <v>0</v>
      </c>
      <c r="I436" s="52">
        <f>500+100+1400</f>
        <v>2000</v>
      </c>
      <c r="J436" s="300">
        <f t="shared" si="134"/>
        <v>2000</v>
      </c>
      <c r="K436" s="52">
        <v>0</v>
      </c>
      <c r="L436" s="52">
        <f>500+100+1400</f>
        <v>2000</v>
      </c>
      <c r="M436" s="300">
        <f t="shared" si="126"/>
        <v>0</v>
      </c>
      <c r="N436" s="52">
        <v>0</v>
      </c>
      <c r="O436" s="300">
        <f t="shared" si="135"/>
        <v>0</v>
      </c>
      <c r="P436" s="65">
        <v>0</v>
      </c>
      <c r="Q436" s="65">
        <v>0</v>
      </c>
      <c r="R436" s="333"/>
    </row>
    <row r="437" spans="2:18" s="43" customFormat="1" ht="14.25" customHeight="1" x14ac:dyDescent="0.2">
      <c r="B437" s="183" t="s">
        <v>685</v>
      </c>
      <c r="C437" s="48" t="s">
        <v>669</v>
      </c>
      <c r="D437" s="48" t="s">
        <v>160</v>
      </c>
      <c r="E437" s="48"/>
      <c r="F437" s="48"/>
      <c r="G437" s="48"/>
      <c r="H437" s="44">
        <f t="shared" ref="H437:Q440" si="136">H438</f>
        <v>105.8</v>
      </c>
      <c r="I437" s="44">
        <f t="shared" si="136"/>
        <v>105.8</v>
      </c>
      <c r="J437" s="300">
        <f t="shared" si="134"/>
        <v>0</v>
      </c>
      <c r="K437" s="44">
        <f t="shared" si="136"/>
        <v>105.8</v>
      </c>
      <c r="L437" s="44">
        <f t="shared" si="136"/>
        <v>105.8</v>
      </c>
      <c r="M437" s="300">
        <f t="shared" si="126"/>
        <v>0</v>
      </c>
      <c r="N437" s="44">
        <f t="shared" si="136"/>
        <v>105.8</v>
      </c>
      <c r="O437" s="300">
        <f t="shared" si="135"/>
        <v>0</v>
      </c>
      <c r="P437" s="44">
        <f t="shared" si="136"/>
        <v>105.8</v>
      </c>
      <c r="Q437" s="44">
        <f t="shared" si="136"/>
        <v>105.8</v>
      </c>
      <c r="R437" s="333"/>
    </row>
    <row r="438" spans="2:18" s="43" customFormat="1" ht="14.25" customHeight="1" x14ac:dyDescent="0.2">
      <c r="B438" s="183" t="s">
        <v>162</v>
      </c>
      <c r="C438" s="48" t="s">
        <v>669</v>
      </c>
      <c r="D438" s="48" t="s">
        <v>160</v>
      </c>
      <c r="E438" s="48" t="s">
        <v>159</v>
      </c>
      <c r="F438" s="48"/>
      <c r="G438" s="48"/>
      <c r="H438" s="44">
        <f t="shared" si="136"/>
        <v>105.8</v>
      </c>
      <c r="I438" s="44">
        <f t="shared" si="136"/>
        <v>105.8</v>
      </c>
      <c r="J438" s="300">
        <f t="shared" si="134"/>
        <v>0</v>
      </c>
      <c r="K438" s="44">
        <f t="shared" si="136"/>
        <v>105.8</v>
      </c>
      <c r="L438" s="44">
        <f t="shared" si="136"/>
        <v>105.8</v>
      </c>
      <c r="M438" s="300">
        <f t="shared" si="126"/>
        <v>0</v>
      </c>
      <c r="N438" s="44">
        <f t="shared" si="136"/>
        <v>105.8</v>
      </c>
      <c r="O438" s="300">
        <f t="shared" si="135"/>
        <v>0</v>
      </c>
      <c r="P438" s="44">
        <f t="shared" si="136"/>
        <v>105.8</v>
      </c>
      <c r="Q438" s="44">
        <f t="shared" si="136"/>
        <v>105.8</v>
      </c>
      <c r="R438" s="333"/>
    </row>
    <row r="439" spans="2:18" s="32" customFormat="1" ht="12" customHeight="1" x14ac:dyDescent="0.2">
      <c r="B439" s="64" t="s">
        <v>151</v>
      </c>
      <c r="C439" s="53" t="s">
        <v>669</v>
      </c>
      <c r="D439" s="53" t="s">
        <v>160</v>
      </c>
      <c r="E439" s="53" t="s">
        <v>159</v>
      </c>
      <c r="F439" s="53" t="s">
        <v>150</v>
      </c>
      <c r="G439" s="53"/>
      <c r="H439" s="52">
        <f t="shared" si="136"/>
        <v>105.8</v>
      </c>
      <c r="I439" s="52">
        <f t="shared" si="136"/>
        <v>105.8</v>
      </c>
      <c r="J439" s="300">
        <f t="shared" si="134"/>
        <v>0</v>
      </c>
      <c r="K439" s="52">
        <f t="shared" si="136"/>
        <v>105.8</v>
      </c>
      <c r="L439" s="52">
        <f t="shared" si="136"/>
        <v>105.8</v>
      </c>
      <c r="M439" s="300">
        <f t="shared" si="126"/>
        <v>0</v>
      </c>
      <c r="N439" s="52">
        <f t="shared" si="136"/>
        <v>105.8</v>
      </c>
      <c r="O439" s="300">
        <f t="shared" si="135"/>
        <v>0</v>
      </c>
      <c r="P439" s="52">
        <f t="shared" si="136"/>
        <v>105.8</v>
      </c>
      <c r="Q439" s="52">
        <f t="shared" si="136"/>
        <v>105.8</v>
      </c>
      <c r="R439" s="333"/>
    </row>
    <row r="440" spans="2:18" s="32" customFormat="1" ht="71.25" customHeight="1" x14ac:dyDescent="0.2">
      <c r="B440" s="69" t="s">
        <v>161</v>
      </c>
      <c r="C440" s="53" t="s">
        <v>669</v>
      </c>
      <c r="D440" s="53" t="s">
        <v>160</v>
      </c>
      <c r="E440" s="53" t="s">
        <v>159</v>
      </c>
      <c r="F440" s="54" t="s">
        <v>158</v>
      </c>
      <c r="G440" s="53"/>
      <c r="H440" s="52">
        <f t="shared" si="136"/>
        <v>105.8</v>
      </c>
      <c r="I440" s="52">
        <f t="shared" si="136"/>
        <v>105.8</v>
      </c>
      <c r="J440" s="300">
        <f t="shared" si="134"/>
        <v>0</v>
      </c>
      <c r="K440" s="52">
        <f t="shared" si="136"/>
        <v>105.8</v>
      </c>
      <c r="L440" s="52">
        <f t="shared" si="136"/>
        <v>105.8</v>
      </c>
      <c r="M440" s="300">
        <f t="shared" si="126"/>
        <v>0</v>
      </c>
      <c r="N440" s="52">
        <f t="shared" si="136"/>
        <v>105.8</v>
      </c>
      <c r="O440" s="300">
        <f t="shared" si="135"/>
        <v>0</v>
      </c>
      <c r="P440" s="52">
        <f t="shared" si="136"/>
        <v>105.8</v>
      </c>
      <c r="Q440" s="52">
        <f t="shared" si="136"/>
        <v>105.8</v>
      </c>
      <c r="R440" s="333">
        <f t="shared" ref="R440:R506" si="137">Q440-P440</f>
        <v>0</v>
      </c>
    </row>
    <row r="441" spans="2:18" s="32" customFormat="1" ht="24" customHeight="1" x14ac:dyDescent="0.2">
      <c r="B441" s="56" t="s">
        <v>73</v>
      </c>
      <c r="C441" s="53" t="s">
        <v>669</v>
      </c>
      <c r="D441" s="53" t="s">
        <v>160</v>
      </c>
      <c r="E441" s="53" t="s">
        <v>159</v>
      </c>
      <c r="F441" s="54" t="s">
        <v>158</v>
      </c>
      <c r="G441" s="53" t="s">
        <v>70</v>
      </c>
      <c r="H441" s="52">
        <v>105.8</v>
      </c>
      <c r="I441" s="52">
        <v>105.8</v>
      </c>
      <c r="J441" s="300">
        <f t="shared" si="134"/>
        <v>0</v>
      </c>
      <c r="K441" s="52">
        <v>105.8</v>
      </c>
      <c r="L441" s="52">
        <v>105.8</v>
      </c>
      <c r="M441" s="300">
        <f t="shared" si="126"/>
        <v>0</v>
      </c>
      <c r="N441" s="52">
        <v>105.8</v>
      </c>
      <c r="O441" s="300">
        <f t="shared" si="135"/>
        <v>0</v>
      </c>
      <c r="P441" s="52">
        <v>105.8</v>
      </c>
      <c r="Q441" s="52">
        <v>105.8</v>
      </c>
      <c r="R441" s="333">
        <f t="shared" si="137"/>
        <v>0</v>
      </c>
    </row>
    <row r="442" spans="2:18" s="32" customFormat="1" x14ac:dyDescent="0.2">
      <c r="B442" s="177" t="s">
        <v>686</v>
      </c>
      <c r="C442" s="48" t="s">
        <v>669</v>
      </c>
      <c r="D442" s="48" t="s">
        <v>97</v>
      </c>
      <c r="E442" s="48"/>
      <c r="F442" s="48"/>
      <c r="G442" s="48"/>
      <c r="H442" s="44">
        <f>H450+H443+H474</f>
        <v>19035</v>
      </c>
      <c r="I442" s="44">
        <f>I450+I443+I474</f>
        <v>19072.8</v>
      </c>
      <c r="J442" s="300">
        <f t="shared" si="134"/>
        <v>37.799999999999272</v>
      </c>
      <c r="K442" s="44">
        <f>K450+K443+K474</f>
        <v>7471.5999999999995</v>
      </c>
      <c r="L442" s="44">
        <f>L450+L443+L474</f>
        <v>19301.8</v>
      </c>
      <c r="M442" s="300">
        <f t="shared" si="126"/>
        <v>229</v>
      </c>
      <c r="N442" s="44">
        <f>N450+N443+N474</f>
        <v>7471.5999999999995</v>
      </c>
      <c r="O442" s="300">
        <f t="shared" si="135"/>
        <v>0</v>
      </c>
      <c r="P442" s="44">
        <f>P450+P443+P474</f>
        <v>7471.5999999999995</v>
      </c>
      <c r="Q442" s="44">
        <f>Q450+Q443+Q474</f>
        <v>7471.5999999999995</v>
      </c>
      <c r="R442" s="333">
        <f t="shared" si="137"/>
        <v>0</v>
      </c>
    </row>
    <row r="443" spans="2:18" s="32" customFormat="1" x14ac:dyDescent="0.2">
      <c r="B443" s="59" t="s">
        <v>156</v>
      </c>
      <c r="C443" s="48" t="s">
        <v>669</v>
      </c>
      <c r="D443" s="48" t="s">
        <v>97</v>
      </c>
      <c r="E443" s="48" t="s">
        <v>45</v>
      </c>
      <c r="F443" s="48"/>
      <c r="G443" s="48"/>
      <c r="H443" s="44">
        <f t="shared" ref="H443:Q446" si="138">H444</f>
        <v>2803.2</v>
      </c>
      <c r="I443" s="44">
        <f t="shared" si="138"/>
        <v>2803.2</v>
      </c>
      <c r="J443" s="300">
        <f t="shared" si="134"/>
        <v>0</v>
      </c>
      <c r="K443" s="44">
        <f t="shared" si="138"/>
        <v>2803.2</v>
      </c>
      <c r="L443" s="44">
        <f t="shared" si="138"/>
        <v>2803.2</v>
      </c>
      <c r="M443" s="300">
        <f t="shared" si="126"/>
        <v>0</v>
      </c>
      <c r="N443" s="44">
        <f t="shared" si="138"/>
        <v>2803.2</v>
      </c>
      <c r="O443" s="300">
        <f t="shared" si="135"/>
        <v>0</v>
      </c>
      <c r="P443" s="44">
        <f t="shared" si="138"/>
        <v>2803.2</v>
      </c>
      <c r="Q443" s="44">
        <f t="shared" si="138"/>
        <v>2803.2</v>
      </c>
      <c r="R443" s="333">
        <f t="shared" si="137"/>
        <v>0</v>
      </c>
    </row>
    <row r="444" spans="2:18" s="32" customFormat="1" ht="25.5" x14ac:dyDescent="0.2">
      <c r="B444" s="79" t="s">
        <v>147</v>
      </c>
      <c r="C444" s="53" t="s">
        <v>669</v>
      </c>
      <c r="D444" s="53" t="s">
        <v>97</v>
      </c>
      <c r="E444" s="53" t="s">
        <v>45</v>
      </c>
      <c r="F444" s="89" t="s">
        <v>105</v>
      </c>
      <c r="G444" s="89"/>
      <c r="H444" s="52">
        <f t="shared" si="138"/>
        <v>2803.2</v>
      </c>
      <c r="I444" s="52">
        <f t="shared" si="138"/>
        <v>2803.2</v>
      </c>
      <c r="J444" s="300">
        <f t="shared" si="134"/>
        <v>0</v>
      </c>
      <c r="K444" s="52">
        <f t="shared" si="138"/>
        <v>2803.2</v>
      </c>
      <c r="L444" s="52">
        <f t="shared" si="138"/>
        <v>2803.2</v>
      </c>
      <c r="M444" s="300">
        <f t="shared" si="126"/>
        <v>0</v>
      </c>
      <c r="N444" s="52">
        <f t="shared" si="138"/>
        <v>2803.2</v>
      </c>
      <c r="O444" s="300">
        <f t="shared" si="135"/>
        <v>0</v>
      </c>
      <c r="P444" s="52">
        <f t="shared" si="138"/>
        <v>2803.2</v>
      </c>
      <c r="Q444" s="52">
        <f t="shared" si="138"/>
        <v>2803.2</v>
      </c>
      <c r="R444" s="333">
        <f t="shared" si="137"/>
        <v>0</v>
      </c>
    </row>
    <row r="445" spans="2:18" s="32" customFormat="1" x14ac:dyDescent="0.2">
      <c r="B445" s="77" t="s">
        <v>52</v>
      </c>
      <c r="C445" s="53" t="s">
        <v>669</v>
      </c>
      <c r="D445" s="53" t="s">
        <v>97</v>
      </c>
      <c r="E445" s="53" t="s">
        <v>45</v>
      </c>
      <c r="F445" s="89" t="s">
        <v>104</v>
      </c>
      <c r="G445" s="89"/>
      <c r="H445" s="52">
        <f t="shared" si="138"/>
        <v>2803.2</v>
      </c>
      <c r="I445" s="52">
        <f t="shared" si="138"/>
        <v>2803.2</v>
      </c>
      <c r="J445" s="300">
        <f t="shared" si="134"/>
        <v>0</v>
      </c>
      <c r="K445" s="52">
        <f t="shared" si="138"/>
        <v>2803.2</v>
      </c>
      <c r="L445" s="52">
        <f t="shared" si="138"/>
        <v>2803.2</v>
      </c>
      <c r="M445" s="300">
        <f t="shared" si="126"/>
        <v>0</v>
      </c>
      <c r="N445" s="52">
        <f t="shared" si="138"/>
        <v>2803.2</v>
      </c>
      <c r="O445" s="300">
        <f t="shared" si="135"/>
        <v>0</v>
      </c>
      <c r="P445" s="52">
        <f t="shared" si="138"/>
        <v>2803.2</v>
      </c>
      <c r="Q445" s="52">
        <f t="shared" si="138"/>
        <v>2803.2</v>
      </c>
      <c r="R445" s="333">
        <f t="shared" si="137"/>
        <v>0</v>
      </c>
    </row>
    <row r="446" spans="2:18" s="32" customFormat="1" ht="28.5" customHeight="1" x14ac:dyDescent="0.2">
      <c r="B446" s="77" t="s">
        <v>103</v>
      </c>
      <c r="C446" s="53" t="s">
        <v>669</v>
      </c>
      <c r="D446" s="53" t="s">
        <v>97</v>
      </c>
      <c r="E446" s="53" t="s">
        <v>45</v>
      </c>
      <c r="F446" s="53" t="s">
        <v>102</v>
      </c>
      <c r="G446" s="53"/>
      <c r="H446" s="52">
        <f t="shared" si="138"/>
        <v>2803.2</v>
      </c>
      <c r="I446" s="52">
        <f t="shared" si="138"/>
        <v>2803.2</v>
      </c>
      <c r="J446" s="300">
        <f t="shared" si="134"/>
        <v>0</v>
      </c>
      <c r="K446" s="52">
        <f t="shared" si="138"/>
        <v>2803.2</v>
      </c>
      <c r="L446" s="52">
        <f t="shared" si="138"/>
        <v>2803.2</v>
      </c>
      <c r="M446" s="300">
        <f t="shared" si="126"/>
        <v>0</v>
      </c>
      <c r="N446" s="52">
        <f t="shared" si="138"/>
        <v>2803.2</v>
      </c>
      <c r="O446" s="300">
        <f t="shared" si="135"/>
        <v>0</v>
      </c>
      <c r="P446" s="52">
        <f t="shared" si="138"/>
        <v>2803.2</v>
      </c>
      <c r="Q446" s="52">
        <f t="shared" si="138"/>
        <v>2803.2</v>
      </c>
      <c r="R446" s="333">
        <f t="shared" si="137"/>
        <v>0</v>
      </c>
    </row>
    <row r="447" spans="2:18" s="32" customFormat="1" x14ac:dyDescent="0.2">
      <c r="B447" s="69" t="s">
        <v>155</v>
      </c>
      <c r="C447" s="53" t="s">
        <v>669</v>
      </c>
      <c r="D447" s="53" t="s">
        <v>97</v>
      </c>
      <c r="E447" s="53" t="s">
        <v>45</v>
      </c>
      <c r="F447" s="74" t="s">
        <v>153</v>
      </c>
      <c r="G447" s="53"/>
      <c r="H447" s="52">
        <f>H449+H448</f>
        <v>2803.2</v>
      </c>
      <c r="I447" s="52">
        <f>I449+I448</f>
        <v>2803.2</v>
      </c>
      <c r="J447" s="300">
        <f t="shared" si="134"/>
        <v>0</v>
      </c>
      <c r="K447" s="52">
        <f>K449+K448</f>
        <v>2803.2</v>
      </c>
      <c r="L447" s="52">
        <f>L449+L448</f>
        <v>2803.2</v>
      </c>
      <c r="M447" s="300">
        <f t="shared" si="126"/>
        <v>0</v>
      </c>
      <c r="N447" s="52">
        <f>N449+N448</f>
        <v>2803.2</v>
      </c>
      <c r="O447" s="300">
        <f t="shared" si="135"/>
        <v>0</v>
      </c>
      <c r="P447" s="52">
        <f>P449+P448</f>
        <v>2803.2</v>
      </c>
      <c r="Q447" s="52">
        <f>Q449+Q448</f>
        <v>2803.2</v>
      </c>
      <c r="R447" s="333">
        <f t="shared" si="137"/>
        <v>0</v>
      </c>
    </row>
    <row r="448" spans="2:18" s="32" customFormat="1" ht="25.5" x14ac:dyDescent="0.2">
      <c r="B448" s="69" t="s">
        <v>73</v>
      </c>
      <c r="C448" s="53" t="s">
        <v>669</v>
      </c>
      <c r="D448" s="53" t="s">
        <v>97</v>
      </c>
      <c r="E448" s="53" t="s">
        <v>45</v>
      </c>
      <c r="F448" s="74" t="s">
        <v>153</v>
      </c>
      <c r="G448" s="53" t="s">
        <v>70</v>
      </c>
      <c r="H448" s="52">
        <v>23</v>
      </c>
      <c r="I448" s="52">
        <v>23</v>
      </c>
      <c r="J448" s="300">
        <f t="shared" si="134"/>
        <v>0</v>
      </c>
      <c r="K448" s="52">
        <v>23</v>
      </c>
      <c r="L448" s="52">
        <v>23</v>
      </c>
      <c r="M448" s="300">
        <f t="shared" si="126"/>
        <v>0</v>
      </c>
      <c r="N448" s="52">
        <v>23</v>
      </c>
      <c r="O448" s="300">
        <f t="shared" si="135"/>
        <v>0</v>
      </c>
      <c r="P448" s="52">
        <v>23</v>
      </c>
      <c r="Q448" s="52">
        <v>23</v>
      </c>
      <c r="R448" s="333">
        <f t="shared" si="137"/>
        <v>0</v>
      </c>
    </row>
    <row r="449" spans="2:21" s="32" customFormat="1" ht="13.5" customHeight="1" x14ac:dyDescent="0.2">
      <c r="B449" s="88" t="s">
        <v>154</v>
      </c>
      <c r="C449" s="53" t="s">
        <v>669</v>
      </c>
      <c r="D449" s="53" t="s">
        <v>97</v>
      </c>
      <c r="E449" s="53" t="s">
        <v>45</v>
      </c>
      <c r="F449" s="74" t="s">
        <v>153</v>
      </c>
      <c r="G449" s="53" t="s">
        <v>127</v>
      </c>
      <c r="H449" s="52">
        <v>2780.2</v>
      </c>
      <c r="I449" s="52">
        <v>2780.2</v>
      </c>
      <c r="J449" s="300">
        <f t="shared" si="134"/>
        <v>0</v>
      </c>
      <c r="K449" s="52">
        <v>2780.2</v>
      </c>
      <c r="L449" s="52">
        <v>2780.2</v>
      </c>
      <c r="M449" s="300">
        <f t="shared" si="126"/>
        <v>0</v>
      </c>
      <c r="N449" s="52">
        <v>2780.2</v>
      </c>
      <c r="O449" s="300">
        <f t="shared" si="135"/>
        <v>0</v>
      </c>
      <c r="P449" s="52">
        <v>2780.2</v>
      </c>
      <c r="Q449" s="52">
        <v>2780.2</v>
      </c>
      <c r="R449" s="333">
        <f t="shared" si="137"/>
        <v>0</v>
      </c>
    </row>
    <row r="450" spans="2:21" s="32" customFormat="1" x14ac:dyDescent="0.2">
      <c r="B450" s="177" t="s">
        <v>152</v>
      </c>
      <c r="C450" s="48" t="s">
        <v>669</v>
      </c>
      <c r="D450" s="48" t="s">
        <v>97</v>
      </c>
      <c r="E450" s="48" t="s">
        <v>111</v>
      </c>
      <c r="F450" s="48"/>
      <c r="G450" s="48"/>
      <c r="H450" s="44">
        <f>H451+H462</f>
        <v>15661.8</v>
      </c>
      <c r="I450" s="44">
        <f>I451+I462</f>
        <v>15699.6</v>
      </c>
      <c r="J450" s="300">
        <f t="shared" si="134"/>
        <v>37.800000000001091</v>
      </c>
      <c r="K450" s="44">
        <f>K451+K462</f>
        <v>4668.3999999999996</v>
      </c>
      <c r="L450" s="44">
        <f>L451+L462</f>
        <v>15928.6</v>
      </c>
      <c r="M450" s="300">
        <f t="shared" si="126"/>
        <v>229</v>
      </c>
      <c r="N450" s="44">
        <f>N451+N462</f>
        <v>4668.3999999999996</v>
      </c>
      <c r="O450" s="300">
        <f t="shared" si="135"/>
        <v>0</v>
      </c>
      <c r="P450" s="44">
        <f>P451+P462</f>
        <v>4668.3999999999996</v>
      </c>
      <c r="Q450" s="44">
        <f>Q451+Q462</f>
        <v>4668.3999999999996</v>
      </c>
      <c r="R450" s="333">
        <f t="shared" si="137"/>
        <v>0</v>
      </c>
    </row>
    <row r="451" spans="2:21" s="184" customFormat="1" ht="25.5" customHeight="1" x14ac:dyDescent="0.2">
      <c r="B451" s="79" t="s">
        <v>147</v>
      </c>
      <c r="C451" s="53" t="s">
        <v>669</v>
      </c>
      <c r="D451" s="53" t="s">
        <v>97</v>
      </c>
      <c r="E451" s="53" t="s">
        <v>111</v>
      </c>
      <c r="F451" s="78" t="s">
        <v>105</v>
      </c>
      <c r="G451" s="53"/>
      <c r="H451" s="70">
        <f>H453</f>
        <v>8067.1</v>
      </c>
      <c r="I451" s="70">
        <f>I453</f>
        <v>8067.1</v>
      </c>
      <c r="J451" s="300">
        <f t="shared" si="134"/>
        <v>0</v>
      </c>
      <c r="K451" s="70">
        <f>K453</f>
        <v>3207.1</v>
      </c>
      <c r="L451" s="70">
        <f>L453</f>
        <v>8067.1</v>
      </c>
      <c r="M451" s="300">
        <f t="shared" si="126"/>
        <v>0</v>
      </c>
      <c r="N451" s="70">
        <f>N453</f>
        <v>3207.1</v>
      </c>
      <c r="O451" s="300">
        <f t="shared" si="135"/>
        <v>0</v>
      </c>
      <c r="P451" s="70">
        <f>P453</f>
        <v>3207.1</v>
      </c>
      <c r="Q451" s="70">
        <f>Q453</f>
        <v>3207.1</v>
      </c>
      <c r="R451" s="333">
        <f t="shared" si="137"/>
        <v>0</v>
      </c>
    </row>
    <row r="452" spans="2:21" s="184" customFormat="1" ht="15.75" customHeight="1" x14ac:dyDescent="0.2">
      <c r="B452" s="77" t="s">
        <v>52</v>
      </c>
      <c r="C452" s="53" t="s">
        <v>669</v>
      </c>
      <c r="D452" s="53" t="s">
        <v>97</v>
      </c>
      <c r="E452" s="53" t="s">
        <v>111</v>
      </c>
      <c r="F452" s="74" t="s">
        <v>104</v>
      </c>
      <c r="G452" s="53"/>
      <c r="H452" s="70">
        <f>H453</f>
        <v>8067.1</v>
      </c>
      <c r="I452" s="70">
        <f>I453</f>
        <v>8067.1</v>
      </c>
      <c r="J452" s="300">
        <f t="shared" si="134"/>
        <v>0</v>
      </c>
      <c r="K452" s="70">
        <f>K453</f>
        <v>3207.1</v>
      </c>
      <c r="L452" s="70">
        <f>L453</f>
        <v>8067.1</v>
      </c>
      <c r="M452" s="300">
        <f t="shared" si="126"/>
        <v>0</v>
      </c>
      <c r="N452" s="70">
        <f>N453</f>
        <v>3207.1</v>
      </c>
      <c r="O452" s="300">
        <f t="shared" si="135"/>
        <v>0</v>
      </c>
      <c r="P452" s="70">
        <f>P453</f>
        <v>3207.1</v>
      </c>
      <c r="Q452" s="70">
        <f>Q453</f>
        <v>3207.1</v>
      </c>
      <c r="R452" s="333">
        <f t="shared" si="137"/>
        <v>0</v>
      </c>
    </row>
    <row r="453" spans="2:21" s="184" customFormat="1" ht="26.25" customHeight="1" x14ac:dyDescent="0.2">
      <c r="B453" s="77" t="s">
        <v>103</v>
      </c>
      <c r="C453" s="53" t="s">
        <v>669</v>
      </c>
      <c r="D453" s="53" t="s">
        <v>97</v>
      </c>
      <c r="E453" s="53" t="s">
        <v>111</v>
      </c>
      <c r="F453" s="74" t="s">
        <v>102</v>
      </c>
      <c r="G453" s="53"/>
      <c r="H453" s="70">
        <f>H454+H460</f>
        <v>8067.1</v>
      </c>
      <c r="I453" s="70">
        <f>I454+I460</f>
        <v>8067.1</v>
      </c>
      <c r="J453" s="300">
        <f t="shared" si="134"/>
        <v>0</v>
      </c>
      <c r="K453" s="70">
        <f>K454+K460</f>
        <v>3207.1</v>
      </c>
      <c r="L453" s="70">
        <f>L454+L460</f>
        <v>8067.1</v>
      </c>
      <c r="M453" s="300">
        <f t="shared" si="126"/>
        <v>0</v>
      </c>
      <c r="N453" s="70">
        <f>N454+N460</f>
        <v>3207.1</v>
      </c>
      <c r="O453" s="300">
        <f t="shared" si="135"/>
        <v>0</v>
      </c>
      <c r="P453" s="70">
        <f>P454+P460</f>
        <v>3207.1</v>
      </c>
      <c r="Q453" s="70">
        <f>Q454+Q460</f>
        <v>3207.1</v>
      </c>
      <c r="R453" s="333">
        <f t="shared" si="137"/>
        <v>0</v>
      </c>
    </row>
    <row r="454" spans="2:21" s="184" customFormat="1" ht="13.5" customHeight="1" x14ac:dyDescent="0.2">
      <c r="B454" s="76" t="s">
        <v>146</v>
      </c>
      <c r="C454" s="53" t="s">
        <v>669</v>
      </c>
      <c r="D454" s="53" t="s">
        <v>97</v>
      </c>
      <c r="E454" s="53" t="s">
        <v>111</v>
      </c>
      <c r="F454" s="74" t="s">
        <v>143</v>
      </c>
      <c r="G454" s="53"/>
      <c r="H454" s="70">
        <f>H457+H458+H455+H456+H459</f>
        <v>3207.1</v>
      </c>
      <c r="I454" s="70">
        <f>I457+I458+I455+I456+I459</f>
        <v>3207.1</v>
      </c>
      <c r="J454" s="300">
        <f t="shared" si="134"/>
        <v>0</v>
      </c>
      <c r="K454" s="70">
        <f>K457+K458+K455+K456+K459</f>
        <v>3207.1</v>
      </c>
      <c r="L454" s="70">
        <f>L457+L458+L455+L456+L459</f>
        <v>3207.1</v>
      </c>
      <c r="M454" s="300">
        <f t="shared" si="126"/>
        <v>0</v>
      </c>
      <c r="N454" s="70">
        <f>N457+N458+N455+N456+N459</f>
        <v>3207.1</v>
      </c>
      <c r="O454" s="300">
        <f t="shared" si="135"/>
        <v>0</v>
      </c>
      <c r="P454" s="70">
        <f>P457+P458+P455+P456+P459</f>
        <v>3207.1</v>
      </c>
      <c r="Q454" s="70">
        <f>Q457+Q458+Q455+Q456+Q459</f>
        <v>3207.1</v>
      </c>
      <c r="R454" s="333">
        <f t="shared" si="137"/>
        <v>0</v>
      </c>
    </row>
    <row r="455" spans="2:21" s="184" customFormat="1" ht="13.5" customHeight="1" x14ac:dyDescent="0.2">
      <c r="B455" s="85" t="s">
        <v>145</v>
      </c>
      <c r="C455" s="53" t="s">
        <v>669</v>
      </c>
      <c r="D455" s="53" t="s">
        <v>97</v>
      </c>
      <c r="E455" s="53" t="s">
        <v>111</v>
      </c>
      <c r="F455" s="74" t="s">
        <v>143</v>
      </c>
      <c r="G455" s="53" t="s">
        <v>144</v>
      </c>
      <c r="H455" s="52">
        <v>540</v>
      </c>
      <c r="I455" s="52">
        <v>540</v>
      </c>
      <c r="J455" s="300">
        <f t="shared" si="134"/>
        <v>0</v>
      </c>
      <c r="K455" s="52">
        <v>540</v>
      </c>
      <c r="L455" s="52">
        <v>540</v>
      </c>
      <c r="M455" s="300">
        <f t="shared" si="126"/>
        <v>0</v>
      </c>
      <c r="N455" s="52">
        <v>540</v>
      </c>
      <c r="O455" s="300">
        <f t="shared" si="135"/>
        <v>0</v>
      </c>
      <c r="P455" s="52">
        <v>540</v>
      </c>
      <c r="Q455" s="52">
        <v>540</v>
      </c>
      <c r="R455" s="333">
        <f t="shared" si="137"/>
        <v>0</v>
      </c>
    </row>
    <row r="456" spans="2:21" s="184" customFormat="1" ht="26.25" customHeight="1" x14ac:dyDescent="0.2">
      <c r="B456" s="56" t="s">
        <v>73</v>
      </c>
      <c r="C456" s="53" t="s">
        <v>669</v>
      </c>
      <c r="D456" s="53" t="s">
        <v>97</v>
      </c>
      <c r="E456" s="53" t="s">
        <v>111</v>
      </c>
      <c r="F456" s="74" t="s">
        <v>143</v>
      </c>
      <c r="G456" s="53" t="s">
        <v>70</v>
      </c>
      <c r="H456" s="52">
        <v>18</v>
      </c>
      <c r="I456" s="52">
        <v>18</v>
      </c>
      <c r="J456" s="300">
        <f t="shared" si="134"/>
        <v>0</v>
      </c>
      <c r="K456" s="52">
        <v>18</v>
      </c>
      <c r="L456" s="52">
        <v>18</v>
      </c>
      <c r="M456" s="300">
        <f t="shared" si="126"/>
        <v>0</v>
      </c>
      <c r="N456" s="52">
        <v>18</v>
      </c>
      <c r="O456" s="300">
        <f t="shared" si="135"/>
        <v>0</v>
      </c>
      <c r="P456" s="52">
        <v>18</v>
      </c>
      <c r="Q456" s="52">
        <v>18</v>
      </c>
      <c r="R456" s="333">
        <f t="shared" si="137"/>
        <v>0</v>
      </c>
    </row>
    <row r="457" spans="2:21" s="184" customFormat="1" ht="23.25" customHeight="1" x14ac:dyDescent="0.2">
      <c r="B457" s="64" t="s">
        <v>100</v>
      </c>
      <c r="C457" s="53" t="s">
        <v>669</v>
      </c>
      <c r="D457" s="53" t="s">
        <v>97</v>
      </c>
      <c r="E457" s="53" t="s">
        <v>111</v>
      </c>
      <c r="F457" s="74" t="s">
        <v>143</v>
      </c>
      <c r="G457" s="53" t="s">
        <v>99</v>
      </c>
      <c r="H457" s="52">
        <v>1800</v>
      </c>
      <c r="I457" s="52">
        <v>1800</v>
      </c>
      <c r="J457" s="300">
        <f t="shared" si="134"/>
        <v>0</v>
      </c>
      <c r="K457" s="52">
        <v>1800</v>
      </c>
      <c r="L457" s="52">
        <v>1800</v>
      </c>
      <c r="M457" s="300">
        <f t="shared" si="126"/>
        <v>0</v>
      </c>
      <c r="N457" s="52">
        <v>1800</v>
      </c>
      <c r="O457" s="300">
        <f t="shared" si="135"/>
        <v>0</v>
      </c>
      <c r="P457" s="52">
        <v>1800</v>
      </c>
      <c r="Q457" s="52">
        <v>1800</v>
      </c>
      <c r="R457" s="333">
        <f t="shared" si="137"/>
        <v>0</v>
      </c>
    </row>
    <row r="458" spans="2:21" s="184" customFormat="1" ht="16.5" customHeight="1" x14ac:dyDescent="0.2">
      <c r="B458" s="64" t="s">
        <v>98</v>
      </c>
      <c r="C458" s="53" t="s">
        <v>669</v>
      </c>
      <c r="D458" s="53" t="s">
        <v>97</v>
      </c>
      <c r="E458" s="53" t="s">
        <v>111</v>
      </c>
      <c r="F458" s="74" t="s">
        <v>143</v>
      </c>
      <c r="G458" s="53" t="s">
        <v>81</v>
      </c>
      <c r="H458" s="52">
        <v>499.1</v>
      </c>
      <c r="I458" s="52">
        <v>499.1</v>
      </c>
      <c r="J458" s="300">
        <f t="shared" si="134"/>
        <v>0</v>
      </c>
      <c r="K458" s="52">
        <v>499.1</v>
      </c>
      <c r="L458" s="52">
        <v>499.1</v>
      </c>
      <c r="M458" s="300">
        <f t="shared" si="126"/>
        <v>0</v>
      </c>
      <c r="N458" s="52">
        <v>499.1</v>
      </c>
      <c r="O458" s="300">
        <f t="shared" si="135"/>
        <v>0</v>
      </c>
      <c r="P458" s="52">
        <v>499.1</v>
      </c>
      <c r="Q458" s="52">
        <v>499.1</v>
      </c>
      <c r="R458" s="333">
        <f t="shared" si="137"/>
        <v>0</v>
      </c>
    </row>
    <row r="459" spans="2:21" s="184" customFormat="1" ht="16.5" customHeight="1" x14ac:dyDescent="0.2">
      <c r="B459" s="64" t="s">
        <v>687</v>
      </c>
      <c r="C459" s="53" t="s">
        <v>669</v>
      </c>
      <c r="D459" s="53" t="s">
        <v>97</v>
      </c>
      <c r="E459" s="53" t="s">
        <v>111</v>
      </c>
      <c r="F459" s="74" t="s">
        <v>143</v>
      </c>
      <c r="G459" s="53" t="s">
        <v>57</v>
      </c>
      <c r="H459" s="52">
        <v>350</v>
      </c>
      <c r="I459" s="52">
        <v>350</v>
      </c>
      <c r="J459" s="300">
        <f t="shared" si="134"/>
        <v>0</v>
      </c>
      <c r="K459" s="52">
        <v>350</v>
      </c>
      <c r="L459" s="52">
        <v>350</v>
      </c>
      <c r="M459" s="300">
        <f t="shared" si="126"/>
        <v>0</v>
      </c>
      <c r="N459" s="52">
        <v>350</v>
      </c>
      <c r="O459" s="300">
        <f t="shared" si="135"/>
        <v>0</v>
      </c>
      <c r="P459" s="52">
        <v>350</v>
      </c>
      <c r="Q459" s="52">
        <v>350</v>
      </c>
      <c r="R459" s="333">
        <f t="shared" si="137"/>
        <v>0</v>
      </c>
    </row>
    <row r="460" spans="2:21" s="184" customFormat="1" ht="26.25" customHeight="1" x14ac:dyDescent="0.2">
      <c r="B460" s="76" t="s">
        <v>101</v>
      </c>
      <c r="C460" s="53" t="s">
        <v>669</v>
      </c>
      <c r="D460" s="53" t="s">
        <v>97</v>
      </c>
      <c r="E460" s="53" t="s">
        <v>111</v>
      </c>
      <c r="F460" s="74" t="s">
        <v>95</v>
      </c>
      <c r="G460" s="53"/>
      <c r="H460" s="52">
        <f>H461</f>
        <v>4860</v>
      </c>
      <c r="I460" s="52">
        <f>I461</f>
        <v>4860</v>
      </c>
      <c r="J460" s="300">
        <f t="shared" si="134"/>
        <v>0</v>
      </c>
      <c r="K460" s="52">
        <f>K461</f>
        <v>0</v>
      </c>
      <c r="L460" s="52">
        <f>L461</f>
        <v>4860</v>
      </c>
      <c r="M460" s="300">
        <f t="shared" si="126"/>
        <v>0</v>
      </c>
      <c r="N460" s="52">
        <f>N461</f>
        <v>0</v>
      </c>
      <c r="O460" s="300">
        <f t="shared" si="135"/>
        <v>0</v>
      </c>
      <c r="P460" s="52">
        <f>P461</f>
        <v>0</v>
      </c>
      <c r="Q460" s="52">
        <f>Q461</f>
        <v>0</v>
      </c>
      <c r="R460" s="333">
        <f t="shared" si="137"/>
        <v>0</v>
      </c>
    </row>
    <row r="461" spans="2:21" s="184" customFormat="1" ht="16.5" customHeight="1" x14ac:dyDescent="0.2">
      <c r="B461" s="75" t="s">
        <v>129</v>
      </c>
      <c r="C461" s="53" t="s">
        <v>669</v>
      </c>
      <c r="D461" s="53" t="s">
        <v>97</v>
      </c>
      <c r="E461" s="53" t="s">
        <v>111</v>
      </c>
      <c r="F461" s="74" t="s">
        <v>95</v>
      </c>
      <c r="G461" s="73" t="s">
        <v>127</v>
      </c>
      <c r="H461" s="52">
        <v>4860</v>
      </c>
      <c r="I461" s="52">
        <v>4860</v>
      </c>
      <c r="J461" s="300">
        <f t="shared" si="134"/>
        <v>0</v>
      </c>
      <c r="K461" s="52">
        <v>0</v>
      </c>
      <c r="L461" s="52">
        <v>4860</v>
      </c>
      <c r="M461" s="300">
        <f t="shared" si="126"/>
        <v>0</v>
      </c>
      <c r="N461" s="52">
        <v>0</v>
      </c>
      <c r="O461" s="300">
        <f t="shared" si="135"/>
        <v>0</v>
      </c>
      <c r="P461" s="52">
        <v>0</v>
      </c>
      <c r="Q461" s="52">
        <v>0</v>
      </c>
      <c r="R461" s="333">
        <f t="shared" si="137"/>
        <v>0</v>
      </c>
    </row>
    <row r="462" spans="2:21" s="51" customFormat="1" ht="41.25" customHeight="1" x14ac:dyDescent="0.2">
      <c r="B462" s="64" t="s">
        <v>126</v>
      </c>
      <c r="C462" s="53" t="s">
        <v>669</v>
      </c>
      <c r="D462" s="53" t="s">
        <v>97</v>
      </c>
      <c r="E462" s="53" t="s">
        <v>111</v>
      </c>
      <c r="F462" s="54" t="s">
        <v>125</v>
      </c>
      <c r="G462" s="53"/>
      <c r="H462" s="52">
        <f>H463+H470</f>
        <v>7594.7</v>
      </c>
      <c r="I462" s="52">
        <f>I463+I470</f>
        <v>7632.5</v>
      </c>
      <c r="J462" s="300">
        <f t="shared" si="134"/>
        <v>37.800000000000182</v>
      </c>
      <c r="K462" s="52">
        <f>K463+K470</f>
        <v>1461.3</v>
      </c>
      <c r="L462" s="52">
        <f>L463+L470</f>
        <v>7861.5</v>
      </c>
      <c r="M462" s="300">
        <f t="shared" ref="M462:M525" si="139">L462-I462</f>
        <v>229</v>
      </c>
      <c r="N462" s="52">
        <f>N463+N470</f>
        <v>1461.3</v>
      </c>
      <c r="O462" s="300">
        <f t="shared" si="135"/>
        <v>0</v>
      </c>
      <c r="P462" s="52">
        <f>P463+P470</f>
        <v>1461.3</v>
      </c>
      <c r="Q462" s="52">
        <f>Q463+Q470</f>
        <v>1461.3</v>
      </c>
      <c r="R462" s="333">
        <f t="shared" si="137"/>
        <v>0</v>
      </c>
      <c r="S462" s="32"/>
      <c r="T462" s="32"/>
      <c r="U462" s="32"/>
    </row>
    <row r="463" spans="2:21" s="51" customFormat="1" x14ac:dyDescent="0.2">
      <c r="B463" s="62" t="s">
        <v>66</v>
      </c>
      <c r="C463" s="53" t="s">
        <v>669</v>
      </c>
      <c r="D463" s="53" t="s">
        <v>97</v>
      </c>
      <c r="E463" s="53" t="s">
        <v>111</v>
      </c>
      <c r="F463" s="54" t="s">
        <v>124</v>
      </c>
      <c r="G463" s="53"/>
      <c r="H463" s="52">
        <f>H464+H467</f>
        <v>7594.7</v>
      </c>
      <c r="I463" s="52">
        <f>I464+I467</f>
        <v>7632.5</v>
      </c>
      <c r="J463" s="300">
        <f t="shared" si="134"/>
        <v>37.800000000000182</v>
      </c>
      <c r="K463" s="52">
        <f>K464+K467</f>
        <v>1461.3</v>
      </c>
      <c r="L463" s="52">
        <f>L464+L467</f>
        <v>7861.5</v>
      </c>
      <c r="M463" s="300">
        <f t="shared" si="139"/>
        <v>229</v>
      </c>
      <c r="N463" s="52">
        <f>N464+N467</f>
        <v>1461.3</v>
      </c>
      <c r="O463" s="300">
        <f t="shared" si="135"/>
        <v>0</v>
      </c>
      <c r="P463" s="52">
        <f>P464+P467</f>
        <v>1461.3</v>
      </c>
      <c r="Q463" s="52">
        <f>Q464+Q467</f>
        <v>1461.3</v>
      </c>
      <c r="R463" s="333">
        <f t="shared" si="137"/>
        <v>0</v>
      </c>
      <c r="S463" s="32"/>
      <c r="T463" s="32"/>
      <c r="U463" s="32"/>
    </row>
    <row r="464" spans="2:21" s="51" customFormat="1" ht="38.25" customHeight="1" x14ac:dyDescent="0.2">
      <c r="B464" s="62" t="s">
        <v>123</v>
      </c>
      <c r="C464" s="53" t="s">
        <v>669</v>
      </c>
      <c r="D464" s="60" t="s">
        <v>97</v>
      </c>
      <c r="E464" s="60" t="s">
        <v>111</v>
      </c>
      <c r="F464" s="54" t="s">
        <v>122</v>
      </c>
      <c r="G464" s="60"/>
      <c r="H464" s="52">
        <f t="shared" ref="H464:Q465" si="140">H465</f>
        <v>567</v>
      </c>
      <c r="I464" s="52">
        <f t="shared" si="140"/>
        <v>604.79999999999995</v>
      </c>
      <c r="J464" s="300">
        <f t="shared" si="134"/>
        <v>37.799999999999955</v>
      </c>
      <c r="K464" s="52">
        <f t="shared" si="140"/>
        <v>1461.3</v>
      </c>
      <c r="L464" s="52">
        <f t="shared" si="140"/>
        <v>661.5</v>
      </c>
      <c r="M464" s="300">
        <f t="shared" si="139"/>
        <v>56.700000000000045</v>
      </c>
      <c r="N464" s="52">
        <f t="shared" si="140"/>
        <v>1461.3</v>
      </c>
      <c r="O464" s="300">
        <f t="shared" si="135"/>
        <v>0</v>
      </c>
      <c r="P464" s="52">
        <f t="shared" si="140"/>
        <v>1461.3</v>
      </c>
      <c r="Q464" s="52">
        <f t="shared" si="140"/>
        <v>1461.3</v>
      </c>
      <c r="R464" s="333">
        <f t="shared" si="137"/>
        <v>0</v>
      </c>
      <c r="S464" s="32"/>
      <c r="T464" s="32"/>
      <c r="U464" s="32"/>
    </row>
    <row r="465" spans="2:21" s="51" customFormat="1" ht="16.5" customHeight="1" x14ac:dyDescent="0.2">
      <c r="B465" s="68" t="s">
        <v>121</v>
      </c>
      <c r="C465" s="53" t="s">
        <v>669</v>
      </c>
      <c r="D465" s="60" t="s">
        <v>97</v>
      </c>
      <c r="E465" s="60" t="s">
        <v>111</v>
      </c>
      <c r="F465" s="54" t="s">
        <v>120</v>
      </c>
      <c r="G465" s="60"/>
      <c r="H465" s="52">
        <f t="shared" si="140"/>
        <v>567</v>
      </c>
      <c r="I465" s="52">
        <f t="shared" si="140"/>
        <v>604.79999999999995</v>
      </c>
      <c r="J465" s="300">
        <f t="shared" si="134"/>
        <v>37.799999999999955</v>
      </c>
      <c r="K465" s="52">
        <f t="shared" si="140"/>
        <v>1461.3</v>
      </c>
      <c r="L465" s="52">
        <f t="shared" si="140"/>
        <v>661.5</v>
      </c>
      <c r="M465" s="300">
        <f t="shared" si="139"/>
        <v>56.700000000000045</v>
      </c>
      <c r="N465" s="52">
        <f t="shared" si="140"/>
        <v>1461.3</v>
      </c>
      <c r="O465" s="300">
        <f t="shared" si="135"/>
        <v>0</v>
      </c>
      <c r="P465" s="52">
        <f t="shared" si="140"/>
        <v>1461.3</v>
      </c>
      <c r="Q465" s="52">
        <f t="shared" si="140"/>
        <v>1461.3</v>
      </c>
      <c r="R465" s="333">
        <f t="shared" si="137"/>
        <v>0</v>
      </c>
      <c r="S465" s="32"/>
      <c r="T465" s="32"/>
      <c r="U465" s="32"/>
    </row>
    <row r="466" spans="2:21" s="51" customFormat="1" ht="27" customHeight="1" x14ac:dyDescent="0.2">
      <c r="B466" s="64" t="s">
        <v>100</v>
      </c>
      <c r="C466" s="53" t="s">
        <v>669</v>
      </c>
      <c r="D466" s="60" t="s">
        <v>97</v>
      </c>
      <c r="E466" s="60" t="s">
        <v>111</v>
      </c>
      <c r="F466" s="54" t="s">
        <v>120</v>
      </c>
      <c r="G466" s="60" t="s">
        <v>99</v>
      </c>
      <c r="H466" s="52">
        <f>174+566.8+166.2-340</f>
        <v>567</v>
      </c>
      <c r="I466" s="52">
        <f>567+37.8</f>
        <v>604.79999999999995</v>
      </c>
      <c r="J466" s="300">
        <f t="shared" si="134"/>
        <v>37.799999999999955</v>
      </c>
      <c r="K466" s="52">
        <f>519.6+566.5+375.2</f>
        <v>1461.3</v>
      </c>
      <c r="L466" s="52">
        <f>604.8+56.7</f>
        <v>661.5</v>
      </c>
      <c r="M466" s="300">
        <f t="shared" si="139"/>
        <v>56.700000000000045</v>
      </c>
      <c r="N466" s="52">
        <f>519.6+566.5+375.2</f>
        <v>1461.3</v>
      </c>
      <c r="O466" s="300">
        <f t="shared" si="135"/>
        <v>0</v>
      </c>
      <c r="P466" s="65">
        <f>519.6+566.5+375.2</f>
        <v>1461.3</v>
      </c>
      <c r="Q466" s="65">
        <f>519.6+566.5+375.2</f>
        <v>1461.3</v>
      </c>
      <c r="R466" s="333">
        <f t="shared" si="137"/>
        <v>0</v>
      </c>
      <c r="S466" s="32"/>
      <c r="T466" s="32"/>
      <c r="U466" s="32"/>
    </row>
    <row r="467" spans="2:21" s="51" customFormat="1" ht="24.75" customHeight="1" x14ac:dyDescent="0.2">
      <c r="B467" s="62" t="s">
        <v>119</v>
      </c>
      <c r="C467" s="53" t="s">
        <v>669</v>
      </c>
      <c r="D467" s="60" t="s">
        <v>97</v>
      </c>
      <c r="E467" s="60" t="s">
        <v>111</v>
      </c>
      <c r="F467" s="54" t="s">
        <v>118</v>
      </c>
      <c r="G467" s="60"/>
      <c r="H467" s="52">
        <f t="shared" ref="H467:Q468" si="141">H468</f>
        <v>7027.7</v>
      </c>
      <c r="I467" s="52">
        <f t="shared" si="141"/>
        <v>7027.7</v>
      </c>
      <c r="J467" s="300">
        <f t="shared" si="134"/>
        <v>0</v>
      </c>
      <c r="K467" s="52">
        <f t="shared" si="141"/>
        <v>0</v>
      </c>
      <c r="L467" s="52">
        <f t="shared" si="141"/>
        <v>7200</v>
      </c>
      <c r="M467" s="300">
        <f t="shared" si="139"/>
        <v>172.30000000000018</v>
      </c>
      <c r="N467" s="52">
        <f t="shared" si="141"/>
        <v>0</v>
      </c>
      <c r="O467" s="300">
        <f t="shared" si="135"/>
        <v>0</v>
      </c>
      <c r="P467" s="52">
        <f t="shared" si="141"/>
        <v>0</v>
      </c>
      <c r="Q467" s="52">
        <f t="shared" si="141"/>
        <v>0</v>
      </c>
      <c r="R467" s="333">
        <f t="shared" si="137"/>
        <v>0</v>
      </c>
      <c r="S467" s="32"/>
      <c r="T467" s="32"/>
      <c r="U467" s="32"/>
    </row>
    <row r="468" spans="2:21" s="51" customFormat="1" ht="29.25" customHeight="1" x14ac:dyDescent="0.2">
      <c r="B468" s="81" t="s">
        <v>117</v>
      </c>
      <c r="C468" s="53" t="s">
        <v>669</v>
      </c>
      <c r="D468" s="60" t="s">
        <v>97</v>
      </c>
      <c r="E468" s="60" t="s">
        <v>111</v>
      </c>
      <c r="F468" s="54" t="s">
        <v>116</v>
      </c>
      <c r="G468" s="60"/>
      <c r="H468" s="52">
        <f t="shared" si="141"/>
        <v>7027.7</v>
      </c>
      <c r="I468" s="52">
        <f t="shared" si="141"/>
        <v>7027.7</v>
      </c>
      <c r="J468" s="300">
        <f t="shared" si="134"/>
        <v>0</v>
      </c>
      <c r="K468" s="52">
        <f t="shared" si="141"/>
        <v>0</v>
      </c>
      <c r="L468" s="52">
        <f t="shared" si="141"/>
        <v>7200</v>
      </c>
      <c r="M468" s="300">
        <f t="shared" si="139"/>
        <v>172.30000000000018</v>
      </c>
      <c r="N468" s="52">
        <f t="shared" si="141"/>
        <v>0</v>
      </c>
      <c r="O468" s="300">
        <f t="shared" si="135"/>
        <v>0</v>
      </c>
      <c r="P468" s="52">
        <f t="shared" si="141"/>
        <v>0</v>
      </c>
      <c r="Q468" s="52">
        <f t="shared" si="141"/>
        <v>0</v>
      </c>
      <c r="R468" s="333">
        <f t="shared" si="137"/>
        <v>0</v>
      </c>
      <c r="S468" s="32"/>
      <c r="T468" s="32"/>
      <c r="U468" s="32"/>
    </row>
    <row r="469" spans="2:21" s="51" customFormat="1" ht="27" customHeight="1" x14ac:dyDescent="0.2">
      <c r="B469" s="64" t="s">
        <v>100</v>
      </c>
      <c r="C469" s="53" t="s">
        <v>669</v>
      </c>
      <c r="D469" s="60" t="s">
        <v>97</v>
      </c>
      <c r="E469" s="60" t="s">
        <v>111</v>
      </c>
      <c r="F469" s="54" t="s">
        <v>116</v>
      </c>
      <c r="G469" s="60" t="s">
        <v>99</v>
      </c>
      <c r="H469" s="52">
        <f>6676.3+351.4</f>
        <v>7027.7</v>
      </c>
      <c r="I469" s="52">
        <f>6676.3+351.4</f>
        <v>7027.7</v>
      </c>
      <c r="J469" s="300">
        <f t="shared" si="134"/>
        <v>0</v>
      </c>
      <c r="K469" s="52">
        <v>0</v>
      </c>
      <c r="L469" s="52">
        <f>7027.7+163.7+8.6</f>
        <v>7200</v>
      </c>
      <c r="M469" s="300">
        <f t="shared" si="139"/>
        <v>172.30000000000018</v>
      </c>
      <c r="N469" s="52">
        <v>0</v>
      </c>
      <c r="O469" s="300">
        <f t="shared" si="135"/>
        <v>0</v>
      </c>
      <c r="P469" s="52">
        <v>0</v>
      </c>
      <c r="Q469" s="52">
        <v>0</v>
      </c>
      <c r="R469" s="333">
        <f t="shared" si="137"/>
        <v>0</v>
      </c>
      <c r="S469" s="32"/>
      <c r="T469" s="32"/>
      <c r="U469" s="32"/>
    </row>
    <row r="470" spans="2:21" s="51" customFormat="1" ht="17.25" hidden="1" customHeight="1" x14ac:dyDescent="0.2">
      <c r="B470" s="62" t="s">
        <v>52</v>
      </c>
      <c r="C470" s="53" t="s">
        <v>669</v>
      </c>
      <c r="D470" s="60" t="s">
        <v>97</v>
      </c>
      <c r="E470" s="60" t="s">
        <v>111</v>
      </c>
      <c r="F470" s="54" t="s">
        <v>115</v>
      </c>
      <c r="G470" s="60"/>
      <c r="H470" s="52">
        <f t="shared" ref="H470:I472" si="142">H471</f>
        <v>0</v>
      </c>
      <c r="I470" s="52">
        <f t="shared" si="142"/>
        <v>0</v>
      </c>
      <c r="J470" s="300">
        <f t="shared" si="134"/>
        <v>0</v>
      </c>
      <c r="K470" s="52">
        <f t="shared" ref="K470:Q472" si="143">K471</f>
        <v>0</v>
      </c>
      <c r="L470" s="52">
        <f t="shared" si="143"/>
        <v>0</v>
      </c>
      <c r="M470" s="300">
        <f t="shared" si="139"/>
        <v>0</v>
      </c>
      <c r="N470" s="52">
        <f t="shared" si="143"/>
        <v>0</v>
      </c>
      <c r="O470" s="300">
        <f t="shared" si="135"/>
        <v>0</v>
      </c>
      <c r="P470" s="52">
        <f t="shared" si="143"/>
        <v>0</v>
      </c>
      <c r="Q470" s="52">
        <f t="shared" si="143"/>
        <v>0</v>
      </c>
      <c r="R470" s="333">
        <f t="shared" si="137"/>
        <v>0</v>
      </c>
      <c r="S470" s="32"/>
      <c r="T470" s="32"/>
      <c r="U470" s="32"/>
    </row>
    <row r="471" spans="2:21" s="51" customFormat="1" ht="54" hidden="1" customHeight="1" x14ac:dyDescent="0.2">
      <c r="B471" s="62" t="s">
        <v>114</v>
      </c>
      <c r="C471" s="53" t="s">
        <v>669</v>
      </c>
      <c r="D471" s="60" t="s">
        <v>97</v>
      </c>
      <c r="E471" s="60" t="s">
        <v>111</v>
      </c>
      <c r="F471" s="54" t="s">
        <v>113</v>
      </c>
      <c r="G471" s="60"/>
      <c r="H471" s="52">
        <f t="shared" si="142"/>
        <v>0</v>
      </c>
      <c r="I471" s="52">
        <f t="shared" si="142"/>
        <v>0</v>
      </c>
      <c r="J471" s="300">
        <f t="shared" si="134"/>
        <v>0</v>
      </c>
      <c r="K471" s="52">
        <f t="shared" si="143"/>
        <v>0</v>
      </c>
      <c r="L471" s="52">
        <f t="shared" si="143"/>
        <v>0</v>
      </c>
      <c r="M471" s="300">
        <f t="shared" si="139"/>
        <v>0</v>
      </c>
      <c r="N471" s="52">
        <f t="shared" si="143"/>
        <v>0</v>
      </c>
      <c r="O471" s="300">
        <f t="shared" si="135"/>
        <v>0</v>
      </c>
      <c r="P471" s="52">
        <f t="shared" si="143"/>
        <v>0</v>
      </c>
      <c r="Q471" s="52">
        <f t="shared" si="143"/>
        <v>0</v>
      </c>
      <c r="R471" s="333">
        <f t="shared" si="137"/>
        <v>0</v>
      </c>
      <c r="S471" s="32"/>
      <c r="T471" s="32"/>
      <c r="U471" s="32"/>
    </row>
    <row r="472" spans="2:21" s="51" customFormat="1" ht="57.75" hidden="1" customHeight="1" x14ac:dyDescent="0.2">
      <c r="B472" s="56" t="s">
        <v>112</v>
      </c>
      <c r="C472" s="53" t="s">
        <v>669</v>
      </c>
      <c r="D472" s="60" t="s">
        <v>97</v>
      </c>
      <c r="E472" s="60" t="s">
        <v>111</v>
      </c>
      <c r="F472" s="54" t="s">
        <v>110</v>
      </c>
      <c r="G472" s="60"/>
      <c r="H472" s="52">
        <f t="shared" si="142"/>
        <v>0</v>
      </c>
      <c r="I472" s="52">
        <f t="shared" si="142"/>
        <v>0</v>
      </c>
      <c r="J472" s="300">
        <f t="shared" si="134"/>
        <v>0</v>
      </c>
      <c r="K472" s="52">
        <f t="shared" si="143"/>
        <v>0</v>
      </c>
      <c r="L472" s="52">
        <f t="shared" si="143"/>
        <v>0</v>
      </c>
      <c r="M472" s="300">
        <f t="shared" si="139"/>
        <v>0</v>
      </c>
      <c r="N472" s="52">
        <f t="shared" si="143"/>
        <v>0</v>
      </c>
      <c r="O472" s="300">
        <f t="shared" si="135"/>
        <v>0</v>
      </c>
      <c r="P472" s="52">
        <f t="shared" si="143"/>
        <v>0</v>
      </c>
      <c r="Q472" s="52">
        <f t="shared" si="143"/>
        <v>0</v>
      </c>
      <c r="R472" s="333">
        <f t="shared" si="137"/>
        <v>0</v>
      </c>
      <c r="S472" s="32"/>
      <c r="T472" s="32"/>
      <c r="U472" s="32"/>
    </row>
    <row r="473" spans="2:21" s="51" customFormat="1" ht="26.25" hidden="1" customHeight="1" x14ac:dyDescent="0.2">
      <c r="B473" s="64" t="s">
        <v>100</v>
      </c>
      <c r="C473" s="53" t="s">
        <v>669</v>
      </c>
      <c r="D473" s="60" t="s">
        <v>97</v>
      </c>
      <c r="E473" s="60" t="s">
        <v>111</v>
      </c>
      <c r="F473" s="54" t="s">
        <v>110</v>
      </c>
      <c r="G473" s="60" t="s">
        <v>99</v>
      </c>
      <c r="H473" s="52">
        <v>0</v>
      </c>
      <c r="I473" s="52">
        <v>0</v>
      </c>
      <c r="J473" s="300">
        <f t="shared" si="134"/>
        <v>0</v>
      </c>
      <c r="K473" s="52">
        <v>0</v>
      </c>
      <c r="L473" s="52">
        <v>0</v>
      </c>
      <c r="M473" s="300">
        <f t="shared" si="139"/>
        <v>0</v>
      </c>
      <c r="N473" s="52">
        <v>0</v>
      </c>
      <c r="O473" s="300">
        <f t="shared" si="135"/>
        <v>0</v>
      </c>
      <c r="P473" s="52">
        <v>0</v>
      </c>
      <c r="Q473" s="52">
        <v>0</v>
      </c>
      <c r="R473" s="333">
        <f t="shared" si="137"/>
        <v>0</v>
      </c>
      <c r="S473" s="32"/>
      <c r="T473" s="32"/>
      <c r="U473" s="32"/>
    </row>
    <row r="474" spans="2:21" s="43" customFormat="1" ht="14.25" customHeight="1" x14ac:dyDescent="0.2">
      <c r="B474" s="183" t="s">
        <v>107</v>
      </c>
      <c r="C474" s="48" t="s">
        <v>669</v>
      </c>
      <c r="D474" s="48" t="s">
        <v>97</v>
      </c>
      <c r="E474" s="48" t="s">
        <v>96</v>
      </c>
      <c r="F474" s="49"/>
      <c r="G474" s="48"/>
      <c r="H474" s="44">
        <f t="shared" ref="H474:Q477" si="144">H475</f>
        <v>570</v>
      </c>
      <c r="I474" s="44">
        <f t="shared" si="144"/>
        <v>570</v>
      </c>
      <c r="J474" s="300">
        <f t="shared" si="134"/>
        <v>0</v>
      </c>
      <c r="K474" s="44">
        <f t="shared" si="144"/>
        <v>0</v>
      </c>
      <c r="L474" s="44">
        <f t="shared" si="144"/>
        <v>570</v>
      </c>
      <c r="M474" s="300">
        <f t="shared" si="139"/>
        <v>0</v>
      </c>
      <c r="N474" s="44">
        <f t="shared" si="144"/>
        <v>0</v>
      </c>
      <c r="O474" s="300">
        <f t="shared" si="135"/>
        <v>0</v>
      </c>
      <c r="P474" s="44">
        <f t="shared" si="144"/>
        <v>0</v>
      </c>
      <c r="Q474" s="44">
        <f t="shared" si="144"/>
        <v>0</v>
      </c>
      <c r="R474" s="333">
        <f t="shared" si="137"/>
        <v>0</v>
      </c>
    </row>
    <row r="475" spans="2:21" s="32" customFormat="1" ht="29.25" customHeight="1" x14ac:dyDescent="0.2">
      <c r="B475" s="79" t="s">
        <v>147</v>
      </c>
      <c r="C475" s="53" t="s">
        <v>669</v>
      </c>
      <c r="D475" s="53" t="s">
        <v>97</v>
      </c>
      <c r="E475" s="53" t="s">
        <v>96</v>
      </c>
      <c r="F475" s="78" t="s">
        <v>105</v>
      </c>
      <c r="G475" s="53"/>
      <c r="H475" s="52">
        <f t="shared" si="144"/>
        <v>570</v>
      </c>
      <c r="I475" s="52">
        <f t="shared" si="144"/>
        <v>570</v>
      </c>
      <c r="J475" s="300">
        <f t="shared" si="134"/>
        <v>0</v>
      </c>
      <c r="K475" s="52">
        <f t="shared" si="144"/>
        <v>0</v>
      </c>
      <c r="L475" s="52">
        <f t="shared" si="144"/>
        <v>570</v>
      </c>
      <c r="M475" s="300">
        <f t="shared" si="139"/>
        <v>0</v>
      </c>
      <c r="N475" s="52">
        <f t="shared" si="144"/>
        <v>0</v>
      </c>
      <c r="O475" s="300">
        <f t="shared" si="135"/>
        <v>0</v>
      </c>
      <c r="P475" s="52">
        <f t="shared" si="144"/>
        <v>0</v>
      </c>
      <c r="Q475" s="52">
        <f t="shared" si="144"/>
        <v>0</v>
      </c>
      <c r="R475" s="333">
        <f t="shared" si="137"/>
        <v>0</v>
      </c>
    </row>
    <row r="476" spans="2:21" s="32" customFormat="1" ht="15.75" customHeight="1" x14ac:dyDescent="0.2">
      <c r="B476" s="77" t="s">
        <v>52</v>
      </c>
      <c r="C476" s="53" t="s">
        <v>669</v>
      </c>
      <c r="D476" s="53" t="s">
        <v>97</v>
      </c>
      <c r="E476" s="53" t="s">
        <v>96</v>
      </c>
      <c r="F476" s="74" t="s">
        <v>104</v>
      </c>
      <c r="G476" s="53"/>
      <c r="H476" s="52">
        <f t="shared" si="144"/>
        <v>570</v>
      </c>
      <c r="I476" s="52">
        <f t="shared" si="144"/>
        <v>570</v>
      </c>
      <c r="J476" s="300">
        <f t="shared" si="134"/>
        <v>0</v>
      </c>
      <c r="K476" s="52">
        <f t="shared" si="144"/>
        <v>0</v>
      </c>
      <c r="L476" s="52">
        <f t="shared" si="144"/>
        <v>570</v>
      </c>
      <c r="M476" s="300">
        <f t="shared" si="139"/>
        <v>0</v>
      </c>
      <c r="N476" s="52">
        <f t="shared" si="144"/>
        <v>0</v>
      </c>
      <c r="O476" s="300">
        <f t="shared" si="135"/>
        <v>0</v>
      </c>
      <c r="P476" s="52">
        <f t="shared" si="144"/>
        <v>0</v>
      </c>
      <c r="Q476" s="52">
        <f t="shared" si="144"/>
        <v>0</v>
      </c>
      <c r="R476" s="333">
        <f t="shared" si="137"/>
        <v>0</v>
      </c>
    </row>
    <row r="477" spans="2:21" s="32" customFormat="1" ht="26.25" customHeight="1" x14ac:dyDescent="0.2">
      <c r="B477" s="77" t="s">
        <v>103</v>
      </c>
      <c r="C477" s="53" t="s">
        <v>669</v>
      </c>
      <c r="D477" s="53" t="s">
        <v>97</v>
      </c>
      <c r="E477" s="53" t="s">
        <v>96</v>
      </c>
      <c r="F477" s="74" t="s">
        <v>102</v>
      </c>
      <c r="G477" s="53"/>
      <c r="H477" s="52">
        <f t="shared" si="144"/>
        <v>570</v>
      </c>
      <c r="I477" s="52">
        <f t="shared" si="144"/>
        <v>570</v>
      </c>
      <c r="J477" s="300">
        <f t="shared" si="134"/>
        <v>0</v>
      </c>
      <c r="K477" s="52">
        <f t="shared" si="144"/>
        <v>0</v>
      </c>
      <c r="L477" s="52">
        <f t="shared" si="144"/>
        <v>570</v>
      </c>
      <c r="M477" s="300">
        <f t="shared" si="139"/>
        <v>0</v>
      </c>
      <c r="N477" s="52">
        <f t="shared" si="144"/>
        <v>0</v>
      </c>
      <c r="O477" s="300">
        <f t="shared" si="135"/>
        <v>0</v>
      </c>
      <c r="P477" s="52">
        <f t="shared" si="144"/>
        <v>0</v>
      </c>
      <c r="Q477" s="52">
        <f t="shared" si="144"/>
        <v>0</v>
      </c>
      <c r="R477" s="333">
        <f t="shared" si="137"/>
        <v>0</v>
      </c>
    </row>
    <row r="478" spans="2:21" s="32" customFormat="1" ht="24" customHeight="1" x14ac:dyDescent="0.2">
      <c r="B478" s="76" t="s">
        <v>101</v>
      </c>
      <c r="C478" s="53" t="s">
        <v>669</v>
      </c>
      <c r="D478" s="53" t="s">
        <v>97</v>
      </c>
      <c r="E478" s="53" t="s">
        <v>96</v>
      </c>
      <c r="F478" s="74" t="s">
        <v>95</v>
      </c>
      <c r="G478" s="53"/>
      <c r="H478" s="52">
        <f>H480+H479</f>
        <v>570</v>
      </c>
      <c r="I478" s="52">
        <f>I480+I479</f>
        <v>570</v>
      </c>
      <c r="J478" s="300">
        <f t="shared" si="134"/>
        <v>0</v>
      </c>
      <c r="K478" s="52">
        <f>K480+K479</f>
        <v>0</v>
      </c>
      <c r="L478" s="52">
        <f>L480+L479</f>
        <v>570</v>
      </c>
      <c r="M478" s="300">
        <f t="shared" si="139"/>
        <v>0</v>
      </c>
      <c r="N478" s="52">
        <f>N480+N479</f>
        <v>0</v>
      </c>
      <c r="O478" s="300">
        <f t="shared" si="135"/>
        <v>0</v>
      </c>
      <c r="P478" s="52">
        <f>P480+P479</f>
        <v>0</v>
      </c>
      <c r="Q478" s="52">
        <f>Q480+Q479</f>
        <v>0</v>
      </c>
      <c r="R478" s="333">
        <f t="shared" si="137"/>
        <v>0</v>
      </c>
    </row>
    <row r="479" spans="2:21" s="32" customFormat="1" ht="24" customHeight="1" x14ac:dyDescent="0.2">
      <c r="B479" s="56" t="s">
        <v>73</v>
      </c>
      <c r="C479" s="53" t="s">
        <v>669</v>
      </c>
      <c r="D479" s="53" t="s">
        <v>97</v>
      </c>
      <c r="E479" s="53" t="s">
        <v>96</v>
      </c>
      <c r="F479" s="74" t="s">
        <v>95</v>
      </c>
      <c r="G479" s="53" t="s">
        <v>70</v>
      </c>
      <c r="H479" s="52">
        <v>150</v>
      </c>
      <c r="I479" s="52">
        <v>150</v>
      </c>
      <c r="J479" s="300">
        <f t="shared" si="134"/>
        <v>0</v>
      </c>
      <c r="K479" s="52">
        <v>0</v>
      </c>
      <c r="L479" s="52">
        <v>150</v>
      </c>
      <c r="M479" s="300">
        <f t="shared" si="139"/>
        <v>0</v>
      </c>
      <c r="N479" s="52">
        <v>0</v>
      </c>
      <c r="O479" s="300">
        <f t="shared" si="135"/>
        <v>0</v>
      </c>
      <c r="P479" s="52">
        <v>0</v>
      </c>
      <c r="Q479" s="52">
        <v>0</v>
      </c>
      <c r="R479" s="333">
        <f t="shared" si="137"/>
        <v>0</v>
      </c>
    </row>
    <row r="480" spans="2:21" s="32" customFormat="1" ht="24" customHeight="1" x14ac:dyDescent="0.2">
      <c r="B480" s="64" t="s">
        <v>100</v>
      </c>
      <c r="C480" s="53" t="s">
        <v>669</v>
      </c>
      <c r="D480" s="53" t="s">
        <v>97</v>
      </c>
      <c r="E480" s="53" t="s">
        <v>96</v>
      </c>
      <c r="F480" s="74" t="s">
        <v>95</v>
      </c>
      <c r="G480" s="53" t="s">
        <v>99</v>
      </c>
      <c r="H480" s="52">
        <v>420</v>
      </c>
      <c r="I480" s="52">
        <v>420</v>
      </c>
      <c r="J480" s="300">
        <f t="shared" si="134"/>
        <v>0</v>
      </c>
      <c r="K480" s="52">
        <v>0</v>
      </c>
      <c r="L480" s="52">
        <v>420</v>
      </c>
      <c r="M480" s="300">
        <f t="shared" si="139"/>
        <v>0</v>
      </c>
      <c r="N480" s="52">
        <v>0</v>
      </c>
      <c r="O480" s="300">
        <f t="shared" si="135"/>
        <v>0</v>
      </c>
      <c r="P480" s="52">
        <v>0</v>
      </c>
      <c r="Q480" s="52">
        <v>0</v>
      </c>
      <c r="R480" s="333">
        <f t="shared" si="137"/>
        <v>0</v>
      </c>
    </row>
    <row r="481" spans="2:18" s="43" customFormat="1" ht="15" customHeight="1" x14ac:dyDescent="0.2">
      <c r="B481" s="185" t="s">
        <v>688</v>
      </c>
      <c r="C481" s="48" t="s">
        <v>669</v>
      </c>
      <c r="D481" s="48" t="s">
        <v>60</v>
      </c>
      <c r="E481" s="48"/>
      <c r="F481" s="186"/>
      <c r="G481" s="48"/>
      <c r="H481" s="44">
        <f>H482+H509+H501</f>
        <v>17428.399999999998</v>
      </c>
      <c r="I481" s="44">
        <f>I482+I509+I501</f>
        <v>43460.399999999994</v>
      </c>
      <c r="J481" s="300">
        <f t="shared" si="134"/>
        <v>26031.999999999996</v>
      </c>
      <c r="K481" s="44">
        <f>K482+K509+K501</f>
        <v>17508.399999999998</v>
      </c>
      <c r="L481" s="44">
        <f>L482+L509+L501</f>
        <v>43460.4</v>
      </c>
      <c r="M481" s="300">
        <f t="shared" si="139"/>
        <v>0</v>
      </c>
      <c r="N481" s="44">
        <f>N482+N509+N501</f>
        <v>17508.399999999998</v>
      </c>
      <c r="O481" s="300">
        <f t="shared" si="135"/>
        <v>0</v>
      </c>
      <c r="P481" s="44">
        <f>P482+P509+P501</f>
        <v>17508.399999999998</v>
      </c>
      <c r="Q481" s="44">
        <f>Q482+Q509+Q501</f>
        <v>17508.399999999998</v>
      </c>
      <c r="R481" s="333">
        <f t="shared" si="137"/>
        <v>0</v>
      </c>
    </row>
    <row r="482" spans="2:18" s="43" customFormat="1" ht="12.75" customHeight="1" x14ac:dyDescent="0.2">
      <c r="B482" s="59" t="s">
        <v>93</v>
      </c>
      <c r="C482" s="48" t="s">
        <v>669</v>
      </c>
      <c r="D482" s="48" t="s">
        <v>60</v>
      </c>
      <c r="E482" s="48" t="s">
        <v>45</v>
      </c>
      <c r="F482" s="48"/>
      <c r="G482" s="48"/>
      <c r="H482" s="44">
        <f t="shared" ref="H482:Q488" si="145">H483</f>
        <v>15441.8</v>
      </c>
      <c r="I482" s="44">
        <f t="shared" si="145"/>
        <v>33307.699999999997</v>
      </c>
      <c r="J482" s="300">
        <f t="shared" si="134"/>
        <v>17865.899999999998</v>
      </c>
      <c r="K482" s="44">
        <f t="shared" si="145"/>
        <v>15521.8</v>
      </c>
      <c r="L482" s="44">
        <f t="shared" si="145"/>
        <v>33314.800000000003</v>
      </c>
      <c r="M482" s="300">
        <f t="shared" si="139"/>
        <v>7.1000000000058208</v>
      </c>
      <c r="N482" s="44">
        <f t="shared" si="145"/>
        <v>15521.8</v>
      </c>
      <c r="O482" s="300">
        <f t="shared" si="135"/>
        <v>0</v>
      </c>
      <c r="P482" s="44">
        <f t="shared" si="145"/>
        <v>15521.8</v>
      </c>
      <c r="Q482" s="44">
        <f t="shared" si="145"/>
        <v>15521.8</v>
      </c>
      <c r="R482" s="333">
        <f t="shared" si="137"/>
        <v>0</v>
      </c>
    </row>
    <row r="483" spans="2:18" s="32" customFormat="1" ht="42" customHeight="1" x14ac:dyDescent="0.2">
      <c r="B483" s="62" t="s">
        <v>68</v>
      </c>
      <c r="C483" s="53" t="s">
        <v>669</v>
      </c>
      <c r="D483" s="53" t="s">
        <v>60</v>
      </c>
      <c r="E483" s="53" t="s">
        <v>45</v>
      </c>
      <c r="F483" s="54" t="s">
        <v>67</v>
      </c>
      <c r="G483" s="53"/>
      <c r="H483" s="70">
        <f>H488+H484</f>
        <v>15441.8</v>
      </c>
      <c r="I483" s="70">
        <f t="shared" ref="I483:Q483" si="146">I488+I484</f>
        <v>33307.699999999997</v>
      </c>
      <c r="J483" s="300">
        <f t="shared" si="134"/>
        <v>17865.899999999998</v>
      </c>
      <c r="K483" s="70">
        <f t="shared" si="146"/>
        <v>15521.8</v>
      </c>
      <c r="L483" s="70">
        <f t="shared" si="146"/>
        <v>33314.800000000003</v>
      </c>
      <c r="M483" s="300">
        <f t="shared" si="139"/>
        <v>7.1000000000058208</v>
      </c>
      <c r="N483" s="70">
        <f t="shared" si="146"/>
        <v>15521.8</v>
      </c>
      <c r="O483" s="300">
        <f t="shared" si="135"/>
        <v>0</v>
      </c>
      <c r="P483" s="70">
        <f t="shared" si="146"/>
        <v>15521.8</v>
      </c>
      <c r="Q483" s="70">
        <f t="shared" si="146"/>
        <v>15521.8</v>
      </c>
      <c r="R483" s="333">
        <f t="shared" si="137"/>
        <v>0</v>
      </c>
    </row>
    <row r="484" spans="2:18" s="32" customFormat="1" ht="19.5" customHeight="1" x14ac:dyDescent="0.2">
      <c r="B484" s="62" t="s">
        <v>66</v>
      </c>
      <c r="C484" s="53" t="s">
        <v>669</v>
      </c>
      <c r="D484" s="53" t="s">
        <v>60</v>
      </c>
      <c r="E484" s="53" t="s">
        <v>45</v>
      </c>
      <c r="F484" s="54" t="s">
        <v>65</v>
      </c>
      <c r="G484" s="53"/>
      <c r="H484" s="70">
        <f>H485</f>
        <v>0</v>
      </c>
      <c r="I484" s="70">
        <f t="shared" ref="I484:Q486" si="147">I485</f>
        <v>13365.9</v>
      </c>
      <c r="J484" s="300">
        <f t="shared" si="134"/>
        <v>13365.9</v>
      </c>
      <c r="K484" s="70">
        <f t="shared" si="147"/>
        <v>0</v>
      </c>
      <c r="L484" s="70">
        <f t="shared" si="147"/>
        <v>13365.9</v>
      </c>
      <c r="M484" s="300">
        <f t="shared" si="139"/>
        <v>0</v>
      </c>
      <c r="N484" s="70">
        <f t="shared" si="147"/>
        <v>0</v>
      </c>
      <c r="O484" s="300">
        <f t="shared" si="135"/>
        <v>0</v>
      </c>
      <c r="P484" s="70">
        <f t="shared" si="147"/>
        <v>0</v>
      </c>
      <c r="Q484" s="70">
        <f t="shared" si="147"/>
        <v>0</v>
      </c>
      <c r="R484" s="333">
        <f t="shared" si="137"/>
        <v>0</v>
      </c>
    </row>
    <row r="485" spans="2:18" s="32" customFormat="1" ht="30" customHeight="1" x14ac:dyDescent="0.2">
      <c r="B485" s="56" t="s">
        <v>64</v>
      </c>
      <c r="C485" s="53" t="s">
        <v>669</v>
      </c>
      <c r="D485" s="53" t="s">
        <v>60</v>
      </c>
      <c r="E485" s="53" t="s">
        <v>45</v>
      </c>
      <c r="F485" s="54" t="s">
        <v>63</v>
      </c>
      <c r="G485" s="53"/>
      <c r="H485" s="70">
        <f>H486</f>
        <v>0</v>
      </c>
      <c r="I485" s="70">
        <f t="shared" si="147"/>
        <v>13365.9</v>
      </c>
      <c r="J485" s="300">
        <f t="shared" si="134"/>
        <v>13365.9</v>
      </c>
      <c r="K485" s="70">
        <f t="shared" si="147"/>
        <v>0</v>
      </c>
      <c r="L485" s="70">
        <f t="shared" si="147"/>
        <v>13365.9</v>
      </c>
      <c r="M485" s="300">
        <f t="shared" si="139"/>
        <v>0</v>
      </c>
      <c r="N485" s="70">
        <f t="shared" si="147"/>
        <v>0</v>
      </c>
      <c r="O485" s="300">
        <f t="shared" si="135"/>
        <v>0</v>
      </c>
      <c r="P485" s="70">
        <f t="shared" si="147"/>
        <v>0</v>
      </c>
      <c r="Q485" s="70">
        <f t="shared" si="147"/>
        <v>0</v>
      </c>
      <c r="R485" s="333">
        <f t="shared" si="137"/>
        <v>0</v>
      </c>
    </row>
    <row r="486" spans="2:18" s="32" customFormat="1" ht="21" customHeight="1" x14ac:dyDescent="0.2">
      <c r="B486" s="62" t="s">
        <v>1073</v>
      </c>
      <c r="C486" s="53" t="s">
        <v>669</v>
      </c>
      <c r="D486" s="53" t="s">
        <v>60</v>
      </c>
      <c r="E486" s="53" t="s">
        <v>45</v>
      </c>
      <c r="F486" s="54" t="s">
        <v>1074</v>
      </c>
      <c r="G486" s="53"/>
      <c r="H486" s="70">
        <f>H487</f>
        <v>0</v>
      </c>
      <c r="I486" s="70">
        <f t="shared" si="147"/>
        <v>13365.9</v>
      </c>
      <c r="J486" s="300">
        <f t="shared" si="134"/>
        <v>13365.9</v>
      </c>
      <c r="K486" s="70">
        <f t="shared" si="147"/>
        <v>0</v>
      </c>
      <c r="L486" s="70">
        <f t="shared" si="147"/>
        <v>13365.9</v>
      </c>
      <c r="M486" s="300">
        <f t="shared" si="139"/>
        <v>0</v>
      </c>
      <c r="N486" s="70">
        <f t="shared" si="147"/>
        <v>0</v>
      </c>
      <c r="O486" s="299">
        <f t="shared" si="135"/>
        <v>0</v>
      </c>
      <c r="P486" s="70">
        <f t="shared" si="147"/>
        <v>0</v>
      </c>
      <c r="Q486" s="70">
        <f t="shared" si="147"/>
        <v>0</v>
      </c>
      <c r="R486" s="299">
        <f t="shared" si="137"/>
        <v>0</v>
      </c>
    </row>
    <row r="487" spans="2:18" s="32" customFormat="1" ht="28.5" customHeight="1" x14ac:dyDescent="0.2">
      <c r="B487" s="56" t="s">
        <v>73</v>
      </c>
      <c r="C487" s="53" t="s">
        <v>669</v>
      </c>
      <c r="D487" s="53" t="s">
        <v>60</v>
      </c>
      <c r="E487" s="53" t="s">
        <v>45</v>
      </c>
      <c r="F487" s="54" t="s">
        <v>1074</v>
      </c>
      <c r="G487" s="53" t="s">
        <v>70</v>
      </c>
      <c r="H487" s="70">
        <v>0</v>
      </c>
      <c r="I487" s="70">
        <f>12587.9+778</f>
        <v>13365.9</v>
      </c>
      <c r="J487" s="299">
        <f t="shared" si="134"/>
        <v>13365.9</v>
      </c>
      <c r="K487" s="70">
        <v>0</v>
      </c>
      <c r="L487" s="70">
        <f>12587.9+778</f>
        <v>13365.9</v>
      </c>
      <c r="M487" s="300">
        <f t="shared" si="139"/>
        <v>0</v>
      </c>
      <c r="N487" s="70">
        <v>0</v>
      </c>
      <c r="O487" s="299">
        <f t="shared" si="135"/>
        <v>0</v>
      </c>
      <c r="P487" s="70">
        <v>0</v>
      </c>
      <c r="Q487" s="70">
        <v>0</v>
      </c>
      <c r="R487" s="299">
        <f t="shared" si="137"/>
        <v>0</v>
      </c>
    </row>
    <row r="488" spans="2:18" s="32" customFormat="1" ht="15" customHeight="1" x14ac:dyDescent="0.2">
      <c r="B488" s="64" t="s">
        <v>52</v>
      </c>
      <c r="C488" s="53" t="s">
        <v>669</v>
      </c>
      <c r="D488" s="53" t="s">
        <v>60</v>
      </c>
      <c r="E488" s="53" t="s">
        <v>45</v>
      </c>
      <c r="F488" s="54" t="s">
        <v>92</v>
      </c>
      <c r="G488" s="53"/>
      <c r="H488" s="70">
        <f t="shared" si="145"/>
        <v>15441.8</v>
      </c>
      <c r="I488" s="70">
        <f t="shared" si="145"/>
        <v>19941.8</v>
      </c>
      <c r="J488" s="300">
        <f t="shared" si="134"/>
        <v>4500</v>
      </c>
      <c r="K488" s="70">
        <f t="shared" si="145"/>
        <v>15521.8</v>
      </c>
      <c r="L488" s="70">
        <f t="shared" si="145"/>
        <v>19948.900000000001</v>
      </c>
      <c r="M488" s="300">
        <f t="shared" si="139"/>
        <v>7.1000000000021828</v>
      </c>
      <c r="N488" s="70">
        <f t="shared" si="145"/>
        <v>15521.8</v>
      </c>
      <c r="O488" s="300">
        <f t="shared" si="135"/>
        <v>0</v>
      </c>
      <c r="P488" s="70">
        <f t="shared" si="145"/>
        <v>15521.8</v>
      </c>
      <c r="Q488" s="70">
        <f t="shared" si="145"/>
        <v>15521.8</v>
      </c>
      <c r="R488" s="333">
        <f t="shared" si="137"/>
        <v>0</v>
      </c>
    </row>
    <row r="489" spans="2:18" s="32" customFormat="1" ht="25.5" customHeight="1" x14ac:dyDescent="0.2">
      <c r="B489" s="64" t="s">
        <v>91</v>
      </c>
      <c r="C489" s="53" t="s">
        <v>669</v>
      </c>
      <c r="D489" s="53" t="s">
        <v>60</v>
      </c>
      <c r="E489" s="53" t="s">
        <v>45</v>
      </c>
      <c r="F489" s="54" t="s">
        <v>90</v>
      </c>
      <c r="G489" s="60"/>
      <c r="H489" s="52">
        <f>H490+H496+H493</f>
        <v>15441.8</v>
      </c>
      <c r="I489" s="52">
        <f>I490+I496+I493</f>
        <v>19941.8</v>
      </c>
      <c r="J489" s="300">
        <f t="shared" si="134"/>
        <v>4500</v>
      </c>
      <c r="K489" s="52">
        <f>K490+K496+K493</f>
        <v>15521.8</v>
      </c>
      <c r="L489" s="52">
        <f>L490+L496+L493</f>
        <v>19948.900000000001</v>
      </c>
      <c r="M489" s="300">
        <f t="shared" si="139"/>
        <v>7.1000000000021828</v>
      </c>
      <c r="N489" s="52">
        <f>N490+N496+N493</f>
        <v>15521.8</v>
      </c>
      <c r="O489" s="300">
        <f t="shared" si="135"/>
        <v>0</v>
      </c>
      <c r="P489" s="52">
        <f>P490+P496+P493</f>
        <v>15521.8</v>
      </c>
      <c r="Q489" s="52">
        <f>Q490+Q496+Q493</f>
        <v>15521.8</v>
      </c>
      <c r="R489" s="333">
        <f t="shared" si="137"/>
        <v>0</v>
      </c>
    </row>
    <row r="490" spans="2:18" s="32" customFormat="1" ht="25.5" customHeight="1" x14ac:dyDescent="0.2">
      <c r="B490" s="62" t="s">
        <v>174</v>
      </c>
      <c r="C490" s="53" t="s">
        <v>669</v>
      </c>
      <c r="D490" s="53" t="s">
        <v>60</v>
      </c>
      <c r="E490" s="53" t="s">
        <v>45</v>
      </c>
      <c r="F490" s="54" t="s">
        <v>89</v>
      </c>
      <c r="G490" s="60"/>
      <c r="H490" s="52">
        <f>H492+H491</f>
        <v>5134.5</v>
      </c>
      <c r="I490" s="52">
        <f t="shared" ref="I490:Q490" si="148">I492+I491</f>
        <v>9634.5</v>
      </c>
      <c r="J490" s="300">
        <f t="shared" si="134"/>
        <v>4500</v>
      </c>
      <c r="K490" s="52">
        <f t="shared" si="148"/>
        <v>5134.5</v>
      </c>
      <c r="L490" s="52">
        <f t="shared" si="148"/>
        <v>9634.5</v>
      </c>
      <c r="M490" s="300">
        <f t="shared" si="139"/>
        <v>0</v>
      </c>
      <c r="N490" s="52">
        <f t="shared" si="148"/>
        <v>5134.5</v>
      </c>
      <c r="O490" s="300">
        <f t="shared" si="135"/>
        <v>0</v>
      </c>
      <c r="P490" s="52">
        <f t="shared" si="148"/>
        <v>5134.5</v>
      </c>
      <c r="Q490" s="52">
        <f t="shared" si="148"/>
        <v>5134.5</v>
      </c>
      <c r="R490" s="333">
        <f t="shared" si="137"/>
        <v>0</v>
      </c>
    </row>
    <row r="491" spans="2:18" s="32" customFormat="1" ht="16.5" customHeight="1" x14ac:dyDescent="0.2">
      <c r="B491" s="64" t="s">
        <v>82</v>
      </c>
      <c r="C491" s="53" t="s">
        <v>669</v>
      </c>
      <c r="D491" s="53" t="s">
        <v>60</v>
      </c>
      <c r="E491" s="53" t="s">
        <v>45</v>
      </c>
      <c r="F491" s="54" t="s">
        <v>89</v>
      </c>
      <c r="G491" s="60" t="s">
        <v>81</v>
      </c>
      <c r="H491" s="52">
        <v>0</v>
      </c>
      <c r="I491" s="52">
        <f>4500+2500</f>
        <v>7000</v>
      </c>
      <c r="J491" s="300">
        <f t="shared" si="134"/>
        <v>7000</v>
      </c>
      <c r="K491" s="52">
        <v>0</v>
      </c>
      <c r="L491" s="52">
        <f>4500+2500</f>
        <v>7000</v>
      </c>
      <c r="M491" s="300">
        <f t="shared" si="139"/>
        <v>0</v>
      </c>
      <c r="N491" s="52">
        <f>5134.5</f>
        <v>5134.5</v>
      </c>
      <c r="O491" s="300">
        <f t="shared" si="135"/>
        <v>5134.5</v>
      </c>
      <c r="P491" s="65">
        <v>0</v>
      </c>
      <c r="Q491" s="52">
        <v>5134.5</v>
      </c>
      <c r="R491" s="333">
        <f t="shared" si="137"/>
        <v>5134.5</v>
      </c>
    </row>
    <row r="492" spans="2:18" s="32" customFormat="1" ht="15" customHeight="1" x14ac:dyDescent="0.2">
      <c r="B492" s="68" t="s">
        <v>87</v>
      </c>
      <c r="C492" s="53" t="s">
        <v>669</v>
      </c>
      <c r="D492" s="53" t="s">
        <v>60</v>
      </c>
      <c r="E492" s="53" t="s">
        <v>45</v>
      </c>
      <c r="F492" s="54" t="s">
        <v>89</v>
      </c>
      <c r="G492" s="60" t="s">
        <v>57</v>
      </c>
      <c r="H492" s="52">
        <v>5134.5</v>
      </c>
      <c r="I492" s="52">
        <f>5134.5-2500</f>
        <v>2634.5</v>
      </c>
      <c r="J492" s="300">
        <f t="shared" si="134"/>
        <v>-2500</v>
      </c>
      <c r="K492" s="52">
        <v>5134.5</v>
      </c>
      <c r="L492" s="52">
        <f>5134.5-2500</f>
        <v>2634.5</v>
      </c>
      <c r="M492" s="300">
        <f t="shared" si="139"/>
        <v>0</v>
      </c>
      <c r="N492" s="52">
        <f>5134.5-5134.5</f>
        <v>0</v>
      </c>
      <c r="O492" s="300">
        <f t="shared" si="135"/>
        <v>-5134.5</v>
      </c>
      <c r="P492" s="65">
        <v>5134.5</v>
      </c>
      <c r="Q492" s="52">
        <f>5134.5-5134.5</f>
        <v>0</v>
      </c>
      <c r="R492" s="333">
        <f t="shared" si="137"/>
        <v>-5134.5</v>
      </c>
    </row>
    <row r="493" spans="2:18" s="32" customFormat="1" ht="27" customHeight="1" x14ac:dyDescent="0.2">
      <c r="B493" s="64" t="s">
        <v>88</v>
      </c>
      <c r="C493" s="53" t="s">
        <v>669</v>
      </c>
      <c r="D493" s="53" t="s">
        <v>60</v>
      </c>
      <c r="E493" s="53" t="s">
        <v>45</v>
      </c>
      <c r="F493" s="54" t="s">
        <v>86</v>
      </c>
      <c r="G493" s="53"/>
      <c r="H493" s="52">
        <f>H495+H494</f>
        <v>9735.2999999999993</v>
      </c>
      <c r="I493" s="52">
        <f t="shared" ref="I493:Q493" si="149">I495+I494</f>
        <v>9735.2999999999993</v>
      </c>
      <c r="J493" s="300">
        <f t="shared" si="134"/>
        <v>0</v>
      </c>
      <c r="K493" s="52">
        <f t="shared" si="149"/>
        <v>9735.2999999999993</v>
      </c>
      <c r="L493" s="52">
        <f t="shared" si="149"/>
        <v>9735.2999999999993</v>
      </c>
      <c r="M493" s="300">
        <f t="shared" si="139"/>
        <v>0</v>
      </c>
      <c r="N493" s="52">
        <f t="shared" si="149"/>
        <v>9735.2999999999993</v>
      </c>
      <c r="O493" s="300">
        <f t="shared" si="135"/>
        <v>0</v>
      </c>
      <c r="P493" s="52">
        <f t="shared" si="149"/>
        <v>9735.2999999999993</v>
      </c>
      <c r="Q493" s="52">
        <f t="shared" si="149"/>
        <v>9735.2999999999993</v>
      </c>
      <c r="R493" s="333">
        <f t="shared" si="137"/>
        <v>0</v>
      </c>
    </row>
    <row r="494" spans="2:18" s="32" customFormat="1" ht="15" customHeight="1" x14ac:dyDescent="0.2">
      <c r="B494" s="64" t="s">
        <v>82</v>
      </c>
      <c r="C494" s="53" t="s">
        <v>669</v>
      </c>
      <c r="D494" s="53" t="s">
        <v>60</v>
      </c>
      <c r="E494" s="53" t="s">
        <v>45</v>
      </c>
      <c r="F494" s="54" t="s">
        <v>86</v>
      </c>
      <c r="G494" s="53" t="s">
        <v>81</v>
      </c>
      <c r="H494" s="52">
        <v>0</v>
      </c>
      <c r="I494" s="52">
        <v>4800</v>
      </c>
      <c r="J494" s="300">
        <f t="shared" si="134"/>
        <v>4800</v>
      </c>
      <c r="K494" s="52">
        <v>0</v>
      </c>
      <c r="L494" s="52">
        <v>4800</v>
      </c>
      <c r="M494" s="300">
        <f t="shared" si="139"/>
        <v>0</v>
      </c>
      <c r="N494" s="52">
        <v>9735.2999999999993</v>
      </c>
      <c r="O494" s="300">
        <f t="shared" si="135"/>
        <v>9735.2999999999993</v>
      </c>
      <c r="P494" s="65">
        <v>0</v>
      </c>
      <c r="Q494" s="52">
        <v>9735.2999999999993</v>
      </c>
      <c r="R494" s="333">
        <f t="shared" si="137"/>
        <v>9735.2999999999993</v>
      </c>
    </row>
    <row r="495" spans="2:18" s="32" customFormat="1" ht="15.75" customHeight="1" x14ac:dyDescent="0.2">
      <c r="B495" s="187" t="s">
        <v>61</v>
      </c>
      <c r="C495" s="53" t="s">
        <v>669</v>
      </c>
      <c r="D495" s="53" t="s">
        <v>60</v>
      </c>
      <c r="E495" s="53" t="s">
        <v>45</v>
      </c>
      <c r="F495" s="54" t="s">
        <v>86</v>
      </c>
      <c r="G495" s="53" t="s">
        <v>57</v>
      </c>
      <c r="H495" s="52">
        <f>8966.5+50+718.8</f>
        <v>9735.2999999999993</v>
      </c>
      <c r="I495" s="52">
        <f>9735.3-4800</f>
        <v>4935.2999999999993</v>
      </c>
      <c r="J495" s="300">
        <f t="shared" si="134"/>
        <v>-4800</v>
      </c>
      <c r="K495" s="52">
        <f>8966.5+50+718.8</f>
        <v>9735.2999999999993</v>
      </c>
      <c r="L495" s="52">
        <f>9735.3-4800</f>
        <v>4935.2999999999993</v>
      </c>
      <c r="M495" s="300">
        <f t="shared" si="139"/>
        <v>0</v>
      </c>
      <c r="N495" s="52">
        <f>9735.3-9735.3</f>
        <v>0</v>
      </c>
      <c r="O495" s="300">
        <f t="shared" si="135"/>
        <v>-9735.2999999999993</v>
      </c>
      <c r="P495" s="65">
        <f>8966.5+50+718.8</f>
        <v>9735.2999999999993</v>
      </c>
      <c r="Q495" s="52">
        <f>9735.3-9735.3</f>
        <v>0</v>
      </c>
      <c r="R495" s="333">
        <f t="shared" si="137"/>
        <v>-9735.2999999999993</v>
      </c>
    </row>
    <row r="496" spans="2:18" s="32" customFormat="1" ht="14.25" customHeight="1" x14ac:dyDescent="0.2">
      <c r="B496" s="67" t="s">
        <v>85</v>
      </c>
      <c r="C496" s="53" t="s">
        <v>669</v>
      </c>
      <c r="D496" s="53" t="s">
        <v>60</v>
      </c>
      <c r="E496" s="53" t="s">
        <v>45</v>
      </c>
      <c r="F496" s="54" t="s">
        <v>80</v>
      </c>
      <c r="G496" s="60"/>
      <c r="H496" s="52">
        <f>H497+H498+H499+H500</f>
        <v>572</v>
      </c>
      <c r="I496" s="52">
        <f>I497+I498+I499+I500</f>
        <v>572</v>
      </c>
      <c r="J496" s="300">
        <f t="shared" si="134"/>
        <v>0</v>
      </c>
      <c r="K496" s="52">
        <f>K497+K498+K499+K500</f>
        <v>652</v>
      </c>
      <c r="L496" s="52">
        <f>L497+L498+L499+L500</f>
        <v>579.1</v>
      </c>
      <c r="M496" s="300">
        <f t="shared" si="139"/>
        <v>7.1000000000000227</v>
      </c>
      <c r="N496" s="52">
        <f>N497+N498+N499+N500</f>
        <v>652</v>
      </c>
      <c r="O496" s="300">
        <f t="shared" si="135"/>
        <v>0</v>
      </c>
      <c r="P496" s="52">
        <f>P497+P498+P499+P500</f>
        <v>652</v>
      </c>
      <c r="Q496" s="52">
        <f>Q497+Q498+Q499+Q500</f>
        <v>652</v>
      </c>
      <c r="R496" s="333">
        <f t="shared" si="137"/>
        <v>0</v>
      </c>
    </row>
    <row r="497" spans="2:18" s="32" customFormat="1" ht="17.25" customHeight="1" x14ac:dyDescent="0.2">
      <c r="B497" s="66" t="s">
        <v>84</v>
      </c>
      <c r="C497" s="53" t="s">
        <v>669</v>
      </c>
      <c r="D497" s="53" t="s">
        <v>60</v>
      </c>
      <c r="E497" s="53" t="s">
        <v>45</v>
      </c>
      <c r="F497" s="54" t="s">
        <v>80</v>
      </c>
      <c r="G497" s="60" t="s">
        <v>83</v>
      </c>
      <c r="H497" s="52">
        <v>50</v>
      </c>
      <c r="I497" s="52">
        <v>50</v>
      </c>
      <c r="J497" s="300">
        <f t="shared" si="134"/>
        <v>0</v>
      </c>
      <c r="K497" s="52">
        <v>50</v>
      </c>
      <c r="L497" s="52">
        <v>50</v>
      </c>
      <c r="M497" s="300">
        <f t="shared" si="139"/>
        <v>0</v>
      </c>
      <c r="N497" s="52">
        <v>50</v>
      </c>
      <c r="O497" s="300">
        <f t="shared" si="135"/>
        <v>0</v>
      </c>
      <c r="P497" s="65">
        <v>50</v>
      </c>
      <c r="Q497" s="65">
        <v>50</v>
      </c>
      <c r="R497" s="333">
        <f t="shared" si="137"/>
        <v>0</v>
      </c>
    </row>
    <row r="498" spans="2:18" s="32" customFormat="1" ht="25.5" customHeight="1" x14ac:dyDescent="0.2">
      <c r="B498" s="56" t="s">
        <v>73</v>
      </c>
      <c r="C498" s="53" t="s">
        <v>669</v>
      </c>
      <c r="D498" s="53" t="s">
        <v>60</v>
      </c>
      <c r="E498" s="53" t="s">
        <v>45</v>
      </c>
      <c r="F498" s="54" t="s">
        <v>80</v>
      </c>
      <c r="G498" s="60" t="s">
        <v>70</v>
      </c>
      <c r="H498" s="52">
        <v>522</v>
      </c>
      <c r="I498" s="52">
        <v>522</v>
      </c>
      <c r="J498" s="300">
        <f t="shared" ref="J498:J564" si="150">I498-H498</f>
        <v>0</v>
      </c>
      <c r="K498" s="52">
        <v>602</v>
      </c>
      <c r="L498" s="52">
        <f>522+7.1</f>
        <v>529.1</v>
      </c>
      <c r="M498" s="300">
        <f t="shared" si="139"/>
        <v>7.1000000000000227</v>
      </c>
      <c r="N498" s="52">
        <v>602</v>
      </c>
      <c r="O498" s="300">
        <f t="shared" ref="O498:O564" si="151">N498-K498</f>
        <v>0</v>
      </c>
      <c r="P498" s="65">
        <v>602</v>
      </c>
      <c r="Q498" s="65">
        <v>602</v>
      </c>
      <c r="R498" s="333">
        <f t="shared" si="137"/>
        <v>0</v>
      </c>
    </row>
    <row r="499" spans="2:18" s="32" customFormat="1" ht="15.75" hidden="1" customHeight="1" x14ac:dyDescent="0.2">
      <c r="B499" s="64" t="s">
        <v>82</v>
      </c>
      <c r="C499" s="53" t="s">
        <v>669</v>
      </c>
      <c r="D499" s="53" t="s">
        <v>60</v>
      </c>
      <c r="E499" s="53" t="s">
        <v>45</v>
      </c>
      <c r="F499" s="54" t="s">
        <v>80</v>
      </c>
      <c r="G499" s="60" t="s">
        <v>81</v>
      </c>
      <c r="H499" s="52">
        <v>0</v>
      </c>
      <c r="I499" s="52">
        <v>0</v>
      </c>
      <c r="J499" s="300">
        <f t="shared" si="150"/>
        <v>0</v>
      </c>
      <c r="K499" s="52">
        <v>0</v>
      </c>
      <c r="L499" s="52">
        <v>0</v>
      </c>
      <c r="M499" s="300">
        <f t="shared" si="139"/>
        <v>0</v>
      </c>
      <c r="N499" s="52">
        <v>0</v>
      </c>
      <c r="O499" s="300">
        <f t="shared" si="151"/>
        <v>0</v>
      </c>
      <c r="P499" s="52">
        <v>0</v>
      </c>
      <c r="Q499" s="52">
        <v>0</v>
      </c>
      <c r="R499" s="333">
        <f t="shared" si="137"/>
        <v>0</v>
      </c>
    </row>
    <row r="500" spans="2:18" s="32" customFormat="1" ht="16.5" hidden="1" customHeight="1" x14ac:dyDescent="0.2">
      <c r="B500" s="61" t="s">
        <v>61</v>
      </c>
      <c r="C500" s="53" t="s">
        <v>669</v>
      </c>
      <c r="D500" s="53" t="s">
        <v>60</v>
      </c>
      <c r="E500" s="53" t="s">
        <v>45</v>
      </c>
      <c r="F500" s="54" t="s">
        <v>80</v>
      </c>
      <c r="G500" s="60" t="s">
        <v>57</v>
      </c>
      <c r="H500" s="52">
        <v>0</v>
      </c>
      <c r="I500" s="52">
        <v>0</v>
      </c>
      <c r="J500" s="300">
        <f t="shared" si="150"/>
        <v>0</v>
      </c>
      <c r="K500" s="52">
        <v>0</v>
      </c>
      <c r="L500" s="52">
        <v>0</v>
      </c>
      <c r="M500" s="300">
        <f t="shared" si="139"/>
        <v>0</v>
      </c>
      <c r="N500" s="52">
        <v>0</v>
      </c>
      <c r="O500" s="300">
        <f t="shared" si="151"/>
        <v>0</v>
      </c>
      <c r="P500" s="52">
        <v>0</v>
      </c>
      <c r="Q500" s="52">
        <v>0</v>
      </c>
      <c r="R500" s="333">
        <f t="shared" si="137"/>
        <v>0</v>
      </c>
    </row>
    <row r="501" spans="2:18" s="32" customFormat="1" ht="18" customHeight="1" x14ac:dyDescent="0.2">
      <c r="B501" s="63" t="s">
        <v>79</v>
      </c>
      <c r="C501" s="48" t="s">
        <v>669</v>
      </c>
      <c r="D501" s="48" t="s">
        <v>60</v>
      </c>
      <c r="E501" s="48" t="s">
        <v>72</v>
      </c>
      <c r="F501" s="54"/>
      <c r="G501" s="53"/>
      <c r="H501" s="52">
        <f t="shared" ref="H501:Q502" si="152">H502</f>
        <v>1522.2</v>
      </c>
      <c r="I501" s="52">
        <f t="shared" si="152"/>
        <v>1522.2</v>
      </c>
      <c r="J501" s="300">
        <f t="shared" si="150"/>
        <v>0</v>
      </c>
      <c r="K501" s="52">
        <f t="shared" si="152"/>
        <v>1522.2</v>
      </c>
      <c r="L501" s="52">
        <f t="shared" si="152"/>
        <v>1522.2</v>
      </c>
      <c r="M501" s="300">
        <f t="shared" si="139"/>
        <v>0</v>
      </c>
      <c r="N501" s="52">
        <f t="shared" si="152"/>
        <v>1522.2</v>
      </c>
      <c r="O501" s="300">
        <f t="shared" si="151"/>
        <v>0</v>
      </c>
      <c r="P501" s="52">
        <f t="shared" si="152"/>
        <v>1522.2</v>
      </c>
      <c r="Q501" s="52">
        <f t="shared" si="152"/>
        <v>1522.2</v>
      </c>
      <c r="R501" s="333">
        <f t="shared" si="137"/>
        <v>0</v>
      </c>
    </row>
    <row r="502" spans="2:18" s="32" customFormat="1" ht="25.5" customHeight="1" x14ac:dyDescent="0.2">
      <c r="B502" s="62" t="s">
        <v>68</v>
      </c>
      <c r="C502" s="53" t="s">
        <v>669</v>
      </c>
      <c r="D502" s="53" t="s">
        <v>60</v>
      </c>
      <c r="E502" s="53" t="s">
        <v>72</v>
      </c>
      <c r="F502" s="54" t="s">
        <v>67</v>
      </c>
      <c r="G502" s="53"/>
      <c r="H502" s="52">
        <f>H503</f>
        <v>1522.2</v>
      </c>
      <c r="I502" s="52">
        <f>I503</f>
        <v>1522.2</v>
      </c>
      <c r="J502" s="300">
        <f t="shared" si="150"/>
        <v>0</v>
      </c>
      <c r="K502" s="52">
        <f t="shared" si="152"/>
        <v>1522.2</v>
      </c>
      <c r="L502" s="52">
        <f>L503</f>
        <v>1522.2</v>
      </c>
      <c r="M502" s="300">
        <f t="shared" si="139"/>
        <v>0</v>
      </c>
      <c r="N502" s="52">
        <f t="shared" si="152"/>
        <v>1522.2</v>
      </c>
      <c r="O502" s="300">
        <f t="shared" si="151"/>
        <v>0</v>
      </c>
      <c r="P502" s="52">
        <f t="shared" si="152"/>
        <v>1522.2</v>
      </c>
      <c r="Q502" s="52">
        <f t="shared" si="152"/>
        <v>1522.2</v>
      </c>
      <c r="R502" s="333">
        <f t="shared" si="137"/>
        <v>0</v>
      </c>
    </row>
    <row r="503" spans="2:18" s="32" customFormat="1" ht="15.75" customHeight="1" x14ac:dyDescent="0.2">
      <c r="B503" s="62" t="s">
        <v>66</v>
      </c>
      <c r="C503" s="53" t="s">
        <v>669</v>
      </c>
      <c r="D503" s="53" t="s">
        <v>60</v>
      </c>
      <c r="E503" s="53" t="s">
        <v>72</v>
      </c>
      <c r="F503" s="54" t="s">
        <v>65</v>
      </c>
      <c r="G503" s="53"/>
      <c r="H503" s="52">
        <f>H504</f>
        <v>1522.2</v>
      </c>
      <c r="I503" s="52">
        <f>I504</f>
        <v>1522.2</v>
      </c>
      <c r="J503" s="300">
        <f t="shared" si="150"/>
        <v>0</v>
      </c>
      <c r="K503" s="52">
        <f>K504</f>
        <v>1522.2</v>
      </c>
      <c r="L503" s="52">
        <f>L504</f>
        <v>1522.2</v>
      </c>
      <c r="M503" s="300">
        <f t="shared" si="139"/>
        <v>0</v>
      </c>
      <c r="N503" s="52">
        <f>N504</f>
        <v>1522.2</v>
      </c>
      <c r="O503" s="300">
        <f t="shared" si="151"/>
        <v>0</v>
      </c>
      <c r="P503" s="52">
        <f>P504</f>
        <v>1522.2</v>
      </c>
      <c r="Q503" s="52">
        <f>Q504</f>
        <v>1522.2</v>
      </c>
      <c r="R503" s="333">
        <f t="shared" si="137"/>
        <v>0</v>
      </c>
    </row>
    <row r="504" spans="2:18" s="32" customFormat="1" ht="28.5" customHeight="1" x14ac:dyDescent="0.2">
      <c r="B504" s="64" t="s">
        <v>78</v>
      </c>
      <c r="C504" s="53" t="s">
        <v>669</v>
      </c>
      <c r="D504" s="53" t="s">
        <v>60</v>
      </c>
      <c r="E504" s="53" t="s">
        <v>72</v>
      </c>
      <c r="F504" s="54" t="s">
        <v>77</v>
      </c>
      <c r="G504" s="60"/>
      <c r="H504" s="52">
        <f>H505+H507</f>
        <v>1522.2</v>
      </c>
      <c r="I504" s="52">
        <f>I505+I507</f>
        <v>1522.2</v>
      </c>
      <c r="J504" s="300">
        <f t="shared" si="150"/>
        <v>0</v>
      </c>
      <c r="K504" s="52">
        <f>K505+K507</f>
        <v>1522.2</v>
      </c>
      <c r="L504" s="52">
        <f>L505+L507</f>
        <v>1522.2</v>
      </c>
      <c r="M504" s="300">
        <f t="shared" si="139"/>
        <v>0</v>
      </c>
      <c r="N504" s="52">
        <f>N505+N507</f>
        <v>1522.2</v>
      </c>
      <c r="O504" s="300">
        <f t="shared" si="151"/>
        <v>0</v>
      </c>
      <c r="P504" s="52">
        <f>P505+P507</f>
        <v>1522.2</v>
      </c>
      <c r="Q504" s="52">
        <f>Q505+Q507</f>
        <v>1522.2</v>
      </c>
      <c r="R504" s="333">
        <f t="shared" si="137"/>
        <v>0</v>
      </c>
    </row>
    <row r="505" spans="2:18" s="32" customFormat="1" ht="41.25" customHeight="1" x14ac:dyDescent="0.2">
      <c r="B505" s="56" t="s">
        <v>76</v>
      </c>
      <c r="C505" s="53" t="s">
        <v>669</v>
      </c>
      <c r="D505" s="53" t="s">
        <v>60</v>
      </c>
      <c r="E505" s="53" t="s">
        <v>72</v>
      </c>
      <c r="F505" s="54" t="s">
        <v>75</v>
      </c>
      <c r="G505" s="60"/>
      <c r="H505" s="52">
        <f>H506</f>
        <v>522.20000000000005</v>
      </c>
      <c r="I505" s="52">
        <f>I506</f>
        <v>522.20000000000005</v>
      </c>
      <c r="J505" s="300">
        <f t="shared" si="150"/>
        <v>0</v>
      </c>
      <c r="K505" s="52">
        <f>K506</f>
        <v>522.20000000000005</v>
      </c>
      <c r="L505" s="52">
        <f>L506</f>
        <v>522.20000000000005</v>
      </c>
      <c r="M505" s="300">
        <f t="shared" si="139"/>
        <v>0</v>
      </c>
      <c r="N505" s="52">
        <f>N506</f>
        <v>522.20000000000005</v>
      </c>
      <c r="O505" s="300">
        <f t="shared" si="151"/>
        <v>0</v>
      </c>
      <c r="P505" s="52">
        <f>P506</f>
        <v>522.20000000000005</v>
      </c>
      <c r="Q505" s="52">
        <f>Q506</f>
        <v>522.20000000000005</v>
      </c>
      <c r="R505" s="333">
        <f t="shared" si="137"/>
        <v>0</v>
      </c>
    </row>
    <row r="506" spans="2:18" s="32" customFormat="1" ht="29.25" customHeight="1" x14ac:dyDescent="0.2">
      <c r="B506" s="56" t="s">
        <v>73</v>
      </c>
      <c r="C506" s="53" t="s">
        <v>669</v>
      </c>
      <c r="D506" s="53" t="s">
        <v>60</v>
      </c>
      <c r="E506" s="53" t="s">
        <v>72</v>
      </c>
      <c r="F506" s="54" t="s">
        <v>75</v>
      </c>
      <c r="G506" s="60" t="s">
        <v>70</v>
      </c>
      <c r="H506" s="52">
        <f>470+52.2</f>
        <v>522.20000000000005</v>
      </c>
      <c r="I506" s="52">
        <f>470+52.2</f>
        <v>522.20000000000005</v>
      </c>
      <c r="J506" s="300">
        <f t="shared" si="150"/>
        <v>0</v>
      </c>
      <c r="K506" s="52">
        <f>470+52.2</f>
        <v>522.20000000000005</v>
      </c>
      <c r="L506" s="52">
        <f>470+52.2</f>
        <v>522.20000000000005</v>
      </c>
      <c r="M506" s="300">
        <f t="shared" si="139"/>
        <v>0</v>
      </c>
      <c r="N506" s="52">
        <f>470+52.2</f>
        <v>522.20000000000005</v>
      </c>
      <c r="O506" s="300">
        <f t="shared" si="151"/>
        <v>0</v>
      </c>
      <c r="P506" s="52">
        <f>470+52.2</f>
        <v>522.20000000000005</v>
      </c>
      <c r="Q506" s="52">
        <f>470+52.2</f>
        <v>522.20000000000005</v>
      </c>
      <c r="R506" s="333">
        <f t="shared" si="137"/>
        <v>0</v>
      </c>
    </row>
    <row r="507" spans="2:18" s="32" customFormat="1" ht="39" customHeight="1" x14ac:dyDescent="0.2">
      <c r="B507" s="64" t="s">
        <v>74</v>
      </c>
      <c r="C507" s="53" t="s">
        <v>669</v>
      </c>
      <c r="D507" s="53" t="s">
        <v>60</v>
      </c>
      <c r="E507" s="53" t="s">
        <v>72</v>
      </c>
      <c r="F507" s="54" t="s">
        <v>71</v>
      </c>
      <c r="G507" s="60"/>
      <c r="H507" s="52">
        <f>H508</f>
        <v>1000</v>
      </c>
      <c r="I507" s="52">
        <f>I508</f>
        <v>1000</v>
      </c>
      <c r="J507" s="300">
        <f t="shared" si="150"/>
        <v>0</v>
      </c>
      <c r="K507" s="52">
        <f>K508</f>
        <v>1000</v>
      </c>
      <c r="L507" s="52">
        <f>L508</f>
        <v>1000</v>
      </c>
      <c r="M507" s="300">
        <f t="shared" si="139"/>
        <v>0</v>
      </c>
      <c r="N507" s="52">
        <f>N508</f>
        <v>1000</v>
      </c>
      <c r="O507" s="300">
        <f t="shared" si="151"/>
        <v>0</v>
      </c>
      <c r="P507" s="52">
        <f>P508</f>
        <v>1000</v>
      </c>
      <c r="Q507" s="52">
        <f>Q508</f>
        <v>1000</v>
      </c>
      <c r="R507" s="333">
        <f t="shared" ref="R507:R572" si="153">Q507-P507</f>
        <v>0</v>
      </c>
    </row>
    <row r="508" spans="2:18" s="32" customFormat="1" ht="30.75" customHeight="1" x14ac:dyDescent="0.2">
      <c r="B508" s="56" t="s">
        <v>73</v>
      </c>
      <c r="C508" s="53" t="s">
        <v>669</v>
      </c>
      <c r="D508" s="53" t="s">
        <v>60</v>
      </c>
      <c r="E508" s="53" t="s">
        <v>72</v>
      </c>
      <c r="F508" s="54" t="s">
        <v>71</v>
      </c>
      <c r="G508" s="60" t="s">
        <v>70</v>
      </c>
      <c r="H508" s="52">
        <f>900+100</f>
        <v>1000</v>
      </c>
      <c r="I508" s="52">
        <f>900+100</f>
        <v>1000</v>
      </c>
      <c r="J508" s="300">
        <f t="shared" si="150"/>
        <v>0</v>
      </c>
      <c r="K508" s="52">
        <f>900+100</f>
        <v>1000</v>
      </c>
      <c r="L508" s="52">
        <f>900+100</f>
        <v>1000</v>
      </c>
      <c r="M508" s="300">
        <f t="shared" si="139"/>
        <v>0</v>
      </c>
      <c r="N508" s="52">
        <f>900+100</f>
        <v>1000</v>
      </c>
      <c r="O508" s="300">
        <f t="shared" si="151"/>
        <v>0</v>
      </c>
      <c r="P508" s="52">
        <f>900+100</f>
        <v>1000</v>
      </c>
      <c r="Q508" s="52">
        <f>900+100</f>
        <v>1000</v>
      </c>
      <c r="R508" s="333">
        <f t="shared" si="153"/>
        <v>0</v>
      </c>
    </row>
    <row r="509" spans="2:18" s="32" customFormat="1" ht="19.5" customHeight="1" x14ac:dyDescent="0.2">
      <c r="B509" s="63" t="s">
        <v>69</v>
      </c>
      <c r="C509" s="48" t="s">
        <v>669</v>
      </c>
      <c r="D509" s="48" t="s">
        <v>60</v>
      </c>
      <c r="E509" s="48" t="s">
        <v>59</v>
      </c>
      <c r="F509" s="54"/>
      <c r="G509" s="53"/>
      <c r="H509" s="52">
        <f>H510</f>
        <v>464.4</v>
      </c>
      <c r="I509" s="52">
        <f>I510</f>
        <v>8630.5</v>
      </c>
      <c r="J509" s="300">
        <f t="shared" si="150"/>
        <v>8166.1</v>
      </c>
      <c r="K509" s="52">
        <f>K510</f>
        <v>464.4</v>
      </c>
      <c r="L509" s="52">
        <f>L510</f>
        <v>8623.4</v>
      </c>
      <c r="M509" s="300">
        <f t="shared" si="139"/>
        <v>-7.1000000000003638</v>
      </c>
      <c r="N509" s="52">
        <f>N510</f>
        <v>464.4</v>
      </c>
      <c r="O509" s="300">
        <f t="shared" si="151"/>
        <v>0</v>
      </c>
      <c r="P509" s="52">
        <f>P510</f>
        <v>464.4</v>
      </c>
      <c r="Q509" s="52">
        <f>Q510</f>
        <v>464.4</v>
      </c>
      <c r="R509" s="333">
        <f t="shared" si="153"/>
        <v>0</v>
      </c>
    </row>
    <row r="510" spans="2:18" s="32" customFormat="1" ht="24.75" customHeight="1" x14ac:dyDescent="0.2">
      <c r="B510" s="62" t="s">
        <v>68</v>
      </c>
      <c r="C510" s="53" t="s">
        <v>669</v>
      </c>
      <c r="D510" s="53" t="s">
        <v>60</v>
      </c>
      <c r="E510" s="53" t="s">
        <v>59</v>
      </c>
      <c r="F510" s="54" t="s">
        <v>67</v>
      </c>
      <c r="G510" s="53"/>
      <c r="H510" s="52">
        <f>H512</f>
        <v>464.4</v>
      </c>
      <c r="I510" s="52">
        <f>I512</f>
        <v>8630.5</v>
      </c>
      <c r="J510" s="300">
        <f t="shared" si="150"/>
        <v>8166.1</v>
      </c>
      <c r="K510" s="52">
        <f>K512</f>
        <v>464.4</v>
      </c>
      <c r="L510" s="52">
        <f>L512</f>
        <v>8623.4</v>
      </c>
      <c r="M510" s="300">
        <f t="shared" si="139"/>
        <v>-7.1000000000003638</v>
      </c>
      <c r="N510" s="52">
        <f>N512</f>
        <v>464.4</v>
      </c>
      <c r="O510" s="300">
        <f t="shared" si="151"/>
        <v>0</v>
      </c>
      <c r="P510" s="52">
        <f>P512</f>
        <v>464.4</v>
      </c>
      <c r="Q510" s="52">
        <f>Q512</f>
        <v>464.4</v>
      </c>
      <c r="R510" s="333">
        <f t="shared" si="153"/>
        <v>0</v>
      </c>
    </row>
    <row r="511" spans="2:18" s="32" customFormat="1" ht="16.5" customHeight="1" x14ac:dyDescent="0.2">
      <c r="B511" s="62" t="s">
        <v>66</v>
      </c>
      <c r="C511" s="53" t="s">
        <v>669</v>
      </c>
      <c r="D511" s="53" t="s">
        <v>60</v>
      </c>
      <c r="E511" s="53" t="s">
        <v>59</v>
      </c>
      <c r="F511" s="54" t="s">
        <v>65</v>
      </c>
      <c r="G511" s="53"/>
      <c r="H511" s="52">
        <f t="shared" ref="H511:Q511" si="154">H512</f>
        <v>464.4</v>
      </c>
      <c r="I511" s="52">
        <f t="shared" si="154"/>
        <v>8630.5</v>
      </c>
      <c r="J511" s="300">
        <f t="shared" si="150"/>
        <v>8166.1</v>
      </c>
      <c r="K511" s="52">
        <f t="shared" si="154"/>
        <v>464.4</v>
      </c>
      <c r="L511" s="52">
        <f t="shared" si="154"/>
        <v>8623.4</v>
      </c>
      <c r="M511" s="300">
        <f t="shared" si="139"/>
        <v>-7.1000000000003638</v>
      </c>
      <c r="N511" s="52">
        <f t="shared" si="154"/>
        <v>464.4</v>
      </c>
      <c r="O511" s="300">
        <f t="shared" si="151"/>
        <v>0</v>
      </c>
      <c r="P511" s="52">
        <f t="shared" si="154"/>
        <v>464.4</v>
      </c>
      <c r="Q511" s="52">
        <f t="shared" si="154"/>
        <v>464.4</v>
      </c>
      <c r="R511" s="333">
        <f t="shared" si="153"/>
        <v>0</v>
      </c>
    </row>
    <row r="512" spans="2:18" s="32" customFormat="1" ht="27" customHeight="1" x14ac:dyDescent="0.2">
      <c r="B512" s="56" t="s">
        <v>64</v>
      </c>
      <c r="C512" s="53" t="s">
        <v>669</v>
      </c>
      <c r="D512" s="53" t="s">
        <v>60</v>
      </c>
      <c r="E512" s="53" t="s">
        <v>59</v>
      </c>
      <c r="F512" s="54" t="s">
        <v>63</v>
      </c>
      <c r="G512" s="60"/>
      <c r="H512" s="52">
        <f>H513+H517</f>
        <v>464.4</v>
      </c>
      <c r="I512" s="52">
        <f t="shared" ref="I512:Q512" si="155">I513+I517</f>
        <v>8630.5</v>
      </c>
      <c r="J512" s="300">
        <f t="shared" si="150"/>
        <v>8166.1</v>
      </c>
      <c r="K512" s="52">
        <f t="shared" si="155"/>
        <v>464.4</v>
      </c>
      <c r="L512" s="52">
        <f t="shared" si="155"/>
        <v>8623.4</v>
      </c>
      <c r="M512" s="300">
        <f t="shared" si="139"/>
        <v>-7.1000000000003638</v>
      </c>
      <c r="N512" s="52">
        <f t="shared" si="155"/>
        <v>464.4</v>
      </c>
      <c r="O512" s="300">
        <f t="shared" si="151"/>
        <v>0</v>
      </c>
      <c r="P512" s="52">
        <f t="shared" si="155"/>
        <v>464.4</v>
      </c>
      <c r="Q512" s="52">
        <f t="shared" si="155"/>
        <v>464.4</v>
      </c>
      <c r="R512" s="333">
        <f t="shared" si="153"/>
        <v>0</v>
      </c>
    </row>
    <row r="513" spans="2:18" s="32" customFormat="1" ht="24.75" customHeight="1" x14ac:dyDescent="0.2">
      <c r="B513" s="62" t="s">
        <v>62</v>
      </c>
      <c r="C513" s="53" t="s">
        <v>669</v>
      </c>
      <c r="D513" s="53" t="s">
        <v>60</v>
      </c>
      <c r="E513" s="53" t="s">
        <v>59</v>
      </c>
      <c r="F513" s="54" t="s">
        <v>58</v>
      </c>
      <c r="G513" s="60"/>
      <c r="H513" s="52">
        <f>H514+H515+H516</f>
        <v>464.4</v>
      </c>
      <c r="I513" s="52">
        <f>I514+I515+I516</f>
        <v>464.4</v>
      </c>
      <c r="J513" s="300">
        <f t="shared" si="150"/>
        <v>0</v>
      </c>
      <c r="K513" s="52">
        <f>K514+K515+K516</f>
        <v>464.4</v>
      </c>
      <c r="L513" s="52">
        <f>L514+L515+L516</f>
        <v>464.4</v>
      </c>
      <c r="M513" s="300">
        <f t="shared" si="139"/>
        <v>0</v>
      </c>
      <c r="N513" s="52">
        <f>N514+N515+N516</f>
        <v>464.4</v>
      </c>
      <c r="O513" s="300">
        <f t="shared" si="151"/>
        <v>0</v>
      </c>
      <c r="P513" s="52">
        <f>P514+P515+P516</f>
        <v>464.4</v>
      </c>
      <c r="Q513" s="52">
        <f>Q514+Q515+Q516</f>
        <v>464.4</v>
      </c>
      <c r="R513" s="333">
        <f t="shared" si="153"/>
        <v>0</v>
      </c>
    </row>
    <row r="514" spans="2:18" s="32" customFormat="1" ht="24.75" hidden="1" customHeight="1" x14ac:dyDescent="0.2">
      <c r="B514" s="56" t="s">
        <v>73</v>
      </c>
      <c r="C514" s="53" t="s">
        <v>669</v>
      </c>
      <c r="D514" s="53" t="s">
        <v>60</v>
      </c>
      <c r="E514" s="53" t="s">
        <v>59</v>
      </c>
      <c r="F514" s="54" t="s">
        <v>58</v>
      </c>
      <c r="G514" s="60" t="s">
        <v>70</v>
      </c>
      <c r="H514" s="52">
        <v>0</v>
      </c>
      <c r="I514" s="52">
        <v>0</v>
      </c>
      <c r="J514" s="300">
        <f t="shared" si="150"/>
        <v>0</v>
      </c>
      <c r="K514" s="52">
        <v>0</v>
      </c>
      <c r="L514" s="52">
        <v>0</v>
      </c>
      <c r="M514" s="300">
        <f t="shared" si="139"/>
        <v>0</v>
      </c>
      <c r="N514" s="52">
        <v>0</v>
      </c>
      <c r="O514" s="300">
        <f t="shared" si="151"/>
        <v>0</v>
      </c>
      <c r="P514" s="52">
        <v>0</v>
      </c>
      <c r="Q514" s="52">
        <v>0</v>
      </c>
      <c r="R514" s="333">
        <f t="shared" si="153"/>
        <v>0</v>
      </c>
    </row>
    <row r="515" spans="2:18" s="32" customFormat="1" ht="14.25" hidden="1" customHeight="1" x14ac:dyDescent="0.2">
      <c r="B515" s="64" t="s">
        <v>82</v>
      </c>
      <c r="C515" s="53" t="s">
        <v>669</v>
      </c>
      <c r="D515" s="53" t="s">
        <v>60</v>
      </c>
      <c r="E515" s="53" t="s">
        <v>59</v>
      </c>
      <c r="F515" s="54" t="s">
        <v>58</v>
      </c>
      <c r="G515" s="60" t="s">
        <v>81</v>
      </c>
      <c r="H515" s="52">
        <v>0</v>
      </c>
      <c r="I515" s="52">
        <v>0</v>
      </c>
      <c r="J515" s="300">
        <f t="shared" si="150"/>
        <v>0</v>
      </c>
      <c r="K515" s="52">
        <v>0</v>
      </c>
      <c r="L515" s="52">
        <v>0</v>
      </c>
      <c r="M515" s="300">
        <f t="shared" si="139"/>
        <v>0</v>
      </c>
      <c r="N515" s="52">
        <v>0</v>
      </c>
      <c r="O515" s="300">
        <f t="shared" si="151"/>
        <v>0</v>
      </c>
      <c r="P515" s="52">
        <v>0</v>
      </c>
      <c r="Q515" s="52">
        <v>0</v>
      </c>
      <c r="R515" s="333">
        <f t="shared" si="153"/>
        <v>0</v>
      </c>
    </row>
    <row r="516" spans="2:18" s="32" customFormat="1" ht="18" customHeight="1" x14ac:dyDescent="0.2">
      <c r="B516" s="61" t="s">
        <v>61</v>
      </c>
      <c r="C516" s="53" t="s">
        <v>669</v>
      </c>
      <c r="D516" s="53" t="s">
        <v>60</v>
      </c>
      <c r="E516" s="53" t="s">
        <v>59</v>
      </c>
      <c r="F516" s="54" t="s">
        <v>58</v>
      </c>
      <c r="G516" s="60" t="s">
        <v>57</v>
      </c>
      <c r="H516" s="52">
        <f>418+46.4</f>
        <v>464.4</v>
      </c>
      <c r="I516" s="52">
        <f>418+46.4</f>
        <v>464.4</v>
      </c>
      <c r="J516" s="300">
        <f t="shared" si="150"/>
        <v>0</v>
      </c>
      <c r="K516" s="52">
        <f>418+46.4</f>
        <v>464.4</v>
      </c>
      <c r="L516" s="52">
        <f>418+46.4</f>
        <v>464.4</v>
      </c>
      <c r="M516" s="300">
        <f t="shared" si="139"/>
        <v>0</v>
      </c>
      <c r="N516" s="52">
        <f>418+46.4</f>
        <v>464.4</v>
      </c>
      <c r="O516" s="300">
        <f t="shared" si="151"/>
        <v>0</v>
      </c>
      <c r="P516" s="52">
        <f>418+46.4</f>
        <v>464.4</v>
      </c>
      <c r="Q516" s="52">
        <f>418+46.4</f>
        <v>464.4</v>
      </c>
      <c r="R516" s="333">
        <f t="shared" si="153"/>
        <v>0</v>
      </c>
    </row>
    <row r="517" spans="2:18" s="32" customFormat="1" ht="28.5" customHeight="1" x14ac:dyDescent="0.2">
      <c r="B517" s="64" t="s">
        <v>1072</v>
      </c>
      <c r="C517" s="53" t="s">
        <v>669</v>
      </c>
      <c r="D517" s="53" t="s">
        <v>60</v>
      </c>
      <c r="E517" s="53" t="s">
        <v>59</v>
      </c>
      <c r="F517" s="54" t="s">
        <v>1071</v>
      </c>
      <c r="G517" s="60"/>
      <c r="H517" s="52">
        <f>H518</f>
        <v>0</v>
      </c>
      <c r="I517" s="52">
        <f t="shared" ref="I517:Q517" si="156">I518</f>
        <v>8166.1</v>
      </c>
      <c r="J517" s="300">
        <f t="shared" si="150"/>
        <v>8166.1</v>
      </c>
      <c r="K517" s="52">
        <f t="shared" si="156"/>
        <v>0</v>
      </c>
      <c r="L517" s="52">
        <f t="shared" si="156"/>
        <v>8159</v>
      </c>
      <c r="M517" s="300">
        <f t="shared" si="139"/>
        <v>-7.1000000000003638</v>
      </c>
      <c r="N517" s="52">
        <f t="shared" si="156"/>
        <v>0</v>
      </c>
      <c r="O517" s="300">
        <f t="shared" si="151"/>
        <v>0</v>
      </c>
      <c r="P517" s="52">
        <f t="shared" si="156"/>
        <v>0</v>
      </c>
      <c r="Q517" s="52">
        <f t="shared" si="156"/>
        <v>0</v>
      </c>
      <c r="R517" s="333">
        <f t="shared" si="153"/>
        <v>0</v>
      </c>
    </row>
    <row r="518" spans="2:18" s="32" customFormat="1" ht="14.25" customHeight="1" x14ac:dyDescent="0.2">
      <c r="B518" s="84" t="s">
        <v>73</v>
      </c>
      <c r="C518" s="53" t="s">
        <v>669</v>
      </c>
      <c r="D518" s="53" t="s">
        <v>60</v>
      </c>
      <c r="E518" s="53" t="s">
        <v>59</v>
      </c>
      <c r="F518" s="54" t="s">
        <v>1071</v>
      </c>
      <c r="G518" s="60" t="s">
        <v>70</v>
      </c>
      <c r="H518" s="52">
        <v>0</v>
      </c>
      <c r="I518" s="52">
        <f>251.8+7914.3</f>
        <v>8166.1</v>
      </c>
      <c r="J518" s="300">
        <f t="shared" si="150"/>
        <v>8166.1</v>
      </c>
      <c r="K518" s="52">
        <v>0</v>
      </c>
      <c r="L518" s="52">
        <f>8166.1-7.1</f>
        <v>8159</v>
      </c>
      <c r="M518" s="300">
        <f t="shared" si="139"/>
        <v>-7.1000000000003638</v>
      </c>
      <c r="N518" s="52">
        <v>0</v>
      </c>
      <c r="O518" s="300">
        <f t="shared" si="151"/>
        <v>0</v>
      </c>
      <c r="P518" s="65">
        <v>0</v>
      </c>
      <c r="Q518" s="52">
        <v>0</v>
      </c>
      <c r="R518" s="333">
        <f t="shared" si="153"/>
        <v>0</v>
      </c>
    </row>
    <row r="519" spans="2:18" s="32" customFormat="1" ht="15.75" customHeight="1" x14ac:dyDescent="0.2">
      <c r="B519" s="177" t="s">
        <v>689</v>
      </c>
      <c r="C519" s="48" t="s">
        <v>690</v>
      </c>
      <c r="D519" s="48"/>
      <c r="E519" s="48"/>
      <c r="F519" s="48"/>
      <c r="G519" s="48"/>
      <c r="H519" s="44">
        <f t="shared" ref="H519:Q522" si="157">H520</f>
        <v>1062.5</v>
      </c>
      <c r="I519" s="44">
        <f t="shared" si="157"/>
        <v>1062.5</v>
      </c>
      <c r="J519" s="300">
        <f t="shared" si="150"/>
        <v>0</v>
      </c>
      <c r="K519" s="44">
        <f t="shared" si="157"/>
        <v>1342.6</v>
      </c>
      <c r="L519" s="44">
        <f t="shared" si="157"/>
        <v>839.4</v>
      </c>
      <c r="M519" s="300">
        <f t="shared" si="139"/>
        <v>-223.10000000000002</v>
      </c>
      <c r="N519" s="44">
        <f t="shared" si="157"/>
        <v>1342.6</v>
      </c>
      <c r="O519" s="300">
        <f t="shared" si="151"/>
        <v>0</v>
      </c>
      <c r="P519" s="44">
        <f t="shared" si="157"/>
        <v>1342.6</v>
      </c>
      <c r="Q519" s="44">
        <f t="shared" si="157"/>
        <v>1342.6</v>
      </c>
      <c r="R519" s="333">
        <f t="shared" si="153"/>
        <v>0</v>
      </c>
    </row>
    <row r="520" spans="2:18" s="32" customFormat="1" x14ac:dyDescent="0.2">
      <c r="B520" s="177" t="s">
        <v>670</v>
      </c>
      <c r="C520" s="48" t="s">
        <v>690</v>
      </c>
      <c r="D520" s="48" t="s">
        <v>45</v>
      </c>
      <c r="E520" s="48"/>
      <c r="F520" s="53"/>
      <c r="G520" s="48"/>
      <c r="H520" s="44">
        <f t="shared" si="157"/>
        <v>1062.5</v>
      </c>
      <c r="I520" s="44">
        <f t="shared" si="157"/>
        <v>1062.5</v>
      </c>
      <c r="J520" s="300">
        <f t="shared" si="150"/>
        <v>0</v>
      </c>
      <c r="K520" s="44">
        <f t="shared" si="157"/>
        <v>1342.6</v>
      </c>
      <c r="L520" s="44">
        <f t="shared" si="157"/>
        <v>839.4</v>
      </c>
      <c r="M520" s="300">
        <f t="shared" si="139"/>
        <v>-223.10000000000002</v>
      </c>
      <c r="N520" s="44">
        <f t="shared" si="157"/>
        <v>1342.6</v>
      </c>
      <c r="O520" s="300">
        <f t="shared" si="151"/>
        <v>0</v>
      </c>
      <c r="P520" s="44">
        <f t="shared" si="157"/>
        <v>1342.6</v>
      </c>
      <c r="Q520" s="44">
        <f t="shared" si="157"/>
        <v>1342.6</v>
      </c>
      <c r="R520" s="333">
        <f t="shared" si="153"/>
        <v>0</v>
      </c>
    </row>
    <row r="521" spans="2:18" s="32" customFormat="1" ht="38.25" customHeight="1" x14ac:dyDescent="0.2">
      <c r="B521" s="181" t="s">
        <v>653</v>
      </c>
      <c r="C521" s="48" t="s">
        <v>690</v>
      </c>
      <c r="D521" s="48" t="s">
        <v>45</v>
      </c>
      <c r="E521" s="48" t="s">
        <v>111</v>
      </c>
      <c r="F521" s="53"/>
      <c r="G521" s="53"/>
      <c r="H521" s="44">
        <f t="shared" si="157"/>
        <v>1062.5</v>
      </c>
      <c r="I521" s="44">
        <f t="shared" si="157"/>
        <v>1062.5</v>
      </c>
      <c r="J521" s="300">
        <f t="shared" si="150"/>
        <v>0</v>
      </c>
      <c r="K521" s="44">
        <f t="shared" si="157"/>
        <v>1342.6</v>
      </c>
      <c r="L521" s="44">
        <f t="shared" si="157"/>
        <v>839.4</v>
      </c>
      <c r="M521" s="300">
        <f t="shared" si="139"/>
        <v>-223.10000000000002</v>
      </c>
      <c r="N521" s="44">
        <f t="shared" si="157"/>
        <v>1342.6</v>
      </c>
      <c r="O521" s="300">
        <f t="shared" si="151"/>
        <v>0</v>
      </c>
      <c r="P521" s="44">
        <f t="shared" si="157"/>
        <v>1342.6</v>
      </c>
      <c r="Q521" s="44">
        <f t="shared" si="157"/>
        <v>1342.6</v>
      </c>
      <c r="R521" s="333">
        <f t="shared" si="153"/>
        <v>0</v>
      </c>
    </row>
    <row r="522" spans="2:18" s="32" customFormat="1" ht="24" customHeight="1" x14ac:dyDescent="0.2">
      <c r="B522" s="58" t="s">
        <v>652</v>
      </c>
      <c r="C522" s="53" t="s">
        <v>690</v>
      </c>
      <c r="D522" s="53" t="s">
        <v>45</v>
      </c>
      <c r="E522" s="53" t="s">
        <v>111</v>
      </c>
      <c r="F522" s="78" t="s">
        <v>651</v>
      </c>
      <c r="G522" s="188"/>
      <c r="H522" s="52">
        <f t="shared" si="157"/>
        <v>1062.5</v>
      </c>
      <c r="I522" s="52">
        <f t="shared" si="157"/>
        <v>1062.5</v>
      </c>
      <c r="J522" s="300">
        <f t="shared" si="150"/>
        <v>0</v>
      </c>
      <c r="K522" s="52">
        <f t="shared" si="157"/>
        <v>1342.6</v>
      </c>
      <c r="L522" s="52">
        <f t="shared" si="157"/>
        <v>839.4</v>
      </c>
      <c r="M522" s="300">
        <f t="shared" si="139"/>
        <v>-223.10000000000002</v>
      </c>
      <c r="N522" s="52">
        <f t="shared" si="157"/>
        <v>1342.6</v>
      </c>
      <c r="O522" s="300">
        <f t="shared" si="151"/>
        <v>0</v>
      </c>
      <c r="P522" s="52">
        <f t="shared" si="157"/>
        <v>1342.6</v>
      </c>
      <c r="Q522" s="52">
        <f t="shared" si="157"/>
        <v>1342.6</v>
      </c>
      <c r="R522" s="333">
        <f t="shared" si="153"/>
        <v>0</v>
      </c>
    </row>
    <row r="523" spans="2:18" s="32" customFormat="1" x14ac:dyDescent="0.2">
      <c r="B523" s="56" t="s">
        <v>414</v>
      </c>
      <c r="C523" s="53" t="s">
        <v>690</v>
      </c>
      <c r="D523" s="53" t="s">
        <v>45</v>
      </c>
      <c r="E523" s="53" t="s">
        <v>111</v>
      </c>
      <c r="F523" s="78" t="s">
        <v>650</v>
      </c>
      <c r="G523" s="188"/>
      <c r="H523" s="52">
        <f>H524+H525</f>
        <v>1062.5</v>
      </c>
      <c r="I523" s="52">
        <f>I524+I525</f>
        <v>1062.5</v>
      </c>
      <c r="J523" s="300">
        <f t="shared" si="150"/>
        <v>0</v>
      </c>
      <c r="K523" s="52">
        <f>K524+K525</f>
        <v>1342.6</v>
      </c>
      <c r="L523" s="52">
        <f>L524+L525</f>
        <v>839.4</v>
      </c>
      <c r="M523" s="300">
        <f t="shared" si="139"/>
        <v>-223.10000000000002</v>
      </c>
      <c r="N523" s="52">
        <f>N524+N525</f>
        <v>1342.6</v>
      </c>
      <c r="O523" s="300">
        <f t="shared" si="151"/>
        <v>0</v>
      </c>
      <c r="P523" s="52">
        <f>P524+P525</f>
        <v>1342.6</v>
      </c>
      <c r="Q523" s="52">
        <f>Q524+Q525</f>
        <v>1342.6</v>
      </c>
      <c r="R523" s="333">
        <f t="shared" si="153"/>
        <v>0</v>
      </c>
    </row>
    <row r="524" spans="2:18" s="32" customFormat="1" ht="16.5" customHeight="1" x14ac:dyDescent="0.2">
      <c r="B524" s="131" t="s">
        <v>84</v>
      </c>
      <c r="C524" s="53" t="s">
        <v>690</v>
      </c>
      <c r="D524" s="53" t="s">
        <v>45</v>
      </c>
      <c r="E524" s="53" t="s">
        <v>111</v>
      </c>
      <c r="F524" s="78" t="s">
        <v>650</v>
      </c>
      <c r="G524" s="188">
        <v>120</v>
      </c>
      <c r="H524" s="52">
        <f>288.8+8.7</f>
        <v>297.5</v>
      </c>
      <c r="I524" s="52">
        <f>297.5</f>
        <v>297.5</v>
      </c>
      <c r="J524" s="300">
        <f t="shared" si="150"/>
        <v>0</v>
      </c>
      <c r="K524" s="52">
        <v>577.6</v>
      </c>
      <c r="L524" s="52">
        <f>297.5-223.1-74.4</f>
        <v>0</v>
      </c>
      <c r="M524" s="300">
        <f t="shared" si="139"/>
        <v>-297.5</v>
      </c>
      <c r="N524" s="52">
        <v>577.6</v>
      </c>
      <c r="O524" s="300">
        <f t="shared" si="151"/>
        <v>0</v>
      </c>
      <c r="P524" s="52">
        <v>577.6</v>
      </c>
      <c r="Q524" s="52">
        <v>577.6</v>
      </c>
      <c r="R524" s="333">
        <f t="shared" si="153"/>
        <v>0</v>
      </c>
    </row>
    <row r="525" spans="2:18" s="32" customFormat="1" ht="25.5" x14ac:dyDescent="0.2">
      <c r="B525" s="56" t="s">
        <v>73</v>
      </c>
      <c r="C525" s="53" t="s">
        <v>690</v>
      </c>
      <c r="D525" s="53" t="s">
        <v>45</v>
      </c>
      <c r="E525" s="53" t="s">
        <v>111</v>
      </c>
      <c r="F525" s="78" t="s">
        <v>650</v>
      </c>
      <c r="G525" s="188">
        <v>240</v>
      </c>
      <c r="H525" s="52">
        <v>765</v>
      </c>
      <c r="I525" s="52">
        <f>765</f>
        <v>765</v>
      </c>
      <c r="J525" s="300">
        <f t="shared" si="150"/>
        <v>0</v>
      </c>
      <c r="K525" s="52">
        <v>765</v>
      </c>
      <c r="L525" s="52">
        <f>765+74.4</f>
        <v>839.4</v>
      </c>
      <c r="M525" s="300">
        <f t="shared" si="139"/>
        <v>74.399999999999977</v>
      </c>
      <c r="N525" s="52">
        <v>765</v>
      </c>
      <c r="O525" s="300">
        <f t="shared" si="151"/>
        <v>0</v>
      </c>
      <c r="P525" s="52">
        <v>765</v>
      </c>
      <c r="Q525" s="52">
        <v>765</v>
      </c>
      <c r="R525" s="333">
        <f t="shared" si="153"/>
        <v>0</v>
      </c>
    </row>
    <row r="526" spans="2:18" s="43" customFormat="1" ht="15" customHeight="1" x14ac:dyDescent="0.2">
      <c r="B526" s="59" t="s">
        <v>691</v>
      </c>
      <c r="C526" s="48" t="s">
        <v>692</v>
      </c>
      <c r="D526" s="48"/>
      <c r="E526" s="48"/>
      <c r="F526" s="71"/>
      <c r="G526" s="189"/>
      <c r="H526" s="44">
        <f t="shared" ref="H526:Q528" si="158">H527</f>
        <v>1211.9000000000001</v>
      </c>
      <c r="I526" s="44">
        <f t="shared" si="158"/>
        <v>1211.9000000000001</v>
      </c>
      <c r="J526" s="300">
        <f t="shared" si="150"/>
        <v>0</v>
      </c>
      <c r="K526" s="44">
        <f t="shared" si="158"/>
        <v>1211.9000000000001</v>
      </c>
      <c r="L526" s="44">
        <f t="shared" si="158"/>
        <v>1211.9000000000001</v>
      </c>
      <c r="M526" s="300">
        <f t="shared" ref="M526:M589" si="159">L526-I526</f>
        <v>0</v>
      </c>
      <c r="N526" s="44">
        <f t="shared" si="158"/>
        <v>1211.9000000000001</v>
      </c>
      <c r="O526" s="300">
        <f t="shared" si="151"/>
        <v>0</v>
      </c>
      <c r="P526" s="44">
        <f t="shared" si="158"/>
        <v>1211.9000000000001</v>
      </c>
      <c r="Q526" s="44">
        <f t="shared" si="158"/>
        <v>1211.9000000000001</v>
      </c>
      <c r="R526" s="333">
        <f t="shared" si="153"/>
        <v>0</v>
      </c>
    </row>
    <row r="527" spans="2:18" s="43" customFormat="1" ht="14.25" customHeight="1" x14ac:dyDescent="0.2">
      <c r="B527" s="59" t="s">
        <v>670</v>
      </c>
      <c r="C527" s="48" t="s">
        <v>692</v>
      </c>
      <c r="D527" s="48" t="s">
        <v>45</v>
      </c>
      <c r="E527" s="48"/>
      <c r="F527" s="71"/>
      <c r="G527" s="189"/>
      <c r="H527" s="44">
        <f t="shared" si="158"/>
        <v>1211.9000000000001</v>
      </c>
      <c r="I527" s="44">
        <f t="shared" si="158"/>
        <v>1211.9000000000001</v>
      </c>
      <c r="J527" s="300">
        <f t="shared" si="150"/>
        <v>0</v>
      </c>
      <c r="K527" s="44">
        <f t="shared" si="158"/>
        <v>1211.9000000000001</v>
      </c>
      <c r="L527" s="44">
        <f t="shared" si="158"/>
        <v>1211.9000000000001</v>
      </c>
      <c r="M527" s="300">
        <f t="shared" si="159"/>
        <v>0</v>
      </c>
      <c r="N527" s="44">
        <f t="shared" si="158"/>
        <v>1211.9000000000001</v>
      </c>
      <c r="O527" s="300">
        <f t="shared" si="151"/>
        <v>0</v>
      </c>
      <c r="P527" s="44">
        <f t="shared" si="158"/>
        <v>1211.9000000000001</v>
      </c>
      <c r="Q527" s="44">
        <f t="shared" si="158"/>
        <v>1211.9000000000001</v>
      </c>
      <c r="R527" s="333">
        <f t="shared" si="153"/>
        <v>0</v>
      </c>
    </row>
    <row r="528" spans="2:18" s="43" customFormat="1" ht="26.25" customHeight="1" x14ac:dyDescent="0.2">
      <c r="B528" s="59" t="s">
        <v>619</v>
      </c>
      <c r="C528" s="48" t="s">
        <v>692</v>
      </c>
      <c r="D528" s="48" t="s">
        <v>45</v>
      </c>
      <c r="E528" s="48" t="s">
        <v>96</v>
      </c>
      <c r="F528" s="71"/>
      <c r="G528" s="189"/>
      <c r="H528" s="44">
        <f>H529</f>
        <v>1211.9000000000001</v>
      </c>
      <c r="I528" s="44">
        <f>I529</f>
        <v>1211.9000000000001</v>
      </c>
      <c r="J528" s="300">
        <f t="shared" si="150"/>
        <v>0</v>
      </c>
      <c r="K528" s="44">
        <f t="shared" si="158"/>
        <v>1211.9000000000001</v>
      </c>
      <c r="L528" s="44">
        <f>L529</f>
        <v>1211.9000000000001</v>
      </c>
      <c r="M528" s="300">
        <f t="shared" si="159"/>
        <v>0</v>
      </c>
      <c r="N528" s="44">
        <f t="shared" si="158"/>
        <v>1211.9000000000001</v>
      </c>
      <c r="O528" s="300">
        <f t="shared" si="151"/>
        <v>0</v>
      </c>
      <c r="P528" s="44">
        <f t="shared" si="158"/>
        <v>1211.9000000000001</v>
      </c>
      <c r="Q528" s="44">
        <f t="shared" si="158"/>
        <v>1211.9000000000001</v>
      </c>
      <c r="R528" s="333">
        <f t="shared" si="153"/>
        <v>0</v>
      </c>
    </row>
    <row r="529" spans="2:21" s="32" customFormat="1" ht="16.5" customHeight="1" x14ac:dyDescent="0.2">
      <c r="B529" s="152" t="s">
        <v>616</v>
      </c>
      <c r="C529" s="53" t="s">
        <v>692</v>
      </c>
      <c r="D529" s="53" t="s">
        <v>45</v>
      </c>
      <c r="E529" s="53" t="s">
        <v>96</v>
      </c>
      <c r="F529" s="78" t="s">
        <v>615</v>
      </c>
      <c r="G529" s="78"/>
      <c r="H529" s="52">
        <f>H530</f>
        <v>1211.9000000000001</v>
      </c>
      <c r="I529" s="52">
        <f>I530</f>
        <v>1211.9000000000001</v>
      </c>
      <c r="J529" s="300">
        <f t="shared" si="150"/>
        <v>0</v>
      </c>
      <c r="K529" s="52">
        <f>K530</f>
        <v>1211.9000000000001</v>
      </c>
      <c r="L529" s="52">
        <f>L530</f>
        <v>1211.9000000000001</v>
      </c>
      <c r="M529" s="300">
        <f t="shared" si="159"/>
        <v>0</v>
      </c>
      <c r="N529" s="52">
        <f>N530</f>
        <v>1211.9000000000001</v>
      </c>
      <c r="O529" s="300">
        <f t="shared" si="151"/>
        <v>0</v>
      </c>
      <c r="P529" s="52">
        <f>P530</f>
        <v>1211.9000000000001</v>
      </c>
      <c r="Q529" s="52">
        <f>Q530</f>
        <v>1211.9000000000001</v>
      </c>
      <c r="R529" s="333">
        <f t="shared" si="153"/>
        <v>0</v>
      </c>
    </row>
    <row r="530" spans="2:21" s="32" customFormat="1" ht="17.25" customHeight="1" x14ac:dyDescent="0.2">
      <c r="B530" s="58" t="s">
        <v>414</v>
      </c>
      <c r="C530" s="53" t="s">
        <v>692</v>
      </c>
      <c r="D530" s="53" t="s">
        <v>45</v>
      </c>
      <c r="E530" s="53" t="s">
        <v>96</v>
      </c>
      <c r="F530" s="78" t="s">
        <v>614</v>
      </c>
      <c r="G530" s="78"/>
      <c r="H530" s="52">
        <f>H531+H532+H533</f>
        <v>1211.9000000000001</v>
      </c>
      <c r="I530" s="52">
        <f t="shared" ref="I530:Q530" si="160">I531+I532+I533</f>
        <v>1211.9000000000001</v>
      </c>
      <c r="J530" s="300">
        <f t="shared" si="150"/>
        <v>0</v>
      </c>
      <c r="K530" s="52">
        <f t="shared" si="160"/>
        <v>1211.9000000000001</v>
      </c>
      <c r="L530" s="52">
        <f t="shared" si="160"/>
        <v>1211.9000000000001</v>
      </c>
      <c r="M530" s="300">
        <f t="shared" si="159"/>
        <v>0</v>
      </c>
      <c r="N530" s="52">
        <f t="shared" si="160"/>
        <v>1211.9000000000001</v>
      </c>
      <c r="O530" s="300">
        <f t="shared" si="151"/>
        <v>0</v>
      </c>
      <c r="P530" s="52">
        <f t="shared" si="160"/>
        <v>1211.9000000000001</v>
      </c>
      <c r="Q530" s="52">
        <f t="shared" si="160"/>
        <v>1211.9000000000001</v>
      </c>
      <c r="R530" s="333">
        <f t="shared" si="153"/>
        <v>0</v>
      </c>
    </row>
    <row r="531" spans="2:21" s="32" customFormat="1" ht="18.75" customHeight="1" x14ac:dyDescent="0.2">
      <c r="B531" s="56" t="s">
        <v>84</v>
      </c>
      <c r="C531" s="53" t="s">
        <v>692</v>
      </c>
      <c r="D531" s="53" t="s">
        <v>45</v>
      </c>
      <c r="E531" s="53" t="s">
        <v>96</v>
      </c>
      <c r="F531" s="78" t="s">
        <v>614</v>
      </c>
      <c r="G531" s="78" t="s">
        <v>83</v>
      </c>
      <c r="H531" s="133">
        <f>948.2+8</f>
        <v>956.2</v>
      </c>
      <c r="I531" s="133">
        <f>948.2+8</f>
        <v>956.2</v>
      </c>
      <c r="J531" s="300">
        <f t="shared" si="150"/>
        <v>0</v>
      </c>
      <c r="K531" s="133">
        <f>948.2+8</f>
        <v>956.2</v>
      </c>
      <c r="L531" s="133">
        <f>948.2+8</f>
        <v>956.2</v>
      </c>
      <c r="M531" s="300">
        <f t="shared" si="159"/>
        <v>0</v>
      </c>
      <c r="N531" s="133">
        <f>948.2+8</f>
        <v>956.2</v>
      </c>
      <c r="O531" s="300">
        <f t="shared" si="151"/>
        <v>0</v>
      </c>
      <c r="P531" s="133">
        <f>948.2+8</f>
        <v>956.2</v>
      </c>
      <c r="Q531" s="133">
        <f>948.2+8</f>
        <v>956.2</v>
      </c>
      <c r="R531" s="333">
        <f t="shared" si="153"/>
        <v>0</v>
      </c>
    </row>
    <row r="532" spans="2:21" s="32" customFormat="1" ht="26.25" customHeight="1" x14ac:dyDescent="0.2">
      <c r="B532" s="56" t="s">
        <v>73</v>
      </c>
      <c r="C532" s="53" t="s">
        <v>692</v>
      </c>
      <c r="D532" s="53" t="s">
        <v>45</v>
      </c>
      <c r="E532" s="53" t="s">
        <v>96</v>
      </c>
      <c r="F532" s="78" t="s">
        <v>614</v>
      </c>
      <c r="G532" s="78" t="s">
        <v>70</v>
      </c>
      <c r="H532" s="133">
        <v>255.7</v>
      </c>
      <c r="I532" s="133">
        <f>255.7-3</f>
        <v>252.7</v>
      </c>
      <c r="J532" s="300">
        <f t="shared" si="150"/>
        <v>-3</v>
      </c>
      <c r="K532" s="133">
        <v>255.7</v>
      </c>
      <c r="L532" s="133">
        <f>255.7-3</f>
        <v>252.7</v>
      </c>
      <c r="M532" s="300">
        <f t="shared" si="159"/>
        <v>0</v>
      </c>
      <c r="N532" s="133">
        <v>255.7</v>
      </c>
      <c r="O532" s="300">
        <f t="shared" si="151"/>
        <v>0</v>
      </c>
      <c r="P532" s="133">
        <v>255.7</v>
      </c>
      <c r="Q532" s="133">
        <v>255.7</v>
      </c>
      <c r="R532" s="333">
        <f t="shared" si="153"/>
        <v>0</v>
      </c>
    </row>
    <row r="533" spans="2:21" s="32" customFormat="1" ht="17.25" customHeight="1" x14ac:dyDescent="0.2">
      <c r="B533" s="56" t="s">
        <v>413</v>
      </c>
      <c r="C533" s="53" t="s">
        <v>692</v>
      </c>
      <c r="D533" s="53" t="s">
        <v>45</v>
      </c>
      <c r="E533" s="53" t="s">
        <v>96</v>
      </c>
      <c r="F533" s="78" t="s">
        <v>614</v>
      </c>
      <c r="G533" s="78" t="s">
        <v>320</v>
      </c>
      <c r="H533" s="133">
        <v>0</v>
      </c>
      <c r="I533" s="133">
        <v>3</v>
      </c>
      <c r="J533" s="300">
        <f t="shared" si="150"/>
        <v>3</v>
      </c>
      <c r="K533" s="133">
        <v>0</v>
      </c>
      <c r="L533" s="133">
        <v>3</v>
      </c>
      <c r="M533" s="300">
        <f t="shared" si="159"/>
        <v>0</v>
      </c>
      <c r="N533" s="133">
        <v>0</v>
      </c>
      <c r="O533" s="300">
        <f t="shared" si="151"/>
        <v>0</v>
      </c>
      <c r="P533" s="133">
        <v>0</v>
      </c>
      <c r="Q533" s="133">
        <v>0</v>
      </c>
      <c r="R533" s="333">
        <f t="shared" si="153"/>
        <v>0</v>
      </c>
    </row>
    <row r="534" spans="2:21" s="43" customFormat="1" ht="25.5" customHeight="1" x14ac:dyDescent="0.2">
      <c r="B534" s="59" t="s">
        <v>693</v>
      </c>
      <c r="C534" s="48" t="s">
        <v>694</v>
      </c>
      <c r="D534" s="48"/>
      <c r="E534" s="48"/>
      <c r="F534" s="48"/>
      <c r="G534" s="48"/>
      <c r="H534" s="44">
        <f>H535+H561+H570</f>
        <v>27008.7</v>
      </c>
      <c r="I534" s="44">
        <f>I535+I561+I570</f>
        <v>27008.7</v>
      </c>
      <c r="J534" s="300">
        <f t="shared" si="150"/>
        <v>0</v>
      </c>
      <c r="K534" s="44">
        <f>K535+K561+K570</f>
        <v>26162.400000000001</v>
      </c>
      <c r="L534" s="44">
        <f>L535+L561+L570</f>
        <v>26976.5</v>
      </c>
      <c r="M534" s="300">
        <f t="shared" si="159"/>
        <v>-32.200000000000728</v>
      </c>
      <c r="N534" s="44">
        <f>N535+N561+N570</f>
        <v>26162.400000000001</v>
      </c>
      <c r="O534" s="300">
        <f t="shared" si="151"/>
        <v>0</v>
      </c>
      <c r="P534" s="44">
        <f>P535+P561+P570</f>
        <v>26081.9</v>
      </c>
      <c r="Q534" s="44">
        <f>Q535+Q561+Q570</f>
        <v>26081.9</v>
      </c>
      <c r="R534" s="333">
        <f t="shared" si="153"/>
        <v>0</v>
      </c>
    </row>
    <row r="535" spans="2:21" s="43" customFormat="1" x14ac:dyDescent="0.2">
      <c r="B535" s="59" t="s">
        <v>670</v>
      </c>
      <c r="C535" s="48" t="s">
        <v>694</v>
      </c>
      <c r="D535" s="48" t="s">
        <v>45</v>
      </c>
      <c r="E535" s="48"/>
      <c r="F535" s="48"/>
      <c r="G535" s="48"/>
      <c r="H535" s="44">
        <f>H536+H549</f>
        <v>26878.2</v>
      </c>
      <c r="I535" s="44">
        <f>I536+I549</f>
        <v>26878.2</v>
      </c>
      <c r="J535" s="300">
        <f t="shared" si="150"/>
        <v>0</v>
      </c>
      <c r="K535" s="44">
        <f>K536+K549</f>
        <v>26031.9</v>
      </c>
      <c r="L535" s="44">
        <f>L536+L549</f>
        <v>26878.2</v>
      </c>
      <c r="M535" s="300">
        <f t="shared" si="159"/>
        <v>0</v>
      </c>
      <c r="N535" s="44">
        <f>N536+N549</f>
        <v>26031.9</v>
      </c>
      <c r="O535" s="300">
        <f t="shared" si="151"/>
        <v>0</v>
      </c>
      <c r="P535" s="44">
        <f>P536+P549</f>
        <v>26001.9</v>
      </c>
      <c r="Q535" s="44">
        <f>Q536+Q549</f>
        <v>26001.9</v>
      </c>
      <c r="R535" s="333">
        <f t="shared" si="153"/>
        <v>0</v>
      </c>
    </row>
    <row r="536" spans="2:21" s="43" customFormat="1" ht="24" customHeight="1" x14ac:dyDescent="0.2">
      <c r="B536" s="59" t="s">
        <v>619</v>
      </c>
      <c r="C536" s="48" t="s">
        <v>694</v>
      </c>
      <c r="D536" s="48" t="s">
        <v>45</v>
      </c>
      <c r="E536" s="48" t="s">
        <v>96</v>
      </c>
      <c r="F536" s="48"/>
      <c r="G536" s="48"/>
      <c r="H536" s="44">
        <f>H537+H540</f>
        <v>10516.6</v>
      </c>
      <c r="I536" s="44">
        <f>I537+I540</f>
        <v>10511.6</v>
      </c>
      <c r="J536" s="300">
        <f t="shared" si="150"/>
        <v>-5</v>
      </c>
      <c r="K536" s="44">
        <f>K537+K540</f>
        <v>10237.300000000001</v>
      </c>
      <c r="L536" s="44">
        <f>L537+L540</f>
        <v>10511.6</v>
      </c>
      <c r="M536" s="300">
        <f t="shared" si="159"/>
        <v>0</v>
      </c>
      <c r="N536" s="44">
        <f>N537+N540</f>
        <v>10237.300000000001</v>
      </c>
      <c r="O536" s="300">
        <f t="shared" si="151"/>
        <v>0</v>
      </c>
      <c r="P536" s="44">
        <f>P537+P540</f>
        <v>10207.300000000001</v>
      </c>
      <c r="Q536" s="44">
        <f>Q537+Q540</f>
        <v>10207.300000000001</v>
      </c>
      <c r="R536" s="333">
        <f t="shared" si="153"/>
        <v>0</v>
      </c>
    </row>
    <row r="537" spans="2:21" s="32" customFormat="1" ht="17.25" customHeight="1" x14ac:dyDescent="0.2">
      <c r="B537" s="56" t="s">
        <v>151</v>
      </c>
      <c r="C537" s="53" t="s">
        <v>694</v>
      </c>
      <c r="D537" s="53" t="s">
        <v>45</v>
      </c>
      <c r="E537" s="53" t="s">
        <v>96</v>
      </c>
      <c r="F537" s="53" t="s">
        <v>150</v>
      </c>
      <c r="G537" s="53"/>
      <c r="H537" s="52">
        <f t="shared" ref="H537:Q538" si="161">H538</f>
        <v>47.4</v>
      </c>
      <c r="I537" s="52">
        <f t="shared" si="161"/>
        <v>47.4</v>
      </c>
      <c r="J537" s="300">
        <f t="shared" si="150"/>
        <v>0</v>
      </c>
      <c r="K537" s="52">
        <f t="shared" si="161"/>
        <v>47.1</v>
      </c>
      <c r="L537" s="52">
        <f t="shared" si="161"/>
        <v>47.4</v>
      </c>
      <c r="M537" s="300">
        <f t="shared" si="159"/>
        <v>0</v>
      </c>
      <c r="N537" s="52">
        <f t="shared" si="161"/>
        <v>47.1</v>
      </c>
      <c r="O537" s="300">
        <f t="shared" si="151"/>
        <v>0</v>
      </c>
      <c r="P537" s="52">
        <f t="shared" si="161"/>
        <v>47.1</v>
      </c>
      <c r="Q537" s="52">
        <f t="shared" si="161"/>
        <v>47.1</v>
      </c>
      <c r="R537" s="333">
        <f t="shared" si="153"/>
        <v>0</v>
      </c>
    </row>
    <row r="538" spans="2:21" s="32" customFormat="1" ht="66.75" customHeight="1" x14ac:dyDescent="0.2">
      <c r="B538" s="69" t="s">
        <v>618</v>
      </c>
      <c r="C538" s="53" t="s">
        <v>694</v>
      </c>
      <c r="D538" s="53" t="s">
        <v>45</v>
      </c>
      <c r="E538" s="53" t="s">
        <v>96</v>
      </c>
      <c r="F538" s="53" t="s">
        <v>617</v>
      </c>
      <c r="G538" s="53"/>
      <c r="H538" s="52">
        <f t="shared" si="161"/>
        <v>47.4</v>
      </c>
      <c r="I538" s="52">
        <f t="shared" si="161"/>
        <v>47.4</v>
      </c>
      <c r="J538" s="300">
        <f t="shared" si="150"/>
        <v>0</v>
      </c>
      <c r="K538" s="52">
        <f t="shared" si="161"/>
        <v>47.1</v>
      </c>
      <c r="L538" s="52">
        <f t="shared" si="161"/>
        <v>47.4</v>
      </c>
      <c r="M538" s="300">
        <f t="shared" si="159"/>
        <v>0</v>
      </c>
      <c r="N538" s="52">
        <f t="shared" si="161"/>
        <v>47.1</v>
      </c>
      <c r="O538" s="300">
        <f t="shared" si="151"/>
        <v>0</v>
      </c>
      <c r="P538" s="52">
        <f t="shared" si="161"/>
        <v>47.1</v>
      </c>
      <c r="Q538" s="52">
        <f t="shared" si="161"/>
        <v>47.1</v>
      </c>
      <c r="R538" s="333">
        <f t="shared" si="153"/>
        <v>0</v>
      </c>
    </row>
    <row r="539" spans="2:21" s="32" customFormat="1" ht="18" customHeight="1" x14ac:dyDescent="0.2">
      <c r="B539" s="56" t="s">
        <v>84</v>
      </c>
      <c r="C539" s="53" t="s">
        <v>694</v>
      </c>
      <c r="D539" s="53" t="s">
        <v>45</v>
      </c>
      <c r="E539" s="53" t="s">
        <v>96</v>
      </c>
      <c r="F539" s="53" t="s">
        <v>617</v>
      </c>
      <c r="G539" s="53" t="s">
        <v>83</v>
      </c>
      <c r="H539" s="52">
        <v>47.4</v>
      </c>
      <c r="I539" s="52">
        <v>47.4</v>
      </c>
      <c r="J539" s="300">
        <f t="shared" si="150"/>
        <v>0</v>
      </c>
      <c r="K539" s="52">
        <v>47.1</v>
      </c>
      <c r="L539" s="52">
        <v>47.4</v>
      </c>
      <c r="M539" s="300">
        <f t="shared" si="159"/>
        <v>0</v>
      </c>
      <c r="N539" s="52">
        <v>47.1</v>
      </c>
      <c r="O539" s="300">
        <f t="shared" si="151"/>
        <v>0</v>
      </c>
      <c r="P539" s="52">
        <v>47.1</v>
      </c>
      <c r="Q539" s="52">
        <v>47.1</v>
      </c>
      <c r="R539" s="333">
        <f t="shared" si="153"/>
        <v>0</v>
      </c>
    </row>
    <row r="540" spans="2:21" s="51" customFormat="1" ht="25.5" customHeight="1" x14ac:dyDescent="0.2">
      <c r="B540" s="56" t="s">
        <v>54</v>
      </c>
      <c r="C540" s="53" t="s">
        <v>694</v>
      </c>
      <c r="D540" s="53" t="s">
        <v>45</v>
      </c>
      <c r="E540" s="53" t="s">
        <v>96</v>
      </c>
      <c r="F540" s="54" t="s">
        <v>53</v>
      </c>
      <c r="G540" s="53"/>
      <c r="H540" s="52">
        <f t="shared" ref="H540:Q541" si="162">H541</f>
        <v>10469.200000000001</v>
      </c>
      <c r="I540" s="52">
        <f t="shared" si="162"/>
        <v>10464.200000000001</v>
      </c>
      <c r="J540" s="300">
        <f t="shared" si="150"/>
        <v>-5</v>
      </c>
      <c r="K540" s="52">
        <f t="shared" si="162"/>
        <v>10190.200000000001</v>
      </c>
      <c r="L540" s="52">
        <f t="shared" si="162"/>
        <v>10464.200000000001</v>
      </c>
      <c r="M540" s="300">
        <f t="shared" si="159"/>
        <v>0</v>
      </c>
      <c r="N540" s="52">
        <f t="shared" si="162"/>
        <v>10190.200000000001</v>
      </c>
      <c r="O540" s="300">
        <f t="shared" si="151"/>
        <v>0</v>
      </c>
      <c r="P540" s="52">
        <f t="shared" si="162"/>
        <v>10160.200000000001</v>
      </c>
      <c r="Q540" s="52">
        <f t="shared" si="162"/>
        <v>10160.200000000001</v>
      </c>
      <c r="R540" s="333">
        <f t="shared" si="153"/>
        <v>0</v>
      </c>
      <c r="S540" s="32"/>
      <c r="T540" s="32"/>
      <c r="U540" s="32"/>
    </row>
    <row r="541" spans="2:21" s="51" customFormat="1" ht="15.75" customHeight="1" x14ac:dyDescent="0.2">
      <c r="B541" s="141" t="s">
        <v>52</v>
      </c>
      <c r="C541" s="53" t="s">
        <v>694</v>
      </c>
      <c r="D541" s="53" t="s">
        <v>45</v>
      </c>
      <c r="E541" s="53" t="s">
        <v>96</v>
      </c>
      <c r="F541" s="54" t="s">
        <v>51</v>
      </c>
      <c r="G541" s="53"/>
      <c r="H541" s="52">
        <f t="shared" si="162"/>
        <v>10469.200000000001</v>
      </c>
      <c r="I541" s="52">
        <f t="shared" si="162"/>
        <v>10464.200000000001</v>
      </c>
      <c r="J541" s="300">
        <f t="shared" si="150"/>
        <v>-5</v>
      </c>
      <c r="K541" s="52">
        <f t="shared" si="162"/>
        <v>10190.200000000001</v>
      </c>
      <c r="L541" s="52">
        <f t="shared" si="162"/>
        <v>10464.200000000001</v>
      </c>
      <c r="M541" s="300">
        <f t="shared" si="159"/>
        <v>0</v>
      </c>
      <c r="N541" s="52">
        <f t="shared" si="162"/>
        <v>10190.200000000001</v>
      </c>
      <c r="O541" s="300">
        <f t="shared" si="151"/>
        <v>0</v>
      </c>
      <c r="P541" s="52">
        <f t="shared" si="162"/>
        <v>10160.200000000001</v>
      </c>
      <c r="Q541" s="52">
        <f t="shared" si="162"/>
        <v>10160.200000000001</v>
      </c>
      <c r="R541" s="333">
        <f t="shared" si="153"/>
        <v>0</v>
      </c>
      <c r="S541" s="32"/>
      <c r="T541" s="32"/>
      <c r="U541" s="32"/>
    </row>
    <row r="542" spans="2:21" s="51" customFormat="1" ht="25.5" customHeight="1" x14ac:dyDescent="0.2">
      <c r="B542" s="141" t="s">
        <v>544</v>
      </c>
      <c r="C542" s="53" t="s">
        <v>694</v>
      </c>
      <c r="D542" s="53" t="s">
        <v>45</v>
      </c>
      <c r="E542" s="53" t="s">
        <v>96</v>
      </c>
      <c r="F542" s="54" t="s">
        <v>543</v>
      </c>
      <c r="G542" s="60"/>
      <c r="H542" s="52">
        <f>H543+H547</f>
        <v>10469.200000000001</v>
      </c>
      <c r="I542" s="52">
        <f>I543+I547</f>
        <v>10464.200000000001</v>
      </c>
      <c r="J542" s="300">
        <f t="shared" si="150"/>
        <v>-5</v>
      </c>
      <c r="K542" s="52">
        <f>K543+K547</f>
        <v>10190.200000000001</v>
      </c>
      <c r="L542" s="52">
        <f>L543+L547</f>
        <v>10464.200000000001</v>
      </c>
      <c r="M542" s="300">
        <f t="shared" si="159"/>
        <v>0</v>
      </c>
      <c r="N542" s="52">
        <f>N543+N547</f>
        <v>10190.200000000001</v>
      </c>
      <c r="O542" s="300">
        <f t="shared" si="151"/>
        <v>0</v>
      </c>
      <c r="P542" s="52">
        <f>P543+P547</f>
        <v>10160.200000000001</v>
      </c>
      <c r="Q542" s="52">
        <f>Q543+Q547</f>
        <v>10160.200000000001</v>
      </c>
      <c r="R542" s="333">
        <f t="shared" si="153"/>
        <v>0</v>
      </c>
      <c r="S542" s="32"/>
      <c r="T542" s="32"/>
      <c r="U542" s="32"/>
    </row>
    <row r="543" spans="2:21" s="51" customFormat="1" ht="15" customHeight="1" x14ac:dyDescent="0.2">
      <c r="B543" s="57" t="s">
        <v>414</v>
      </c>
      <c r="C543" s="53" t="s">
        <v>694</v>
      </c>
      <c r="D543" s="53" t="s">
        <v>45</v>
      </c>
      <c r="E543" s="53" t="s">
        <v>96</v>
      </c>
      <c r="F543" s="54" t="s">
        <v>613</v>
      </c>
      <c r="G543" s="60"/>
      <c r="H543" s="52">
        <f>H544+H545+H546</f>
        <v>10444.200000000001</v>
      </c>
      <c r="I543" s="52">
        <f>I544+I545+I546</f>
        <v>10439.200000000001</v>
      </c>
      <c r="J543" s="300">
        <f t="shared" si="150"/>
        <v>-5</v>
      </c>
      <c r="K543" s="52">
        <f>K544+K545+K546</f>
        <v>10165.200000000001</v>
      </c>
      <c r="L543" s="52">
        <f>L544+L545+L546</f>
        <v>10439.200000000001</v>
      </c>
      <c r="M543" s="300">
        <f t="shared" si="159"/>
        <v>0</v>
      </c>
      <c r="N543" s="52">
        <f>N544+N545+N546</f>
        <v>10165.200000000001</v>
      </c>
      <c r="O543" s="300">
        <f t="shared" si="151"/>
        <v>0</v>
      </c>
      <c r="P543" s="52">
        <f>P544+P545+P546</f>
        <v>10135.200000000001</v>
      </c>
      <c r="Q543" s="52">
        <f>Q544+Q545+Q546</f>
        <v>10135.200000000001</v>
      </c>
      <c r="R543" s="333">
        <f t="shared" si="153"/>
        <v>0</v>
      </c>
      <c r="S543" s="32"/>
      <c r="T543" s="32"/>
      <c r="U543" s="32"/>
    </row>
    <row r="544" spans="2:21" s="51" customFormat="1" ht="18" customHeight="1" x14ac:dyDescent="0.2">
      <c r="B544" s="56" t="s">
        <v>84</v>
      </c>
      <c r="C544" s="53" t="s">
        <v>694</v>
      </c>
      <c r="D544" s="53" t="s">
        <v>45</v>
      </c>
      <c r="E544" s="53" t="s">
        <v>96</v>
      </c>
      <c r="F544" s="54" t="s">
        <v>613</v>
      </c>
      <c r="G544" s="60" t="s">
        <v>83</v>
      </c>
      <c r="H544" s="52">
        <f>9501.4+30.2+279</f>
        <v>9810.6</v>
      </c>
      <c r="I544" s="52">
        <f>9810.6-5</f>
        <v>9805.6</v>
      </c>
      <c r="J544" s="300">
        <f t="shared" si="150"/>
        <v>-5</v>
      </c>
      <c r="K544" s="52">
        <f>9501.4+30.2</f>
        <v>9531.6</v>
      </c>
      <c r="L544" s="52">
        <f>9810.6-5</f>
        <v>9805.6</v>
      </c>
      <c r="M544" s="300">
        <f t="shared" si="159"/>
        <v>0</v>
      </c>
      <c r="N544" s="52">
        <f>9501.4+30.2</f>
        <v>9531.6</v>
      </c>
      <c r="O544" s="300">
        <f t="shared" si="151"/>
        <v>0</v>
      </c>
      <c r="P544" s="52">
        <f>9501.4+30.2</f>
        <v>9531.6</v>
      </c>
      <c r="Q544" s="52">
        <f>9501.4+30.2</f>
        <v>9531.6</v>
      </c>
      <c r="R544" s="333">
        <f t="shared" si="153"/>
        <v>0</v>
      </c>
      <c r="S544" s="32"/>
      <c r="T544" s="32"/>
      <c r="U544" s="32"/>
    </row>
    <row r="545" spans="2:21" s="51" customFormat="1" ht="28.5" customHeight="1" x14ac:dyDescent="0.2">
      <c r="B545" s="56" t="s">
        <v>73</v>
      </c>
      <c r="C545" s="53" t="s">
        <v>694</v>
      </c>
      <c r="D545" s="53" t="s">
        <v>45</v>
      </c>
      <c r="E545" s="53" t="s">
        <v>96</v>
      </c>
      <c r="F545" s="54" t="s">
        <v>613</v>
      </c>
      <c r="G545" s="60" t="s">
        <v>70</v>
      </c>
      <c r="H545" s="52">
        <v>632.6</v>
      </c>
      <c r="I545" s="52">
        <v>632.6</v>
      </c>
      <c r="J545" s="300">
        <f t="shared" si="150"/>
        <v>0</v>
      </c>
      <c r="K545" s="52">
        <v>632.6</v>
      </c>
      <c r="L545" s="52">
        <v>632.6</v>
      </c>
      <c r="M545" s="300">
        <f t="shared" si="159"/>
        <v>0</v>
      </c>
      <c r="N545" s="52">
        <v>632.6</v>
      </c>
      <c r="O545" s="300">
        <f t="shared" si="151"/>
        <v>0</v>
      </c>
      <c r="P545" s="52">
        <f>632.6-30</f>
        <v>602.6</v>
      </c>
      <c r="Q545" s="52">
        <f>632.6-30</f>
        <v>602.6</v>
      </c>
      <c r="R545" s="333">
        <f t="shared" si="153"/>
        <v>0</v>
      </c>
      <c r="S545" s="32"/>
      <c r="T545" s="32"/>
      <c r="U545" s="32"/>
    </row>
    <row r="546" spans="2:21" s="51" customFormat="1" ht="16.5" customHeight="1" x14ac:dyDescent="0.2">
      <c r="B546" s="56" t="s">
        <v>413</v>
      </c>
      <c r="C546" s="53" t="s">
        <v>694</v>
      </c>
      <c r="D546" s="53" t="s">
        <v>45</v>
      </c>
      <c r="E546" s="53" t="s">
        <v>96</v>
      </c>
      <c r="F546" s="54" t="s">
        <v>613</v>
      </c>
      <c r="G546" s="60" t="s">
        <v>320</v>
      </c>
      <c r="H546" s="52">
        <v>1</v>
      </c>
      <c r="I546" s="52">
        <v>1</v>
      </c>
      <c r="J546" s="300">
        <f t="shared" si="150"/>
        <v>0</v>
      </c>
      <c r="K546" s="52">
        <v>1</v>
      </c>
      <c r="L546" s="52">
        <v>1</v>
      </c>
      <c r="M546" s="300">
        <f t="shared" si="159"/>
        <v>0</v>
      </c>
      <c r="N546" s="52">
        <v>1</v>
      </c>
      <c r="O546" s="300">
        <f t="shared" si="151"/>
        <v>0</v>
      </c>
      <c r="P546" s="52">
        <v>1</v>
      </c>
      <c r="Q546" s="52">
        <v>1</v>
      </c>
      <c r="R546" s="333">
        <f t="shared" si="153"/>
        <v>0</v>
      </c>
      <c r="S546" s="32"/>
      <c r="T546" s="32"/>
      <c r="U546" s="32"/>
    </row>
    <row r="547" spans="2:21" s="51" customFormat="1" ht="18.75" customHeight="1" x14ac:dyDescent="0.2">
      <c r="B547" s="56" t="s">
        <v>568</v>
      </c>
      <c r="C547" s="53" t="s">
        <v>694</v>
      </c>
      <c r="D547" s="53" t="s">
        <v>45</v>
      </c>
      <c r="E547" s="53" t="s">
        <v>96</v>
      </c>
      <c r="F547" s="54" t="s">
        <v>612</v>
      </c>
      <c r="G547" s="53"/>
      <c r="H547" s="52">
        <f>H548</f>
        <v>25</v>
      </c>
      <c r="I547" s="52">
        <f>I548</f>
        <v>25</v>
      </c>
      <c r="J547" s="300">
        <f t="shared" si="150"/>
        <v>0</v>
      </c>
      <c r="K547" s="52">
        <f>K548</f>
        <v>25</v>
      </c>
      <c r="L547" s="52">
        <f>L548</f>
        <v>25</v>
      </c>
      <c r="M547" s="300">
        <f t="shared" si="159"/>
        <v>0</v>
      </c>
      <c r="N547" s="52">
        <f>N548</f>
        <v>25</v>
      </c>
      <c r="O547" s="300">
        <f t="shared" si="151"/>
        <v>0</v>
      </c>
      <c r="P547" s="52">
        <f>P548</f>
        <v>25</v>
      </c>
      <c r="Q547" s="52">
        <f>Q548</f>
        <v>25</v>
      </c>
      <c r="R547" s="333">
        <f t="shared" si="153"/>
        <v>0</v>
      </c>
      <c r="S547" s="32"/>
      <c r="T547" s="32"/>
      <c r="U547" s="32"/>
    </row>
    <row r="548" spans="2:21" s="51" customFormat="1" ht="25.5" customHeight="1" x14ac:dyDescent="0.2">
      <c r="B548" s="56" t="s">
        <v>73</v>
      </c>
      <c r="C548" s="53" t="s">
        <v>694</v>
      </c>
      <c r="D548" s="53" t="s">
        <v>45</v>
      </c>
      <c r="E548" s="53" t="s">
        <v>96</v>
      </c>
      <c r="F548" s="54" t="s">
        <v>612</v>
      </c>
      <c r="G548" s="53" t="s">
        <v>70</v>
      </c>
      <c r="H548" s="52">
        <v>25</v>
      </c>
      <c r="I548" s="52">
        <v>25</v>
      </c>
      <c r="J548" s="300">
        <f t="shared" si="150"/>
        <v>0</v>
      </c>
      <c r="K548" s="52">
        <v>25</v>
      </c>
      <c r="L548" s="52">
        <v>25</v>
      </c>
      <c r="M548" s="300">
        <f t="shared" si="159"/>
        <v>0</v>
      </c>
      <c r="N548" s="52">
        <v>25</v>
      </c>
      <c r="O548" s="300">
        <f t="shared" si="151"/>
        <v>0</v>
      </c>
      <c r="P548" s="52">
        <v>25</v>
      </c>
      <c r="Q548" s="52">
        <v>25</v>
      </c>
      <c r="R548" s="333">
        <f t="shared" si="153"/>
        <v>0</v>
      </c>
      <c r="S548" s="32"/>
      <c r="T548" s="32"/>
      <c r="U548" s="32"/>
    </row>
    <row r="549" spans="2:21" s="43" customFormat="1" ht="15.75" customHeight="1" x14ac:dyDescent="0.2">
      <c r="B549" s="181" t="s">
        <v>598</v>
      </c>
      <c r="C549" s="48" t="s">
        <v>694</v>
      </c>
      <c r="D549" s="48" t="s">
        <v>45</v>
      </c>
      <c r="E549" s="48" t="s">
        <v>46</v>
      </c>
      <c r="F549" s="49"/>
      <c r="G549" s="48"/>
      <c r="H549" s="44">
        <f t="shared" ref="H549:Q551" si="163">H550</f>
        <v>16361.6</v>
      </c>
      <c r="I549" s="44">
        <f t="shared" si="163"/>
        <v>16366.6</v>
      </c>
      <c r="J549" s="300">
        <f t="shared" si="150"/>
        <v>5</v>
      </c>
      <c r="K549" s="44">
        <f t="shared" si="163"/>
        <v>15794.6</v>
      </c>
      <c r="L549" s="44">
        <f t="shared" si="163"/>
        <v>16366.6</v>
      </c>
      <c r="M549" s="300">
        <f t="shared" si="159"/>
        <v>0</v>
      </c>
      <c r="N549" s="44">
        <f t="shared" si="163"/>
        <v>15794.6</v>
      </c>
      <c r="O549" s="300">
        <f t="shared" si="151"/>
        <v>0</v>
      </c>
      <c r="P549" s="44">
        <f t="shared" si="163"/>
        <v>15794.6</v>
      </c>
      <c r="Q549" s="44">
        <f t="shared" si="163"/>
        <v>15794.6</v>
      </c>
      <c r="R549" s="333">
        <f t="shared" si="153"/>
        <v>0</v>
      </c>
    </row>
    <row r="550" spans="2:21" s="51" customFormat="1" ht="24.75" customHeight="1" x14ac:dyDescent="0.2">
      <c r="B550" s="56" t="s">
        <v>54</v>
      </c>
      <c r="C550" s="53" t="s">
        <v>694</v>
      </c>
      <c r="D550" s="53" t="s">
        <v>45</v>
      </c>
      <c r="E550" s="53" t="s">
        <v>46</v>
      </c>
      <c r="F550" s="54" t="s">
        <v>53</v>
      </c>
      <c r="G550" s="78"/>
      <c r="H550" s="52">
        <f t="shared" si="163"/>
        <v>16361.6</v>
      </c>
      <c r="I550" s="52">
        <f t="shared" si="163"/>
        <v>16366.6</v>
      </c>
      <c r="J550" s="300">
        <f t="shared" si="150"/>
        <v>5</v>
      </c>
      <c r="K550" s="52">
        <f t="shared" si="163"/>
        <v>15794.6</v>
      </c>
      <c r="L550" s="52">
        <f t="shared" si="163"/>
        <v>16366.6</v>
      </c>
      <c r="M550" s="300">
        <f t="shared" si="159"/>
        <v>0</v>
      </c>
      <c r="N550" s="52">
        <f t="shared" si="163"/>
        <v>15794.6</v>
      </c>
      <c r="O550" s="300">
        <f t="shared" si="151"/>
        <v>0</v>
      </c>
      <c r="P550" s="52">
        <f t="shared" si="163"/>
        <v>15794.6</v>
      </c>
      <c r="Q550" s="52">
        <f t="shared" si="163"/>
        <v>15794.6</v>
      </c>
      <c r="R550" s="333">
        <f t="shared" si="153"/>
        <v>0</v>
      </c>
      <c r="S550" s="32"/>
      <c r="T550" s="32"/>
      <c r="U550" s="32"/>
    </row>
    <row r="551" spans="2:21" s="51" customFormat="1" ht="18" customHeight="1" x14ac:dyDescent="0.2">
      <c r="B551" s="141" t="s">
        <v>52</v>
      </c>
      <c r="C551" s="53" t="s">
        <v>694</v>
      </c>
      <c r="D551" s="53" t="s">
        <v>45</v>
      </c>
      <c r="E551" s="53" t="s">
        <v>46</v>
      </c>
      <c r="F551" s="54" t="s">
        <v>51</v>
      </c>
      <c r="G551" s="78"/>
      <c r="H551" s="52">
        <f>H552</f>
        <v>16361.6</v>
      </c>
      <c r="I551" s="52">
        <f>I552</f>
        <v>16366.6</v>
      </c>
      <c r="J551" s="300">
        <f t="shared" si="150"/>
        <v>5</v>
      </c>
      <c r="K551" s="52">
        <f t="shared" si="163"/>
        <v>15794.6</v>
      </c>
      <c r="L551" s="52">
        <f>L552</f>
        <v>16366.6</v>
      </c>
      <c r="M551" s="300">
        <f t="shared" si="159"/>
        <v>0</v>
      </c>
      <c r="N551" s="52">
        <f t="shared" si="163"/>
        <v>15794.6</v>
      </c>
      <c r="O551" s="300">
        <f t="shared" si="151"/>
        <v>0</v>
      </c>
      <c r="P551" s="52">
        <f t="shared" si="163"/>
        <v>15794.6</v>
      </c>
      <c r="Q551" s="52">
        <f t="shared" si="163"/>
        <v>15794.6</v>
      </c>
      <c r="R551" s="333">
        <f t="shared" si="153"/>
        <v>0</v>
      </c>
      <c r="S551" s="32"/>
      <c r="T551" s="32"/>
      <c r="U551" s="32"/>
    </row>
    <row r="552" spans="2:21" s="51" customFormat="1" ht="31.5" customHeight="1" x14ac:dyDescent="0.2">
      <c r="B552" s="141" t="s">
        <v>544</v>
      </c>
      <c r="C552" s="53" t="s">
        <v>694</v>
      </c>
      <c r="D552" s="53" t="s">
        <v>45</v>
      </c>
      <c r="E552" s="53" t="s">
        <v>46</v>
      </c>
      <c r="F552" s="54" t="s">
        <v>543</v>
      </c>
      <c r="G552" s="78"/>
      <c r="H552" s="52">
        <f>H553+H555+H559</f>
        <v>16361.6</v>
      </c>
      <c r="I552" s="52">
        <f>I553+I555+I559</f>
        <v>16366.6</v>
      </c>
      <c r="J552" s="300">
        <f t="shared" si="150"/>
        <v>5</v>
      </c>
      <c r="K552" s="52">
        <f>K553+K555+K559</f>
        <v>15794.6</v>
      </c>
      <c r="L552" s="52">
        <f>L553+L555+L559</f>
        <v>16366.6</v>
      </c>
      <c r="M552" s="300">
        <f t="shared" si="159"/>
        <v>0</v>
      </c>
      <c r="N552" s="52">
        <f>N553+N555+N559</f>
        <v>15794.6</v>
      </c>
      <c r="O552" s="300">
        <f t="shared" si="151"/>
        <v>0</v>
      </c>
      <c r="P552" s="52">
        <f>P553+P555+P559</f>
        <v>15794.6</v>
      </c>
      <c r="Q552" s="52">
        <f>Q553+Q555+Q559</f>
        <v>15794.6</v>
      </c>
      <c r="R552" s="333">
        <f t="shared" si="153"/>
        <v>0</v>
      </c>
      <c r="S552" s="32"/>
      <c r="T552" s="32"/>
      <c r="U552" s="32"/>
    </row>
    <row r="553" spans="2:21" s="51" customFormat="1" ht="16.5" customHeight="1" x14ac:dyDescent="0.2">
      <c r="B553" s="69" t="s">
        <v>542</v>
      </c>
      <c r="C553" s="53" t="s">
        <v>694</v>
      </c>
      <c r="D553" s="53" t="s">
        <v>45</v>
      </c>
      <c r="E553" s="53" t="s">
        <v>46</v>
      </c>
      <c r="F553" s="54" t="s">
        <v>541</v>
      </c>
      <c r="G553" s="78"/>
      <c r="H553" s="52">
        <f>H554</f>
        <v>30</v>
      </c>
      <c r="I553" s="52">
        <f>I554</f>
        <v>35</v>
      </c>
      <c r="J553" s="300">
        <f t="shared" si="150"/>
        <v>5</v>
      </c>
      <c r="K553" s="52">
        <f>K554</f>
        <v>30</v>
      </c>
      <c r="L553" s="52">
        <f>L554</f>
        <v>35</v>
      </c>
      <c r="M553" s="300">
        <f t="shared" si="159"/>
        <v>0</v>
      </c>
      <c r="N553" s="52">
        <f>N554</f>
        <v>30</v>
      </c>
      <c r="O553" s="300">
        <f t="shared" si="151"/>
        <v>0</v>
      </c>
      <c r="P553" s="52">
        <f>P554</f>
        <v>30</v>
      </c>
      <c r="Q553" s="52">
        <f>Q554</f>
        <v>30</v>
      </c>
      <c r="R553" s="333">
        <f t="shared" si="153"/>
        <v>0</v>
      </c>
      <c r="S553" s="32"/>
      <c r="T553" s="32"/>
      <c r="U553" s="32"/>
    </row>
    <row r="554" spans="2:21" s="51" customFormat="1" ht="16.5" customHeight="1" x14ac:dyDescent="0.2">
      <c r="B554" s="69" t="s">
        <v>413</v>
      </c>
      <c r="C554" s="53" t="s">
        <v>694</v>
      </c>
      <c r="D554" s="53" t="s">
        <v>45</v>
      </c>
      <c r="E554" s="53" t="s">
        <v>46</v>
      </c>
      <c r="F554" s="54" t="s">
        <v>541</v>
      </c>
      <c r="G554" s="78" t="s">
        <v>320</v>
      </c>
      <c r="H554" s="52">
        <v>30</v>
      </c>
      <c r="I554" s="52">
        <f>30+5</f>
        <v>35</v>
      </c>
      <c r="J554" s="300">
        <f t="shared" si="150"/>
        <v>5</v>
      </c>
      <c r="K554" s="52">
        <v>30</v>
      </c>
      <c r="L554" s="52">
        <f>30+5</f>
        <v>35</v>
      </c>
      <c r="M554" s="300">
        <f t="shared" si="159"/>
        <v>0</v>
      </c>
      <c r="N554" s="52">
        <v>30</v>
      </c>
      <c r="O554" s="300">
        <f t="shared" si="151"/>
        <v>0</v>
      </c>
      <c r="P554" s="52">
        <v>30</v>
      </c>
      <c r="Q554" s="52">
        <v>30</v>
      </c>
      <c r="R554" s="333">
        <f t="shared" si="153"/>
        <v>0</v>
      </c>
      <c r="S554" s="32"/>
      <c r="T554" s="32"/>
      <c r="U554" s="32"/>
    </row>
    <row r="555" spans="2:21" s="51" customFormat="1" ht="26.25" customHeight="1" x14ac:dyDescent="0.2">
      <c r="B555" s="56" t="s">
        <v>1097</v>
      </c>
      <c r="C555" s="53" t="s">
        <v>694</v>
      </c>
      <c r="D555" s="53" t="s">
        <v>45</v>
      </c>
      <c r="E555" s="53" t="s">
        <v>46</v>
      </c>
      <c r="F555" s="54" t="s">
        <v>540</v>
      </c>
      <c r="G555" s="78"/>
      <c r="H555" s="52">
        <f>H556+H557+H558</f>
        <v>1360.4</v>
      </c>
      <c r="I555" s="52">
        <f>I556+I557+I558</f>
        <v>1360.4</v>
      </c>
      <c r="J555" s="300">
        <f t="shared" si="150"/>
        <v>0</v>
      </c>
      <c r="K555" s="52">
        <f>K556+K557+K558</f>
        <v>793.4</v>
      </c>
      <c r="L555" s="52">
        <f>L556+L557+L558</f>
        <v>1360.4</v>
      </c>
      <c r="M555" s="300">
        <f t="shared" si="159"/>
        <v>0</v>
      </c>
      <c r="N555" s="52">
        <f>N556+N557+N558</f>
        <v>793.4</v>
      </c>
      <c r="O555" s="300">
        <f t="shared" si="151"/>
        <v>0</v>
      </c>
      <c r="P555" s="52">
        <f>P556+P557+P558</f>
        <v>793.4</v>
      </c>
      <c r="Q555" s="52">
        <f>Q556+Q557+Q558</f>
        <v>793.4</v>
      </c>
      <c r="R555" s="333">
        <f t="shared" si="153"/>
        <v>0</v>
      </c>
      <c r="S555" s="32"/>
      <c r="T555" s="32"/>
      <c r="U555" s="32"/>
    </row>
    <row r="556" spans="2:21" s="51" customFormat="1" ht="19.5" hidden="1" customHeight="1" x14ac:dyDescent="0.2">
      <c r="B556" s="66" t="s">
        <v>145</v>
      </c>
      <c r="C556" s="53" t="s">
        <v>694</v>
      </c>
      <c r="D556" s="53" t="s">
        <v>45</v>
      </c>
      <c r="E556" s="53" t="s">
        <v>46</v>
      </c>
      <c r="F556" s="54" t="s">
        <v>540</v>
      </c>
      <c r="G556" s="78" t="s">
        <v>144</v>
      </c>
      <c r="H556" s="52"/>
      <c r="I556" s="52"/>
      <c r="J556" s="300">
        <f t="shared" si="150"/>
        <v>0</v>
      </c>
      <c r="K556" s="52"/>
      <c r="L556" s="52"/>
      <c r="M556" s="300">
        <f t="shared" si="159"/>
        <v>0</v>
      </c>
      <c r="N556" s="52"/>
      <c r="O556" s="300">
        <f t="shared" si="151"/>
        <v>0</v>
      </c>
      <c r="P556" s="52"/>
      <c r="Q556" s="52"/>
      <c r="R556" s="333">
        <f t="shared" si="153"/>
        <v>0</v>
      </c>
      <c r="S556" s="32"/>
      <c r="T556" s="32"/>
      <c r="U556" s="32"/>
    </row>
    <row r="557" spans="2:21" s="51" customFormat="1" ht="27.75" customHeight="1" x14ac:dyDescent="0.2">
      <c r="B557" s="66" t="s">
        <v>73</v>
      </c>
      <c r="C557" s="53" t="s">
        <v>694</v>
      </c>
      <c r="D557" s="53" t="s">
        <v>45</v>
      </c>
      <c r="E557" s="53" t="s">
        <v>46</v>
      </c>
      <c r="F557" s="54" t="s">
        <v>540</v>
      </c>
      <c r="G557" s="78" t="s">
        <v>70</v>
      </c>
      <c r="H557" s="52">
        <v>1360.4</v>
      </c>
      <c r="I557" s="52">
        <v>1360.4</v>
      </c>
      <c r="J557" s="300">
        <f t="shared" si="150"/>
        <v>0</v>
      </c>
      <c r="K557" s="52">
        <v>793.4</v>
      </c>
      <c r="L557" s="52">
        <v>1360.4</v>
      </c>
      <c r="M557" s="300">
        <f t="shared" si="159"/>
        <v>0</v>
      </c>
      <c r="N557" s="52">
        <v>793.4</v>
      </c>
      <c r="O557" s="300">
        <f t="shared" si="151"/>
        <v>0</v>
      </c>
      <c r="P557" s="52">
        <v>793.4</v>
      </c>
      <c r="Q557" s="52">
        <v>793.4</v>
      </c>
      <c r="R557" s="333">
        <f t="shared" si="153"/>
        <v>0</v>
      </c>
      <c r="S557" s="32"/>
      <c r="T557" s="32"/>
      <c r="U557" s="32"/>
    </row>
    <row r="558" spans="2:21" s="51" customFormat="1" ht="14.25" hidden="1" customHeight="1" x14ac:dyDescent="0.2">
      <c r="B558" s="56" t="s">
        <v>413</v>
      </c>
      <c r="C558" s="53" t="s">
        <v>694</v>
      </c>
      <c r="D558" s="53" t="s">
        <v>45</v>
      </c>
      <c r="E558" s="53" t="s">
        <v>46</v>
      </c>
      <c r="F558" s="54" t="s">
        <v>540</v>
      </c>
      <c r="G558" s="78" t="s">
        <v>320</v>
      </c>
      <c r="H558" s="52"/>
      <c r="I558" s="52"/>
      <c r="J558" s="300">
        <f t="shared" si="150"/>
        <v>0</v>
      </c>
      <c r="K558" s="52"/>
      <c r="L558" s="52"/>
      <c r="M558" s="300">
        <f t="shared" si="159"/>
        <v>0</v>
      </c>
      <c r="N558" s="52"/>
      <c r="O558" s="300">
        <f t="shared" si="151"/>
        <v>0</v>
      </c>
      <c r="P558" s="52"/>
      <c r="Q558" s="52"/>
      <c r="R558" s="333">
        <f t="shared" si="153"/>
        <v>0</v>
      </c>
      <c r="S558" s="32"/>
      <c r="T558" s="32"/>
      <c r="U558" s="32"/>
    </row>
    <row r="559" spans="2:21" s="51" customFormat="1" ht="26.25" customHeight="1" x14ac:dyDescent="0.2">
      <c r="B559" s="69" t="s">
        <v>88</v>
      </c>
      <c r="C559" s="53" t="s">
        <v>694</v>
      </c>
      <c r="D559" s="53" t="s">
        <v>45</v>
      </c>
      <c r="E559" s="53" t="s">
        <v>46</v>
      </c>
      <c r="F559" s="54" t="s">
        <v>539</v>
      </c>
      <c r="G559" s="78"/>
      <c r="H559" s="52">
        <f>H560</f>
        <v>14971.2</v>
      </c>
      <c r="I559" s="52">
        <f>I560</f>
        <v>14971.2</v>
      </c>
      <c r="J559" s="300">
        <f t="shared" si="150"/>
        <v>0</v>
      </c>
      <c r="K559" s="52">
        <f>K560</f>
        <v>14971.2</v>
      </c>
      <c r="L559" s="52">
        <f>L560</f>
        <v>14971.2</v>
      </c>
      <c r="M559" s="300">
        <f t="shared" si="159"/>
        <v>0</v>
      </c>
      <c r="N559" s="52">
        <f>N560</f>
        <v>14971.2</v>
      </c>
      <c r="O559" s="300">
        <f t="shared" si="151"/>
        <v>0</v>
      </c>
      <c r="P559" s="52">
        <f>P560</f>
        <v>14971.2</v>
      </c>
      <c r="Q559" s="52">
        <f>Q560</f>
        <v>14971.2</v>
      </c>
      <c r="R559" s="333">
        <f t="shared" si="153"/>
        <v>0</v>
      </c>
      <c r="S559" s="32"/>
      <c r="T559" s="32"/>
      <c r="U559" s="32"/>
    </row>
    <row r="560" spans="2:21" s="51" customFormat="1" ht="14.25" customHeight="1" x14ac:dyDescent="0.2">
      <c r="B560" s="140" t="s">
        <v>145</v>
      </c>
      <c r="C560" s="53" t="s">
        <v>694</v>
      </c>
      <c r="D560" s="53" t="s">
        <v>45</v>
      </c>
      <c r="E560" s="53" t="s">
        <v>46</v>
      </c>
      <c r="F560" s="54" t="s">
        <v>539</v>
      </c>
      <c r="G560" s="78" t="s">
        <v>144</v>
      </c>
      <c r="H560" s="52">
        <f>2599.6+12371.6</f>
        <v>14971.2</v>
      </c>
      <c r="I560" s="52">
        <f>2599.6+12371.6</f>
        <v>14971.2</v>
      </c>
      <c r="J560" s="300">
        <f t="shared" si="150"/>
        <v>0</v>
      </c>
      <c r="K560" s="52">
        <f>2599.6+12371.6</f>
        <v>14971.2</v>
      </c>
      <c r="L560" s="52">
        <f>2599.6+12371.6</f>
        <v>14971.2</v>
      </c>
      <c r="M560" s="300">
        <f t="shared" si="159"/>
        <v>0</v>
      </c>
      <c r="N560" s="52">
        <f>2599.6+12371.6</f>
        <v>14971.2</v>
      </c>
      <c r="O560" s="300">
        <f t="shared" si="151"/>
        <v>0</v>
      </c>
      <c r="P560" s="52">
        <f>2599.6+12371.6</f>
        <v>14971.2</v>
      </c>
      <c r="Q560" s="52">
        <f>2599.6+12371.6</f>
        <v>14971.2</v>
      </c>
      <c r="R560" s="333">
        <f t="shared" si="153"/>
        <v>0</v>
      </c>
      <c r="S560" s="32"/>
      <c r="T560" s="32"/>
      <c r="U560" s="32"/>
    </row>
    <row r="561" spans="2:21" s="47" customFormat="1" ht="15" customHeight="1" x14ac:dyDescent="0.2">
      <c r="B561" s="59" t="s">
        <v>675</v>
      </c>
      <c r="C561" s="48" t="s">
        <v>694</v>
      </c>
      <c r="D561" s="48" t="s">
        <v>108</v>
      </c>
      <c r="E561" s="48"/>
      <c r="F561" s="49"/>
      <c r="G561" s="48"/>
      <c r="H561" s="44">
        <f t="shared" ref="H561:I564" si="164">H562</f>
        <v>50</v>
      </c>
      <c r="I561" s="44">
        <f t="shared" si="164"/>
        <v>50</v>
      </c>
      <c r="J561" s="300">
        <f t="shared" si="150"/>
        <v>0</v>
      </c>
      <c r="K561" s="44">
        <f t="shared" ref="K561:Q564" si="165">K562</f>
        <v>50</v>
      </c>
      <c r="L561" s="44">
        <f t="shared" si="165"/>
        <v>17.799999999999997</v>
      </c>
      <c r="M561" s="300">
        <f t="shared" si="159"/>
        <v>-32.200000000000003</v>
      </c>
      <c r="N561" s="44">
        <f t="shared" si="165"/>
        <v>50</v>
      </c>
      <c r="O561" s="300">
        <f t="shared" si="151"/>
        <v>0</v>
      </c>
      <c r="P561" s="44">
        <f t="shared" si="165"/>
        <v>50</v>
      </c>
      <c r="Q561" s="44">
        <f t="shared" si="165"/>
        <v>50</v>
      </c>
      <c r="R561" s="333">
        <f t="shared" si="153"/>
        <v>0</v>
      </c>
      <c r="S561" s="43"/>
      <c r="T561" s="43"/>
      <c r="U561" s="43"/>
    </row>
    <row r="562" spans="2:21" s="47" customFormat="1" ht="12.75" customHeight="1" x14ac:dyDescent="0.2">
      <c r="B562" s="178" t="s">
        <v>446</v>
      </c>
      <c r="C562" s="48" t="s">
        <v>694</v>
      </c>
      <c r="D562" s="48" t="s">
        <v>108</v>
      </c>
      <c r="E562" s="48" t="s">
        <v>412</v>
      </c>
      <c r="F562" s="49"/>
      <c r="G562" s="48"/>
      <c r="H562" s="44">
        <f t="shared" si="164"/>
        <v>50</v>
      </c>
      <c r="I562" s="44">
        <f t="shared" si="164"/>
        <v>50</v>
      </c>
      <c r="J562" s="300">
        <f t="shared" si="150"/>
        <v>0</v>
      </c>
      <c r="K562" s="44">
        <f t="shared" si="165"/>
        <v>50</v>
      </c>
      <c r="L562" s="44">
        <f t="shared" si="165"/>
        <v>17.799999999999997</v>
      </c>
      <c r="M562" s="300">
        <f t="shared" si="159"/>
        <v>-32.200000000000003</v>
      </c>
      <c r="N562" s="44">
        <f t="shared" si="165"/>
        <v>50</v>
      </c>
      <c r="O562" s="300">
        <f t="shared" si="151"/>
        <v>0</v>
      </c>
      <c r="P562" s="44">
        <f t="shared" si="165"/>
        <v>50</v>
      </c>
      <c r="Q562" s="44">
        <f t="shared" si="165"/>
        <v>50</v>
      </c>
      <c r="R562" s="333">
        <f t="shared" si="153"/>
        <v>0</v>
      </c>
      <c r="S562" s="43"/>
      <c r="T562" s="43"/>
      <c r="U562" s="43"/>
    </row>
    <row r="563" spans="2:21" s="51" customFormat="1" ht="24" customHeight="1" x14ac:dyDescent="0.2">
      <c r="B563" s="56" t="s">
        <v>445</v>
      </c>
      <c r="C563" s="53" t="s">
        <v>694</v>
      </c>
      <c r="D563" s="53" t="s">
        <v>108</v>
      </c>
      <c r="E563" s="53" t="s">
        <v>412</v>
      </c>
      <c r="F563" s="54" t="s">
        <v>444</v>
      </c>
      <c r="G563" s="53"/>
      <c r="H563" s="52">
        <f t="shared" si="164"/>
        <v>50</v>
      </c>
      <c r="I563" s="52">
        <f t="shared" si="164"/>
        <v>50</v>
      </c>
      <c r="J563" s="300">
        <f t="shared" si="150"/>
        <v>0</v>
      </c>
      <c r="K563" s="52">
        <f t="shared" si="165"/>
        <v>50</v>
      </c>
      <c r="L563" s="52">
        <f t="shared" si="165"/>
        <v>17.799999999999997</v>
      </c>
      <c r="M563" s="300">
        <f t="shared" si="159"/>
        <v>-32.200000000000003</v>
      </c>
      <c r="N563" s="52">
        <f t="shared" si="165"/>
        <v>50</v>
      </c>
      <c r="O563" s="300">
        <f t="shared" si="151"/>
        <v>0</v>
      </c>
      <c r="P563" s="52">
        <f t="shared" si="165"/>
        <v>50</v>
      </c>
      <c r="Q563" s="52">
        <f t="shared" si="165"/>
        <v>50</v>
      </c>
      <c r="R563" s="333">
        <f t="shared" si="153"/>
        <v>0</v>
      </c>
      <c r="S563" s="32"/>
      <c r="T563" s="32"/>
      <c r="U563" s="32"/>
    </row>
    <row r="564" spans="2:21" s="51" customFormat="1" ht="17.25" customHeight="1" x14ac:dyDescent="0.2">
      <c r="B564" s="56" t="s">
        <v>52</v>
      </c>
      <c r="C564" s="53" t="s">
        <v>694</v>
      </c>
      <c r="D564" s="53" t="s">
        <v>108</v>
      </c>
      <c r="E564" s="53" t="s">
        <v>412</v>
      </c>
      <c r="F564" s="54" t="s">
        <v>436</v>
      </c>
      <c r="G564" s="53"/>
      <c r="H564" s="52">
        <f t="shared" si="164"/>
        <v>50</v>
      </c>
      <c r="I564" s="52">
        <f t="shared" si="164"/>
        <v>50</v>
      </c>
      <c r="J564" s="300">
        <f t="shared" si="150"/>
        <v>0</v>
      </c>
      <c r="K564" s="52">
        <f>K565</f>
        <v>50</v>
      </c>
      <c r="L564" s="52">
        <f t="shared" si="165"/>
        <v>17.799999999999997</v>
      </c>
      <c r="M564" s="300">
        <f t="shared" si="159"/>
        <v>-32.200000000000003</v>
      </c>
      <c r="N564" s="52">
        <f>N565</f>
        <v>50</v>
      </c>
      <c r="O564" s="300">
        <f t="shared" si="151"/>
        <v>0</v>
      </c>
      <c r="P564" s="52">
        <f>P565</f>
        <v>50</v>
      </c>
      <c r="Q564" s="52">
        <f>Q565</f>
        <v>50</v>
      </c>
      <c r="R564" s="333">
        <f t="shared" si="153"/>
        <v>0</v>
      </c>
      <c r="S564" s="32"/>
      <c r="T564" s="32"/>
      <c r="U564" s="32"/>
    </row>
    <row r="565" spans="2:21" s="51" customFormat="1" ht="26.25" customHeight="1" x14ac:dyDescent="0.2">
      <c r="B565" s="56" t="s">
        <v>435</v>
      </c>
      <c r="C565" s="53" t="s">
        <v>694</v>
      </c>
      <c r="D565" s="53" t="s">
        <v>108</v>
      </c>
      <c r="E565" s="53" t="s">
        <v>412</v>
      </c>
      <c r="F565" s="54" t="s">
        <v>434</v>
      </c>
      <c r="G565" s="53"/>
      <c r="H565" s="52">
        <f>H566+H568</f>
        <v>50</v>
      </c>
      <c r="I565" s="52">
        <f>I566+I568</f>
        <v>50</v>
      </c>
      <c r="J565" s="300">
        <f t="shared" ref="J565:J629" si="166">I565-H565</f>
        <v>0</v>
      </c>
      <c r="K565" s="52">
        <f>K566+K568</f>
        <v>50</v>
      </c>
      <c r="L565" s="52">
        <f>L566+L568</f>
        <v>17.799999999999997</v>
      </c>
      <c r="M565" s="300">
        <f t="shared" si="159"/>
        <v>-32.200000000000003</v>
      </c>
      <c r="N565" s="52">
        <f>N566+N568</f>
        <v>50</v>
      </c>
      <c r="O565" s="300">
        <f t="shared" ref="O565:O629" si="167">N565-K565</f>
        <v>0</v>
      </c>
      <c r="P565" s="52">
        <f>P566+P568</f>
        <v>50</v>
      </c>
      <c r="Q565" s="52">
        <f>Q566+Q568</f>
        <v>50</v>
      </c>
      <c r="R565" s="333">
        <f t="shared" si="153"/>
        <v>0</v>
      </c>
      <c r="S565" s="32"/>
      <c r="T565" s="32"/>
      <c r="U565" s="32"/>
    </row>
    <row r="566" spans="2:21" s="51" customFormat="1" ht="12.75" customHeight="1" x14ac:dyDescent="0.2">
      <c r="B566" s="56" t="s">
        <v>433</v>
      </c>
      <c r="C566" s="53" t="s">
        <v>694</v>
      </c>
      <c r="D566" s="53" t="s">
        <v>108</v>
      </c>
      <c r="E566" s="53" t="s">
        <v>412</v>
      </c>
      <c r="F566" s="54" t="s">
        <v>432</v>
      </c>
      <c r="G566" s="53"/>
      <c r="H566" s="52">
        <f>H567</f>
        <v>50</v>
      </c>
      <c r="I566" s="52">
        <f>I567</f>
        <v>50</v>
      </c>
      <c r="J566" s="300">
        <f t="shared" si="166"/>
        <v>0</v>
      </c>
      <c r="K566" s="52">
        <f>K567</f>
        <v>50</v>
      </c>
      <c r="L566" s="52">
        <f>L567</f>
        <v>17.799999999999997</v>
      </c>
      <c r="M566" s="300">
        <f t="shared" si="159"/>
        <v>-32.200000000000003</v>
      </c>
      <c r="N566" s="52">
        <f>N567</f>
        <v>50</v>
      </c>
      <c r="O566" s="300">
        <f t="shared" si="167"/>
        <v>0</v>
      </c>
      <c r="P566" s="52">
        <f>P567</f>
        <v>50</v>
      </c>
      <c r="Q566" s="52">
        <f>Q567</f>
        <v>50</v>
      </c>
      <c r="R566" s="333">
        <f t="shared" si="153"/>
        <v>0</v>
      </c>
      <c r="S566" s="32"/>
      <c r="T566" s="32"/>
      <c r="U566" s="32"/>
    </row>
    <row r="567" spans="2:21" s="51" customFormat="1" ht="25.5" customHeight="1" x14ac:dyDescent="0.2">
      <c r="B567" s="56" t="s">
        <v>73</v>
      </c>
      <c r="C567" s="53" t="s">
        <v>694</v>
      </c>
      <c r="D567" s="53" t="s">
        <v>108</v>
      </c>
      <c r="E567" s="53" t="s">
        <v>412</v>
      </c>
      <c r="F567" s="54" t="s">
        <v>432</v>
      </c>
      <c r="G567" s="53" t="s">
        <v>70</v>
      </c>
      <c r="H567" s="52">
        <v>50</v>
      </c>
      <c r="I567" s="52">
        <v>50</v>
      </c>
      <c r="J567" s="300">
        <f t="shared" si="166"/>
        <v>0</v>
      </c>
      <c r="K567" s="52">
        <v>50</v>
      </c>
      <c r="L567" s="52">
        <f>50-32.2</f>
        <v>17.799999999999997</v>
      </c>
      <c r="M567" s="300">
        <f t="shared" si="159"/>
        <v>-32.200000000000003</v>
      </c>
      <c r="N567" s="52">
        <v>50</v>
      </c>
      <c r="O567" s="300">
        <f t="shared" si="167"/>
        <v>0</v>
      </c>
      <c r="P567" s="52">
        <v>50</v>
      </c>
      <c r="Q567" s="52">
        <v>50</v>
      </c>
      <c r="R567" s="333">
        <f t="shared" si="153"/>
        <v>0</v>
      </c>
      <c r="S567" s="32"/>
      <c r="T567" s="32"/>
      <c r="U567" s="32"/>
    </row>
    <row r="568" spans="2:21" s="51" customFormat="1" ht="24" hidden="1" customHeight="1" x14ac:dyDescent="0.2">
      <c r="B568" s="56" t="s">
        <v>431</v>
      </c>
      <c r="C568" s="53" t="s">
        <v>694</v>
      </c>
      <c r="D568" s="53" t="s">
        <v>108</v>
      </c>
      <c r="E568" s="53" t="s">
        <v>412</v>
      </c>
      <c r="F568" s="54" t="s">
        <v>430</v>
      </c>
      <c r="G568" s="53"/>
      <c r="H568" s="52">
        <f>H569</f>
        <v>0</v>
      </c>
      <c r="I568" s="52">
        <f>I569</f>
        <v>0</v>
      </c>
      <c r="J568" s="300">
        <f t="shared" si="166"/>
        <v>0</v>
      </c>
      <c r="K568" s="52">
        <f>K569</f>
        <v>0</v>
      </c>
      <c r="L568" s="52">
        <f>L569</f>
        <v>0</v>
      </c>
      <c r="M568" s="300">
        <f t="shared" si="159"/>
        <v>0</v>
      </c>
      <c r="N568" s="52">
        <f>N569</f>
        <v>0</v>
      </c>
      <c r="O568" s="300">
        <f t="shared" si="167"/>
        <v>0</v>
      </c>
      <c r="P568" s="52">
        <f>P569</f>
        <v>0</v>
      </c>
      <c r="Q568" s="52">
        <f>Q569</f>
        <v>0</v>
      </c>
      <c r="R568" s="333">
        <f t="shared" si="153"/>
        <v>0</v>
      </c>
      <c r="S568" s="32"/>
      <c r="T568" s="32"/>
      <c r="U568" s="32"/>
    </row>
    <row r="569" spans="2:21" s="51" customFormat="1" ht="23.25" hidden="1" customHeight="1" x14ac:dyDescent="0.2">
      <c r="B569" s="56" t="s">
        <v>73</v>
      </c>
      <c r="C569" s="53" t="s">
        <v>694</v>
      </c>
      <c r="D569" s="53" t="s">
        <v>108</v>
      </c>
      <c r="E569" s="53" t="s">
        <v>412</v>
      </c>
      <c r="F569" s="54" t="s">
        <v>430</v>
      </c>
      <c r="G569" s="53" t="s">
        <v>70</v>
      </c>
      <c r="H569" s="52">
        <v>0</v>
      </c>
      <c r="I569" s="52">
        <v>0</v>
      </c>
      <c r="J569" s="300">
        <f t="shared" si="166"/>
        <v>0</v>
      </c>
      <c r="K569" s="52">
        <v>0</v>
      </c>
      <c r="L569" s="52">
        <v>0</v>
      </c>
      <c r="M569" s="300">
        <f t="shared" si="159"/>
        <v>0</v>
      </c>
      <c r="N569" s="52">
        <v>0</v>
      </c>
      <c r="O569" s="300">
        <f t="shared" si="167"/>
        <v>0</v>
      </c>
      <c r="P569" s="52">
        <v>0</v>
      </c>
      <c r="Q569" s="52">
        <v>0</v>
      </c>
      <c r="R569" s="333">
        <f t="shared" si="153"/>
        <v>0</v>
      </c>
      <c r="S569" s="32"/>
      <c r="T569" s="32"/>
      <c r="U569" s="32"/>
    </row>
    <row r="570" spans="2:21" s="32" customFormat="1" ht="27.75" customHeight="1" x14ac:dyDescent="0.2">
      <c r="B570" s="59" t="s">
        <v>56</v>
      </c>
      <c r="C570" s="48" t="s">
        <v>694</v>
      </c>
      <c r="D570" s="94" t="s">
        <v>46</v>
      </c>
      <c r="E570" s="94"/>
      <c r="F570" s="54"/>
      <c r="G570" s="53"/>
      <c r="H570" s="52">
        <f t="shared" ref="H570:Q575" si="168">H571</f>
        <v>80.5</v>
      </c>
      <c r="I570" s="52">
        <f t="shared" si="168"/>
        <v>80.5</v>
      </c>
      <c r="J570" s="300">
        <f t="shared" si="166"/>
        <v>0</v>
      </c>
      <c r="K570" s="52">
        <f t="shared" si="168"/>
        <v>80.5</v>
      </c>
      <c r="L570" s="52">
        <f t="shared" si="168"/>
        <v>80.5</v>
      </c>
      <c r="M570" s="300">
        <f t="shared" si="159"/>
        <v>0</v>
      </c>
      <c r="N570" s="52">
        <f t="shared" si="168"/>
        <v>80.5</v>
      </c>
      <c r="O570" s="300">
        <f t="shared" si="167"/>
        <v>0</v>
      </c>
      <c r="P570" s="52">
        <f t="shared" si="168"/>
        <v>30</v>
      </c>
      <c r="Q570" s="52">
        <f t="shared" si="168"/>
        <v>30</v>
      </c>
      <c r="R570" s="333">
        <f t="shared" si="153"/>
        <v>0</v>
      </c>
    </row>
    <row r="571" spans="2:21" s="32" customFormat="1" ht="27.75" customHeight="1" x14ac:dyDescent="0.2">
      <c r="B571" s="59" t="s">
        <v>55</v>
      </c>
      <c r="C571" s="48" t="s">
        <v>694</v>
      </c>
      <c r="D571" s="94" t="s">
        <v>46</v>
      </c>
      <c r="E571" s="94" t="s">
        <v>45</v>
      </c>
      <c r="F571" s="54"/>
      <c r="G571" s="53"/>
      <c r="H571" s="52">
        <f t="shared" si="168"/>
        <v>80.5</v>
      </c>
      <c r="I571" s="52">
        <f t="shared" si="168"/>
        <v>80.5</v>
      </c>
      <c r="J571" s="300">
        <f t="shared" si="166"/>
        <v>0</v>
      </c>
      <c r="K571" s="52">
        <f t="shared" si="168"/>
        <v>80.5</v>
      </c>
      <c r="L571" s="52">
        <f t="shared" si="168"/>
        <v>80.5</v>
      </c>
      <c r="M571" s="300">
        <f t="shared" si="159"/>
        <v>0</v>
      </c>
      <c r="N571" s="52">
        <f t="shared" si="168"/>
        <v>80.5</v>
      </c>
      <c r="O571" s="300">
        <f t="shared" si="167"/>
        <v>0</v>
      </c>
      <c r="P571" s="52">
        <f t="shared" si="168"/>
        <v>30</v>
      </c>
      <c r="Q571" s="52">
        <f t="shared" si="168"/>
        <v>30</v>
      </c>
      <c r="R571" s="333">
        <f t="shared" si="153"/>
        <v>0</v>
      </c>
    </row>
    <row r="572" spans="2:21" s="32" customFormat="1" ht="27.75" customHeight="1" x14ac:dyDescent="0.2">
      <c r="B572" s="58" t="s">
        <v>54</v>
      </c>
      <c r="C572" s="53" t="s">
        <v>694</v>
      </c>
      <c r="D572" s="60" t="s">
        <v>46</v>
      </c>
      <c r="E572" s="60" t="s">
        <v>45</v>
      </c>
      <c r="F572" s="54" t="s">
        <v>53</v>
      </c>
      <c r="G572" s="53"/>
      <c r="H572" s="52">
        <f t="shared" si="168"/>
        <v>80.5</v>
      </c>
      <c r="I572" s="52">
        <f t="shared" si="168"/>
        <v>80.5</v>
      </c>
      <c r="J572" s="300">
        <f t="shared" si="166"/>
        <v>0</v>
      </c>
      <c r="K572" s="52">
        <f t="shared" si="168"/>
        <v>80.5</v>
      </c>
      <c r="L572" s="52">
        <f t="shared" si="168"/>
        <v>80.5</v>
      </c>
      <c r="M572" s="300">
        <f t="shared" si="159"/>
        <v>0</v>
      </c>
      <c r="N572" s="52">
        <f t="shared" si="168"/>
        <v>80.5</v>
      </c>
      <c r="O572" s="300">
        <f t="shared" si="167"/>
        <v>0</v>
      </c>
      <c r="P572" s="52">
        <f t="shared" si="168"/>
        <v>30</v>
      </c>
      <c r="Q572" s="52">
        <f t="shared" si="168"/>
        <v>30</v>
      </c>
      <c r="R572" s="333">
        <f t="shared" si="153"/>
        <v>0</v>
      </c>
    </row>
    <row r="573" spans="2:21" s="32" customFormat="1" ht="17.25" customHeight="1" x14ac:dyDescent="0.2">
      <c r="B573" s="58" t="s">
        <v>52</v>
      </c>
      <c r="C573" s="53" t="s">
        <v>694</v>
      </c>
      <c r="D573" s="60" t="s">
        <v>46</v>
      </c>
      <c r="E573" s="60" t="s">
        <v>45</v>
      </c>
      <c r="F573" s="54" t="s">
        <v>51</v>
      </c>
      <c r="G573" s="53"/>
      <c r="H573" s="52">
        <f t="shared" si="168"/>
        <v>80.5</v>
      </c>
      <c r="I573" s="52">
        <f t="shared" si="168"/>
        <v>80.5</v>
      </c>
      <c r="J573" s="300">
        <f t="shared" si="166"/>
        <v>0</v>
      </c>
      <c r="K573" s="52">
        <f t="shared" si="168"/>
        <v>80.5</v>
      </c>
      <c r="L573" s="52">
        <f t="shared" si="168"/>
        <v>80.5</v>
      </c>
      <c r="M573" s="300">
        <f t="shared" si="159"/>
        <v>0</v>
      </c>
      <c r="N573" s="52">
        <f t="shared" si="168"/>
        <v>80.5</v>
      </c>
      <c r="O573" s="300">
        <f t="shared" si="167"/>
        <v>0</v>
      </c>
      <c r="P573" s="52">
        <f t="shared" si="168"/>
        <v>30</v>
      </c>
      <c r="Q573" s="52">
        <f t="shared" si="168"/>
        <v>30</v>
      </c>
      <c r="R573" s="333">
        <f t="shared" ref="R573:R637" si="169">Q573-P573</f>
        <v>0</v>
      </c>
    </row>
    <row r="574" spans="2:21" s="32" customFormat="1" ht="42.75" customHeight="1" x14ac:dyDescent="0.2">
      <c r="B574" s="57" t="s">
        <v>50</v>
      </c>
      <c r="C574" s="53" t="s">
        <v>694</v>
      </c>
      <c r="D574" s="60" t="s">
        <v>46</v>
      </c>
      <c r="E574" s="60" t="s">
        <v>45</v>
      </c>
      <c r="F574" s="54" t="s">
        <v>49</v>
      </c>
      <c r="G574" s="53"/>
      <c r="H574" s="52">
        <f t="shared" si="168"/>
        <v>80.5</v>
      </c>
      <c r="I574" s="52">
        <f t="shared" si="168"/>
        <v>80.5</v>
      </c>
      <c r="J574" s="300">
        <f t="shared" si="166"/>
        <v>0</v>
      </c>
      <c r="K574" s="52">
        <f t="shared" si="168"/>
        <v>80.5</v>
      </c>
      <c r="L574" s="52">
        <f t="shared" si="168"/>
        <v>80.5</v>
      </c>
      <c r="M574" s="300">
        <f t="shared" si="159"/>
        <v>0</v>
      </c>
      <c r="N574" s="52">
        <f t="shared" si="168"/>
        <v>80.5</v>
      </c>
      <c r="O574" s="300">
        <f t="shared" si="167"/>
        <v>0</v>
      </c>
      <c r="P574" s="52">
        <f t="shared" si="168"/>
        <v>30</v>
      </c>
      <c r="Q574" s="52">
        <f t="shared" si="168"/>
        <v>30</v>
      </c>
      <c r="R574" s="333">
        <f t="shared" si="169"/>
        <v>0</v>
      </c>
    </row>
    <row r="575" spans="2:21" s="32" customFormat="1" ht="16.5" customHeight="1" x14ac:dyDescent="0.2">
      <c r="B575" s="57" t="s">
        <v>48</v>
      </c>
      <c r="C575" s="53" t="s">
        <v>694</v>
      </c>
      <c r="D575" s="60" t="s">
        <v>46</v>
      </c>
      <c r="E575" s="60" t="s">
        <v>45</v>
      </c>
      <c r="F575" s="54" t="s">
        <v>44</v>
      </c>
      <c r="G575" s="53"/>
      <c r="H575" s="52">
        <f t="shared" si="168"/>
        <v>80.5</v>
      </c>
      <c r="I575" s="52">
        <f t="shared" si="168"/>
        <v>80.5</v>
      </c>
      <c r="J575" s="300">
        <f t="shared" si="166"/>
        <v>0</v>
      </c>
      <c r="K575" s="52">
        <f t="shared" si="168"/>
        <v>80.5</v>
      </c>
      <c r="L575" s="52">
        <f t="shared" si="168"/>
        <v>80.5</v>
      </c>
      <c r="M575" s="300">
        <f t="shared" si="159"/>
        <v>0</v>
      </c>
      <c r="N575" s="52">
        <f t="shared" si="168"/>
        <v>80.5</v>
      </c>
      <c r="O575" s="300">
        <f t="shared" si="167"/>
        <v>0</v>
      </c>
      <c r="P575" s="52">
        <f t="shared" si="168"/>
        <v>30</v>
      </c>
      <c r="Q575" s="52">
        <f t="shared" si="168"/>
        <v>30</v>
      </c>
      <c r="R575" s="333">
        <f t="shared" si="169"/>
        <v>0</v>
      </c>
    </row>
    <row r="576" spans="2:21" s="32" customFormat="1" ht="16.5" customHeight="1" x14ac:dyDescent="0.2">
      <c r="B576" s="56" t="s">
        <v>47</v>
      </c>
      <c r="C576" s="53" t="s">
        <v>694</v>
      </c>
      <c r="D576" s="60" t="s">
        <v>46</v>
      </c>
      <c r="E576" s="60" t="s">
        <v>45</v>
      </c>
      <c r="F576" s="54" t="s">
        <v>44</v>
      </c>
      <c r="G576" s="53" t="s">
        <v>43</v>
      </c>
      <c r="H576" s="52">
        <v>80.5</v>
      </c>
      <c r="I576" s="52">
        <v>80.5</v>
      </c>
      <c r="J576" s="300">
        <f t="shared" si="166"/>
        <v>0</v>
      </c>
      <c r="K576" s="52">
        <v>80.5</v>
      </c>
      <c r="L576" s="52">
        <v>80.5</v>
      </c>
      <c r="M576" s="300">
        <f t="shared" si="159"/>
        <v>0</v>
      </c>
      <c r="N576" s="52">
        <v>80.5</v>
      </c>
      <c r="O576" s="300">
        <f t="shared" si="167"/>
        <v>0</v>
      </c>
      <c r="P576" s="52">
        <v>30</v>
      </c>
      <c r="Q576" s="52">
        <v>30</v>
      </c>
      <c r="R576" s="333">
        <f t="shared" si="169"/>
        <v>0</v>
      </c>
    </row>
    <row r="577" spans="2:21" s="32" customFormat="1" ht="25.5" x14ac:dyDescent="0.2">
      <c r="B577" s="59" t="s">
        <v>695</v>
      </c>
      <c r="C577" s="48" t="s">
        <v>696</v>
      </c>
      <c r="D577" s="48"/>
      <c r="E577" s="48"/>
      <c r="F577" s="48"/>
      <c r="G577" s="48"/>
      <c r="H577" s="44">
        <f>H578+H589+H608+H615</f>
        <v>11463.6</v>
      </c>
      <c r="I577" s="44">
        <f>I578+I589+I608+I615</f>
        <v>11463.6</v>
      </c>
      <c r="J577" s="300">
        <f t="shared" si="166"/>
        <v>0</v>
      </c>
      <c r="K577" s="44">
        <f>K578+K589+K608+K615</f>
        <v>9047.4</v>
      </c>
      <c r="L577" s="44">
        <f>L578+L589+L608+L615</f>
        <v>11463.6</v>
      </c>
      <c r="M577" s="300">
        <f t="shared" si="159"/>
        <v>0</v>
      </c>
      <c r="N577" s="44">
        <f>N578+N589+N608+N615</f>
        <v>9047.4</v>
      </c>
      <c r="O577" s="300">
        <f t="shared" si="167"/>
        <v>0</v>
      </c>
      <c r="P577" s="44">
        <f>P578+P589+P608+P615</f>
        <v>9044.1</v>
      </c>
      <c r="Q577" s="44">
        <f>Q578+Q589+Q608+Q615</f>
        <v>9044.1</v>
      </c>
      <c r="R577" s="333">
        <f t="shared" si="169"/>
        <v>0</v>
      </c>
    </row>
    <row r="578" spans="2:21" s="32" customFormat="1" x14ac:dyDescent="0.2">
      <c r="B578" s="59" t="s">
        <v>670</v>
      </c>
      <c r="C578" s="48" t="s">
        <v>696</v>
      </c>
      <c r="D578" s="48" t="s">
        <v>45</v>
      </c>
      <c r="E578" s="48"/>
      <c r="F578" s="48"/>
      <c r="G578" s="48"/>
      <c r="H578" s="44">
        <f>H579</f>
        <v>3079.5</v>
      </c>
      <c r="I578" s="44">
        <f>I579</f>
        <v>3204.4</v>
      </c>
      <c r="J578" s="300">
        <f t="shared" si="166"/>
        <v>124.90000000000009</v>
      </c>
      <c r="K578" s="44">
        <f>K579</f>
        <v>2759.5</v>
      </c>
      <c r="L578" s="44">
        <f>L579</f>
        <v>2974.9</v>
      </c>
      <c r="M578" s="300">
        <f t="shared" si="159"/>
        <v>-229.5</v>
      </c>
      <c r="N578" s="44">
        <f>N579</f>
        <v>2759.5</v>
      </c>
      <c r="O578" s="300">
        <f t="shared" si="167"/>
        <v>0</v>
      </c>
      <c r="P578" s="44">
        <f>P579</f>
        <v>2759.5</v>
      </c>
      <c r="Q578" s="44">
        <f>Q579</f>
        <v>2759.5</v>
      </c>
      <c r="R578" s="333">
        <f t="shared" si="169"/>
        <v>0</v>
      </c>
    </row>
    <row r="579" spans="2:21" s="43" customFormat="1" ht="15.75" customHeight="1" x14ac:dyDescent="0.2">
      <c r="B579" s="59" t="s">
        <v>598</v>
      </c>
      <c r="C579" s="48" t="s">
        <v>696</v>
      </c>
      <c r="D579" s="48" t="s">
        <v>45</v>
      </c>
      <c r="E579" s="48" t="s">
        <v>46</v>
      </c>
      <c r="F579" s="48"/>
      <c r="G579" s="48"/>
      <c r="H579" s="44">
        <f>H583+H580</f>
        <v>3079.5</v>
      </c>
      <c r="I579" s="44">
        <f>I583+I580</f>
        <v>3204.4</v>
      </c>
      <c r="J579" s="300">
        <f t="shared" si="166"/>
        <v>124.90000000000009</v>
      </c>
      <c r="K579" s="44">
        <f>K583+K580</f>
        <v>2759.5</v>
      </c>
      <c r="L579" s="44">
        <f>L583+L580</f>
        <v>2974.9</v>
      </c>
      <c r="M579" s="300">
        <f t="shared" si="159"/>
        <v>-229.5</v>
      </c>
      <c r="N579" s="44">
        <f>N583+N580</f>
        <v>2759.5</v>
      </c>
      <c r="O579" s="300">
        <f t="shared" si="167"/>
        <v>0</v>
      </c>
      <c r="P579" s="44">
        <f>P583+P580</f>
        <v>2759.5</v>
      </c>
      <c r="Q579" s="44">
        <f>Q583+Q580</f>
        <v>2759.5</v>
      </c>
      <c r="R579" s="333">
        <f t="shared" si="169"/>
        <v>0</v>
      </c>
    </row>
    <row r="580" spans="2:21" s="43" customFormat="1" ht="25.5" customHeight="1" x14ac:dyDescent="0.2">
      <c r="B580" s="58" t="s">
        <v>597</v>
      </c>
      <c r="C580" s="53" t="s">
        <v>696</v>
      </c>
      <c r="D580" s="53" t="s">
        <v>45</v>
      </c>
      <c r="E580" s="53" t="s">
        <v>46</v>
      </c>
      <c r="F580" s="53" t="s">
        <v>596</v>
      </c>
      <c r="G580" s="48"/>
      <c r="H580" s="52">
        <f t="shared" ref="H580:Q581" si="170">H581</f>
        <v>320</v>
      </c>
      <c r="I580" s="52">
        <f t="shared" si="170"/>
        <v>320</v>
      </c>
      <c r="J580" s="300">
        <f t="shared" si="166"/>
        <v>0</v>
      </c>
      <c r="K580" s="52">
        <f t="shared" si="170"/>
        <v>0</v>
      </c>
      <c r="L580" s="52">
        <f t="shared" si="170"/>
        <v>320</v>
      </c>
      <c r="M580" s="300">
        <f t="shared" si="159"/>
        <v>0</v>
      </c>
      <c r="N580" s="52">
        <f t="shared" si="170"/>
        <v>0</v>
      </c>
      <c r="O580" s="300">
        <f t="shared" si="167"/>
        <v>0</v>
      </c>
      <c r="P580" s="52">
        <f t="shared" si="170"/>
        <v>0</v>
      </c>
      <c r="Q580" s="52">
        <f t="shared" si="170"/>
        <v>0</v>
      </c>
      <c r="R580" s="333">
        <f t="shared" si="169"/>
        <v>0</v>
      </c>
    </row>
    <row r="581" spans="2:21" s="43" customFormat="1" ht="27" customHeight="1" x14ac:dyDescent="0.2">
      <c r="B581" s="141" t="s">
        <v>673</v>
      </c>
      <c r="C581" s="53" t="s">
        <v>696</v>
      </c>
      <c r="D581" s="53" t="s">
        <v>45</v>
      </c>
      <c r="E581" s="53" t="s">
        <v>46</v>
      </c>
      <c r="F581" s="53" t="s">
        <v>594</v>
      </c>
      <c r="G581" s="48"/>
      <c r="H581" s="52">
        <f t="shared" si="170"/>
        <v>320</v>
      </c>
      <c r="I581" s="52">
        <f t="shared" si="170"/>
        <v>320</v>
      </c>
      <c r="J581" s="300">
        <f t="shared" si="166"/>
        <v>0</v>
      </c>
      <c r="K581" s="52">
        <f t="shared" si="170"/>
        <v>0</v>
      </c>
      <c r="L581" s="52">
        <f t="shared" si="170"/>
        <v>320</v>
      </c>
      <c r="M581" s="300">
        <f t="shared" si="159"/>
        <v>0</v>
      </c>
      <c r="N581" s="52">
        <f t="shared" si="170"/>
        <v>0</v>
      </c>
      <c r="O581" s="300">
        <f t="shared" si="167"/>
        <v>0</v>
      </c>
      <c r="P581" s="52">
        <f t="shared" si="170"/>
        <v>0</v>
      </c>
      <c r="Q581" s="52">
        <f t="shared" si="170"/>
        <v>0</v>
      </c>
      <c r="R581" s="333">
        <f t="shared" si="169"/>
        <v>0</v>
      </c>
    </row>
    <row r="582" spans="2:21" s="43" customFormat="1" ht="26.25" customHeight="1" x14ac:dyDescent="0.2">
      <c r="B582" s="56" t="s">
        <v>73</v>
      </c>
      <c r="C582" s="53" t="s">
        <v>696</v>
      </c>
      <c r="D582" s="53" t="s">
        <v>45</v>
      </c>
      <c r="E582" s="53" t="s">
        <v>46</v>
      </c>
      <c r="F582" s="53" t="s">
        <v>594</v>
      </c>
      <c r="G582" s="53" t="s">
        <v>70</v>
      </c>
      <c r="H582" s="52">
        <v>320</v>
      </c>
      <c r="I582" s="52">
        <v>320</v>
      </c>
      <c r="J582" s="300">
        <f t="shared" si="166"/>
        <v>0</v>
      </c>
      <c r="K582" s="52">
        <v>0</v>
      </c>
      <c r="L582" s="52">
        <v>320</v>
      </c>
      <c r="M582" s="300">
        <f t="shared" si="159"/>
        <v>0</v>
      </c>
      <c r="N582" s="52">
        <v>0</v>
      </c>
      <c r="O582" s="300">
        <f t="shared" si="167"/>
        <v>0</v>
      </c>
      <c r="P582" s="52">
        <v>0</v>
      </c>
      <c r="Q582" s="52">
        <v>0</v>
      </c>
      <c r="R582" s="333">
        <f t="shared" si="169"/>
        <v>0</v>
      </c>
    </row>
    <row r="583" spans="2:21" s="47" customFormat="1" ht="38.25" customHeight="1" x14ac:dyDescent="0.2">
      <c r="B583" s="64" t="s">
        <v>135</v>
      </c>
      <c r="C583" s="53" t="s">
        <v>696</v>
      </c>
      <c r="D583" s="53" t="s">
        <v>45</v>
      </c>
      <c r="E583" s="53" t="s">
        <v>46</v>
      </c>
      <c r="F583" s="54" t="s">
        <v>134</v>
      </c>
      <c r="G583" s="78"/>
      <c r="H583" s="52">
        <f t="shared" ref="H583:Q585" si="171">H584</f>
        <v>2759.5</v>
      </c>
      <c r="I583" s="52">
        <f t="shared" si="171"/>
        <v>2884.4</v>
      </c>
      <c r="J583" s="300">
        <f t="shared" si="166"/>
        <v>124.90000000000009</v>
      </c>
      <c r="K583" s="52">
        <f t="shared" si="171"/>
        <v>2759.5</v>
      </c>
      <c r="L583" s="52">
        <f t="shared" si="171"/>
        <v>2654.9</v>
      </c>
      <c r="M583" s="300">
        <f t="shared" si="159"/>
        <v>-229.5</v>
      </c>
      <c r="N583" s="52">
        <f t="shared" si="171"/>
        <v>2759.5</v>
      </c>
      <c r="O583" s="300">
        <f t="shared" si="167"/>
        <v>0</v>
      </c>
      <c r="P583" s="52">
        <f t="shared" si="171"/>
        <v>2759.5</v>
      </c>
      <c r="Q583" s="52">
        <f t="shared" si="171"/>
        <v>2759.5</v>
      </c>
      <c r="R583" s="333">
        <f t="shared" si="169"/>
        <v>0</v>
      </c>
      <c r="S583" s="43"/>
      <c r="T583" s="43"/>
      <c r="U583" s="43"/>
    </row>
    <row r="584" spans="2:21" s="47" customFormat="1" ht="15.75" customHeight="1" x14ac:dyDescent="0.2">
      <c r="B584" s="64" t="s">
        <v>52</v>
      </c>
      <c r="C584" s="53" t="s">
        <v>696</v>
      </c>
      <c r="D584" s="53" t="s">
        <v>45</v>
      </c>
      <c r="E584" s="53" t="s">
        <v>46</v>
      </c>
      <c r="F584" s="54" t="s">
        <v>133</v>
      </c>
      <c r="G584" s="78"/>
      <c r="H584" s="52">
        <f t="shared" si="171"/>
        <v>2759.5</v>
      </c>
      <c r="I584" s="52">
        <f t="shared" si="171"/>
        <v>2884.4</v>
      </c>
      <c r="J584" s="300">
        <f t="shared" si="166"/>
        <v>124.90000000000009</v>
      </c>
      <c r="K584" s="52">
        <f t="shared" si="171"/>
        <v>2759.5</v>
      </c>
      <c r="L584" s="52">
        <f t="shared" si="171"/>
        <v>2654.9</v>
      </c>
      <c r="M584" s="300">
        <f t="shared" si="159"/>
        <v>-229.5</v>
      </c>
      <c r="N584" s="52">
        <f t="shared" si="171"/>
        <v>2759.5</v>
      </c>
      <c r="O584" s="300">
        <f t="shared" si="167"/>
        <v>0</v>
      </c>
      <c r="P584" s="52">
        <f t="shared" si="171"/>
        <v>2759.5</v>
      </c>
      <c r="Q584" s="52">
        <f t="shared" si="171"/>
        <v>2759.5</v>
      </c>
      <c r="R584" s="333">
        <f t="shared" si="169"/>
        <v>0</v>
      </c>
      <c r="S584" s="43"/>
      <c r="T584" s="43"/>
      <c r="U584" s="43"/>
    </row>
    <row r="585" spans="2:21" s="47" customFormat="1" ht="38.25" customHeight="1" x14ac:dyDescent="0.2">
      <c r="B585" s="56" t="s">
        <v>357</v>
      </c>
      <c r="C585" s="53" t="s">
        <v>696</v>
      </c>
      <c r="D585" s="53" t="s">
        <v>45</v>
      </c>
      <c r="E585" s="53" t="s">
        <v>46</v>
      </c>
      <c r="F585" s="54" t="s">
        <v>356</v>
      </c>
      <c r="G585" s="60"/>
      <c r="H585" s="52">
        <f t="shared" si="171"/>
        <v>2759.5</v>
      </c>
      <c r="I585" s="52">
        <f t="shared" si="171"/>
        <v>2884.4</v>
      </c>
      <c r="J585" s="300">
        <f t="shared" si="166"/>
        <v>124.90000000000009</v>
      </c>
      <c r="K585" s="52">
        <f t="shared" si="171"/>
        <v>2759.5</v>
      </c>
      <c r="L585" s="52">
        <f t="shared" si="171"/>
        <v>2654.9</v>
      </c>
      <c r="M585" s="300">
        <f t="shared" si="159"/>
        <v>-229.5</v>
      </c>
      <c r="N585" s="52">
        <f t="shared" si="171"/>
        <v>2759.5</v>
      </c>
      <c r="O585" s="300">
        <f t="shared" si="167"/>
        <v>0</v>
      </c>
      <c r="P585" s="52">
        <f t="shared" si="171"/>
        <v>2759.5</v>
      </c>
      <c r="Q585" s="52">
        <f t="shared" si="171"/>
        <v>2759.5</v>
      </c>
      <c r="R585" s="333">
        <f t="shared" si="169"/>
        <v>0</v>
      </c>
      <c r="S585" s="43"/>
      <c r="T585" s="43"/>
      <c r="U585" s="43"/>
    </row>
    <row r="586" spans="2:21" s="47" customFormat="1" ht="28.5" customHeight="1" x14ac:dyDescent="0.2">
      <c r="B586" s="123" t="s">
        <v>355</v>
      </c>
      <c r="C586" s="53" t="s">
        <v>696</v>
      </c>
      <c r="D586" s="53" t="s">
        <v>45</v>
      </c>
      <c r="E586" s="53" t="s">
        <v>46</v>
      </c>
      <c r="F586" s="74" t="s">
        <v>354</v>
      </c>
      <c r="G586" s="73"/>
      <c r="H586" s="52">
        <f>H587+H588</f>
        <v>2759.5</v>
      </c>
      <c r="I586" s="52">
        <f>I587+I588</f>
        <v>2884.4</v>
      </c>
      <c r="J586" s="300">
        <f t="shared" si="166"/>
        <v>124.90000000000009</v>
      </c>
      <c r="K586" s="52">
        <f>K587+K588</f>
        <v>2759.5</v>
      </c>
      <c r="L586" s="52">
        <f>L587+L588</f>
        <v>2654.9</v>
      </c>
      <c r="M586" s="300">
        <f t="shared" si="159"/>
        <v>-229.5</v>
      </c>
      <c r="N586" s="52">
        <f>N587+N588</f>
        <v>2759.5</v>
      </c>
      <c r="O586" s="300">
        <f t="shared" si="167"/>
        <v>0</v>
      </c>
      <c r="P586" s="52">
        <f>P587+P588</f>
        <v>2759.5</v>
      </c>
      <c r="Q586" s="52">
        <f>Q587+Q588</f>
        <v>2759.5</v>
      </c>
      <c r="R586" s="333">
        <f t="shared" si="169"/>
        <v>0</v>
      </c>
      <c r="S586" s="43"/>
      <c r="T586" s="43"/>
      <c r="U586" s="43"/>
    </row>
    <row r="587" spans="2:21" s="47" customFormat="1" ht="27" customHeight="1" x14ac:dyDescent="0.2">
      <c r="B587" s="76" t="s">
        <v>73</v>
      </c>
      <c r="C587" s="53" t="s">
        <v>696</v>
      </c>
      <c r="D587" s="53" t="s">
        <v>45</v>
      </c>
      <c r="E587" s="53" t="s">
        <v>46</v>
      </c>
      <c r="F587" s="74" t="s">
        <v>354</v>
      </c>
      <c r="G587" s="73" t="s">
        <v>70</v>
      </c>
      <c r="H587" s="52">
        <f>490+2224.5</f>
        <v>2714.5</v>
      </c>
      <c r="I587" s="52">
        <f>2714.5+124.9</f>
        <v>2839.4</v>
      </c>
      <c r="J587" s="300">
        <f t="shared" si="166"/>
        <v>124.90000000000009</v>
      </c>
      <c r="K587" s="52">
        <f>490+2224.5</f>
        <v>2714.5</v>
      </c>
      <c r="L587" s="52">
        <f>2839.4-229.5</f>
        <v>2609.9</v>
      </c>
      <c r="M587" s="300">
        <f t="shared" si="159"/>
        <v>-229.5</v>
      </c>
      <c r="N587" s="52">
        <f>490+2224.5</f>
        <v>2714.5</v>
      </c>
      <c r="O587" s="300">
        <f t="shared" si="167"/>
        <v>0</v>
      </c>
      <c r="P587" s="52">
        <f>490+2224.5</f>
        <v>2714.5</v>
      </c>
      <c r="Q587" s="52">
        <f>490+2224.5</f>
        <v>2714.5</v>
      </c>
      <c r="R587" s="333">
        <f t="shared" si="169"/>
        <v>0</v>
      </c>
      <c r="S587" s="43"/>
      <c r="T587" s="43"/>
      <c r="U587" s="43"/>
    </row>
    <row r="588" spans="2:21" s="47" customFormat="1" ht="18" customHeight="1" x14ac:dyDescent="0.2">
      <c r="B588" s="76" t="s">
        <v>413</v>
      </c>
      <c r="C588" s="53" t="s">
        <v>696</v>
      </c>
      <c r="D588" s="53" t="s">
        <v>45</v>
      </c>
      <c r="E588" s="53" t="s">
        <v>46</v>
      </c>
      <c r="F588" s="74" t="s">
        <v>354</v>
      </c>
      <c r="G588" s="73" t="s">
        <v>320</v>
      </c>
      <c r="H588" s="52">
        <v>45</v>
      </c>
      <c r="I588" s="52">
        <v>45</v>
      </c>
      <c r="J588" s="300">
        <f t="shared" si="166"/>
        <v>0</v>
      </c>
      <c r="K588" s="52">
        <v>45</v>
      </c>
      <c r="L588" s="52">
        <v>45</v>
      </c>
      <c r="M588" s="300">
        <f t="shared" si="159"/>
        <v>0</v>
      </c>
      <c r="N588" s="52">
        <v>45</v>
      </c>
      <c r="O588" s="300">
        <f t="shared" si="167"/>
        <v>0</v>
      </c>
      <c r="P588" s="52">
        <v>45</v>
      </c>
      <c r="Q588" s="52">
        <v>45</v>
      </c>
      <c r="R588" s="333">
        <f t="shared" si="169"/>
        <v>0</v>
      </c>
      <c r="S588" s="43"/>
      <c r="T588" s="43"/>
      <c r="U588" s="43"/>
    </row>
    <row r="589" spans="2:21" s="43" customFormat="1" ht="13.5" customHeight="1" x14ac:dyDescent="0.2">
      <c r="B589" s="59" t="s">
        <v>675</v>
      </c>
      <c r="C589" s="48" t="s">
        <v>696</v>
      </c>
      <c r="D589" s="48" t="s">
        <v>108</v>
      </c>
      <c r="E589" s="48"/>
      <c r="F589" s="48"/>
      <c r="G589" s="48"/>
      <c r="H589" s="44">
        <f t="shared" ref="H589:Q590" si="172">H590</f>
        <v>4378.7</v>
      </c>
      <c r="I589" s="44">
        <f t="shared" si="172"/>
        <v>4253.8</v>
      </c>
      <c r="J589" s="300">
        <f t="shared" si="166"/>
        <v>-124.89999999999964</v>
      </c>
      <c r="K589" s="44">
        <f t="shared" si="172"/>
        <v>4091.1</v>
      </c>
      <c r="L589" s="44">
        <f t="shared" si="172"/>
        <v>4253.8</v>
      </c>
      <c r="M589" s="300">
        <f t="shared" si="159"/>
        <v>0</v>
      </c>
      <c r="N589" s="44">
        <f t="shared" si="172"/>
        <v>4091.1</v>
      </c>
      <c r="O589" s="300">
        <f t="shared" si="167"/>
        <v>0</v>
      </c>
      <c r="P589" s="44">
        <f t="shared" si="172"/>
        <v>4087.8</v>
      </c>
      <c r="Q589" s="44">
        <f t="shared" si="172"/>
        <v>4087.8</v>
      </c>
      <c r="R589" s="333">
        <f t="shared" si="169"/>
        <v>0</v>
      </c>
    </row>
    <row r="590" spans="2:21" s="43" customFormat="1" ht="14.25" customHeight="1" x14ac:dyDescent="0.2">
      <c r="B590" s="178" t="s">
        <v>446</v>
      </c>
      <c r="C590" s="48" t="s">
        <v>696</v>
      </c>
      <c r="D590" s="48" t="s">
        <v>108</v>
      </c>
      <c r="E590" s="48" t="s">
        <v>412</v>
      </c>
      <c r="F590" s="48"/>
      <c r="G590" s="48"/>
      <c r="H590" s="44">
        <f t="shared" si="172"/>
        <v>4378.7</v>
      </c>
      <c r="I590" s="44">
        <f t="shared" si="172"/>
        <v>4253.8</v>
      </c>
      <c r="J590" s="300">
        <f t="shared" si="166"/>
        <v>-124.89999999999964</v>
      </c>
      <c r="K590" s="44">
        <f t="shared" si="172"/>
        <v>4091.1</v>
      </c>
      <c r="L590" s="44">
        <f t="shared" si="172"/>
        <v>4253.8</v>
      </c>
      <c r="M590" s="300">
        <f t="shared" ref="M590:M654" si="173">L590-I590</f>
        <v>0</v>
      </c>
      <c r="N590" s="44">
        <f t="shared" si="172"/>
        <v>4091.1</v>
      </c>
      <c r="O590" s="300">
        <f t="shared" si="167"/>
        <v>0</v>
      </c>
      <c r="P590" s="44">
        <f t="shared" si="172"/>
        <v>4087.8</v>
      </c>
      <c r="Q590" s="44">
        <f t="shared" si="172"/>
        <v>4087.8</v>
      </c>
      <c r="R590" s="333">
        <f t="shared" si="169"/>
        <v>0</v>
      </c>
    </row>
    <row r="591" spans="2:21" s="51" customFormat="1" ht="41.25" customHeight="1" x14ac:dyDescent="0.2">
      <c r="B591" s="64" t="s">
        <v>135</v>
      </c>
      <c r="C591" s="53" t="s">
        <v>696</v>
      </c>
      <c r="D591" s="53" t="s">
        <v>108</v>
      </c>
      <c r="E591" s="53" t="s">
        <v>412</v>
      </c>
      <c r="F591" s="49" t="s">
        <v>134</v>
      </c>
      <c r="G591" s="53"/>
      <c r="H591" s="52">
        <f>H592+H599</f>
        <v>4378.7</v>
      </c>
      <c r="I591" s="52">
        <f>I592+I599</f>
        <v>4253.8</v>
      </c>
      <c r="J591" s="300">
        <f t="shared" si="166"/>
        <v>-124.89999999999964</v>
      </c>
      <c r="K591" s="52">
        <f>K592+K599</f>
        <v>4091.1</v>
      </c>
      <c r="L591" s="52">
        <f>L592+L599</f>
        <v>4253.8</v>
      </c>
      <c r="M591" s="300">
        <f t="shared" si="173"/>
        <v>0</v>
      </c>
      <c r="N591" s="52">
        <f>N592+N599</f>
        <v>4091.1</v>
      </c>
      <c r="O591" s="300">
        <f t="shared" si="167"/>
        <v>0</v>
      </c>
      <c r="P591" s="52">
        <f>P592+P599</f>
        <v>4087.8</v>
      </c>
      <c r="Q591" s="52">
        <f>Q592+Q599</f>
        <v>4087.8</v>
      </c>
      <c r="R591" s="333">
        <f t="shared" si="169"/>
        <v>0</v>
      </c>
      <c r="S591" s="32"/>
      <c r="T591" s="32"/>
      <c r="U591" s="32"/>
    </row>
    <row r="592" spans="2:21" s="51" customFormat="1" ht="15.75" customHeight="1" x14ac:dyDescent="0.2">
      <c r="B592" s="56" t="s">
        <v>66</v>
      </c>
      <c r="C592" s="53" t="s">
        <v>696</v>
      </c>
      <c r="D592" s="53" t="s">
        <v>108</v>
      </c>
      <c r="E592" s="53" t="s">
        <v>412</v>
      </c>
      <c r="F592" s="54" t="s">
        <v>423</v>
      </c>
      <c r="G592" s="60"/>
      <c r="H592" s="52">
        <f>H593</f>
        <v>508.1</v>
      </c>
      <c r="I592" s="52">
        <f>I593</f>
        <v>383.2</v>
      </c>
      <c r="J592" s="300">
        <f t="shared" si="166"/>
        <v>-124.90000000000003</v>
      </c>
      <c r="K592" s="52">
        <f>K593</f>
        <v>300</v>
      </c>
      <c r="L592" s="52">
        <f>L593</f>
        <v>383.2</v>
      </c>
      <c r="M592" s="300">
        <f t="shared" si="173"/>
        <v>0</v>
      </c>
      <c r="N592" s="52">
        <f>N593</f>
        <v>300</v>
      </c>
      <c r="O592" s="300">
        <f t="shared" si="167"/>
        <v>0</v>
      </c>
      <c r="P592" s="52">
        <f>P593</f>
        <v>300</v>
      </c>
      <c r="Q592" s="52">
        <f>Q593</f>
        <v>300</v>
      </c>
      <c r="R592" s="333">
        <f t="shared" si="169"/>
        <v>0</v>
      </c>
      <c r="S592" s="32"/>
      <c r="T592" s="32"/>
      <c r="U592" s="32"/>
    </row>
    <row r="593" spans="2:21" s="51" customFormat="1" ht="31.5" customHeight="1" x14ac:dyDescent="0.2">
      <c r="B593" s="56" t="s">
        <v>422</v>
      </c>
      <c r="C593" s="53" t="s">
        <v>696</v>
      </c>
      <c r="D593" s="53" t="s">
        <v>108</v>
      </c>
      <c r="E593" s="53" t="s">
        <v>412</v>
      </c>
      <c r="F593" s="54" t="s">
        <v>421</v>
      </c>
      <c r="G593" s="60"/>
      <c r="H593" s="52">
        <f>H594+H596</f>
        <v>508.1</v>
      </c>
      <c r="I593" s="52">
        <f>I594+I596</f>
        <v>383.2</v>
      </c>
      <c r="J593" s="300">
        <f t="shared" si="166"/>
        <v>-124.90000000000003</v>
      </c>
      <c r="K593" s="52">
        <f>K594+K596</f>
        <v>300</v>
      </c>
      <c r="L593" s="52">
        <f>L594+L596</f>
        <v>383.2</v>
      </c>
      <c r="M593" s="300">
        <f t="shared" si="173"/>
        <v>0</v>
      </c>
      <c r="N593" s="52">
        <f>N594+N596</f>
        <v>300</v>
      </c>
      <c r="O593" s="300">
        <f t="shared" si="167"/>
        <v>0</v>
      </c>
      <c r="P593" s="52">
        <f>P594+P596</f>
        <v>300</v>
      </c>
      <c r="Q593" s="52">
        <f>Q594+Q596</f>
        <v>300</v>
      </c>
      <c r="R593" s="333">
        <f t="shared" si="169"/>
        <v>0</v>
      </c>
      <c r="S593" s="32"/>
      <c r="T593" s="32"/>
      <c r="U593" s="32"/>
    </row>
    <row r="594" spans="2:21" s="51" customFormat="1" ht="42" customHeight="1" x14ac:dyDescent="0.2">
      <c r="B594" s="56" t="s">
        <v>420</v>
      </c>
      <c r="C594" s="53" t="s">
        <v>696</v>
      </c>
      <c r="D594" s="53" t="s">
        <v>108</v>
      </c>
      <c r="E594" s="53" t="s">
        <v>412</v>
      </c>
      <c r="F594" s="54" t="s">
        <v>419</v>
      </c>
      <c r="G594" s="60"/>
      <c r="H594" s="52">
        <f>H595</f>
        <v>208.1</v>
      </c>
      <c r="I594" s="52">
        <f>I595</f>
        <v>83.199999999999989</v>
      </c>
      <c r="J594" s="300">
        <f t="shared" si="166"/>
        <v>-124.9</v>
      </c>
      <c r="K594" s="52">
        <f>K595</f>
        <v>0</v>
      </c>
      <c r="L594" s="52">
        <f>L595</f>
        <v>83.199999999999989</v>
      </c>
      <c r="M594" s="300">
        <f t="shared" si="173"/>
        <v>0</v>
      </c>
      <c r="N594" s="52">
        <f>N595</f>
        <v>0</v>
      </c>
      <c r="O594" s="300">
        <f t="shared" si="167"/>
        <v>0</v>
      </c>
      <c r="P594" s="52">
        <f>P595</f>
        <v>0</v>
      </c>
      <c r="Q594" s="52">
        <f>Q595</f>
        <v>0</v>
      </c>
      <c r="R594" s="333">
        <f t="shared" si="169"/>
        <v>0</v>
      </c>
      <c r="S594" s="32"/>
      <c r="T594" s="32"/>
      <c r="U594" s="32"/>
    </row>
    <row r="595" spans="2:21" s="51" customFormat="1" ht="26.25" customHeight="1" x14ac:dyDescent="0.2">
      <c r="B595" s="56" t="s">
        <v>73</v>
      </c>
      <c r="C595" s="53" t="s">
        <v>696</v>
      </c>
      <c r="D595" s="53" t="s">
        <v>108</v>
      </c>
      <c r="E595" s="53" t="s">
        <v>412</v>
      </c>
      <c r="F595" s="54" t="s">
        <v>419</v>
      </c>
      <c r="G595" s="60" t="s">
        <v>70</v>
      </c>
      <c r="H595" s="52">
        <f>74.1+134</f>
        <v>208.1</v>
      </c>
      <c r="I595" s="52">
        <f>208.1-124.9</f>
        <v>83.199999999999989</v>
      </c>
      <c r="J595" s="300">
        <f t="shared" si="166"/>
        <v>-124.9</v>
      </c>
      <c r="K595" s="52">
        <v>0</v>
      </c>
      <c r="L595" s="52">
        <f>208.1-124.9</f>
        <v>83.199999999999989</v>
      </c>
      <c r="M595" s="300">
        <f t="shared" si="173"/>
        <v>0</v>
      </c>
      <c r="N595" s="52">
        <v>0</v>
      </c>
      <c r="O595" s="300">
        <f t="shared" si="167"/>
        <v>0</v>
      </c>
      <c r="P595" s="52">
        <v>0</v>
      </c>
      <c r="Q595" s="52">
        <v>0</v>
      </c>
      <c r="R595" s="333">
        <f t="shared" si="169"/>
        <v>0</v>
      </c>
      <c r="S595" s="32"/>
      <c r="T595" s="32"/>
      <c r="U595" s="32"/>
    </row>
    <row r="596" spans="2:21" s="51" customFormat="1" ht="30.75" customHeight="1" x14ac:dyDescent="0.2">
      <c r="B596" s="56" t="s">
        <v>418</v>
      </c>
      <c r="C596" s="53" t="s">
        <v>696</v>
      </c>
      <c r="D596" s="60" t="s">
        <v>108</v>
      </c>
      <c r="E596" s="60" t="s">
        <v>412</v>
      </c>
      <c r="F596" s="54" t="s">
        <v>417</v>
      </c>
      <c r="G596" s="60"/>
      <c r="H596" s="52">
        <f>H597+H598</f>
        <v>300</v>
      </c>
      <c r="I596" s="52">
        <f>I597+I598</f>
        <v>300</v>
      </c>
      <c r="J596" s="300">
        <f t="shared" si="166"/>
        <v>0</v>
      </c>
      <c r="K596" s="52">
        <f>K597+K598</f>
        <v>300</v>
      </c>
      <c r="L596" s="52">
        <f>L597+L598</f>
        <v>300</v>
      </c>
      <c r="M596" s="300">
        <f t="shared" si="173"/>
        <v>0</v>
      </c>
      <c r="N596" s="52">
        <f>N597+N598</f>
        <v>300</v>
      </c>
      <c r="O596" s="300">
        <f t="shared" si="167"/>
        <v>0</v>
      </c>
      <c r="P596" s="52">
        <f>P597+P598</f>
        <v>300</v>
      </c>
      <c r="Q596" s="52">
        <f>Q597+Q598</f>
        <v>300</v>
      </c>
      <c r="R596" s="333">
        <f t="shared" si="169"/>
        <v>0</v>
      </c>
      <c r="S596" s="32"/>
      <c r="T596" s="32"/>
      <c r="U596" s="32"/>
    </row>
    <row r="597" spans="2:21" s="51" customFormat="1" ht="27" customHeight="1" x14ac:dyDescent="0.2">
      <c r="B597" s="56" t="s">
        <v>73</v>
      </c>
      <c r="C597" s="53" t="s">
        <v>696</v>
      </c>
      <c r="D597" s="60" t="s">
        <v>108</v>
      </c>
      <c r="E597" s="60" t="s">
        <v>412</v>
      </c>
      <c r="F597" s="54" t="s">
        <v>417</v>
      </c>
      <c r="G597" s="60" t="s">
        <v>70</v>
      </c>
      <c r="H597" s="52">
        <v>300</v>
      </c>
      <c r="I597" s="52">
        <v>300</v>
      </c>
      <c r="J597" s="300">
        <f t="shared" si="166"/>
        <v>0</v>
      </c>
      <c r="K597" s="52">
        <v>300</v>
      </c>
      <c r="L597" s="52">
        <v>300</v>
      </c>
      <c r="M597" s="300">
        <f t="shared" si="173"/>
        <v>0</v>
      </c>
      <c r="N597" s="52">
        <v>300</v>
      </c>
      <c r="O597" s="300">
        <f t="shared" si="167"/>
        <v>0</v>
      </c>
      <c r="P597" s="52">
        <v>300</v>
      </c>
      <c r="Q597" s="52">
        <v>300</v>
      </c>
      <c r="R597" s="333">
        <f t="shared" si="169"/>
        <v>0</v>
      </c>
      <c r="S597" s="32"/>
      <c r="T597" s="32"/>
      <c r="U597" s="32"/>
    </row>
    <row r="598" spans="2:21" s="51" customFormat="1" ht="16.5" customHeight="1" x14ac:dyDescent="0.2">
      <c r="B598" s="56" t="s">
        <v>413</v>
      </c>
      <c r="C598" s="53" t="s">
        <v>696</v>
      </c>
      <c r="D598" s="60" t="s">
        <v>108</v>
      </c>
      <c r="E598" s="60" t="s">
        <v>412</v>
      </c>
      <c r="F598" s="54" t="s">
        <v>417</v>
      </c>
      <c r="G598" s="60" t="s">
        <v>320</v>
      </c>
      <c r="H598" s="52">
        <v>0</v>
      </c>
      <c r="I598" s="52">
        <v>0</v>
      </c>
      <c r="J598" s="300">
        <f t="shared" si="166"/>
        <v>0</v>
      </c>
      <c r="K598" s="52"/>
      <c r="L598" s="52">
        <v>0</v>
      </c>
      <c r="M598" s="300">
        <f t="shared" si="173"/>
        <v>0</v>
      </c>
      <c r="N598" s="52"/>
      <c r="O598" s="300">
        <f t="shared" si="167"/>
        <v>0</v>
      </c>
      <c r="P598" s="52">
        <v>0</v>
      </c>
      <c r="Q598" s="52">
        <v>0</v>
      </c>
      <c r="R598" s="333">
        <f t="shared" si="169"/>
        <v>0</v>
      </c>
      <c r="S598" s="32"/>
      <c r="T598" s="32"/>
      <c r="U598" s="32"/>
    </row>
    <row r="599" spans="2:21" s="51" customFormat="1" ht="16.5" customHeight="1" x14ac:dyDescent="0.2">
      <c r="B599" s="77" t="s">
        <v>52</v>
      </c>
      <c r="C599" s="53" t="s">
        <v>696</v>
      </c>
      <c r="D599" s="53" t="s">
        <v>108</v>
      </c>
      <c r="E599" s="53" t="s">
        <v>412</v>
      </c>
      <c r="F599" s="54" t="s">
        <v>133</v>
      </c>
      <c r="G599" s="60"/>
      <c r="H599" s="52">
        <f>H600+H603</f>
        <v>3870.6</v>
      </c>
      <c r="I599" s="52">
        <f>I600+I603</f>
        <v>3870.6</v>
      </c>
      <c r="J599" s="300">
        <f t="shared" si="166"/>
        <v>0</v>
      </c>
      <c r="K599" s="52">
        <f>K600+K603</f>
        <v>3791.1</v>
      </c>
      <c r="L599" s="52">
        <f>L600+L603</f>
        <v>3870.6</v>
      </c>
      <c r="M599" s="300">
        <f t="shared" si="173"/>
        <v>0</v>
      </c>
      <c r="N599" s="52">
        <f>N600+N603</f>
        <v>3791.1</v>
      </c>
      <c r="O599" s="300">
        <f t="shared" si="167"/>
        <v>0</v>
      </c>
      <c r="P599" s="52">
        <f>P600+P603</f>
        <v>3787.8</v>
      </c>
      <c r="Q599" s="52">
        <f>Q600+Q603</f>
        <v>3787.8</v>
      </c>
      <c r="R599" s="333">
        <f t="shared" si="169"/>
        <v>0</v>
      </c>
      <c r="S599" s="32"/>
      <c r="T599" s="32"/>
      <c r="U599" s="32"/>
    </row>
    <row r="600" spans="2:21" s="51" customFormat="1" ht="52.5" customHeight="1" x14ac:dyDescent="0.2">
      <c r="B600" s="56" t="s">
        <v>132</v>
      </c>
      <c r="C600" s="53" t="s">
        <v>696</v>
      </c>
      <c r="D600" s="53" t="s">
        <v>108</v>
      </c>
      <c r="E600" s="53" t="s">
        <v>412</v>
      </c>
      <c r="F600" s="54" t="s">
        <v>131</v>
      </c>
      <c r="G600" s="60"/>
      <c r="H600" s="52">
        <f t="shared" ref="H600:Q601" si="174">H601</f>
        <v>44.6</v>
      </c>
      <c r="I600" s="52">
        <f t="shared" si="174"/>
        <v>44.6</v>
      </c>
      <c r="J600" s="300">
        <f t="shared" si="166"/>
        <v>0</v>
      </c>
      <c r="K600" s="52">
        <f t="shared" si="174"/>
        <v>17</v>
      </c>
      <c r="L600" s="52">
        <f t="shared" si="174"/>
        <v>44.6</v>
      </c>
      <c r="M600" s="300">
        <f t="shared" si="173"/>
        <v>0</v>
      </c>
      <c r="N600" s="52">
        <f t="shared" si="174"/>
        <v>17</v>
      </c>
      <c r="O600" s="300">
        <f t="shared" si="167"/>
        <v>0</v>
      </c>
      <c r="P600" s="52">
        <f t="shared" si="174"/>
        <v>17</v>
      </c>
      <c r="Q600" s="52">
        <f t="shared" si="174"/>
        <v>17</v>
      </c>
      <c r="R600" s="333">
        <f t="shared" si="169"/>
        <v>0</v>
      </c>
      <c r="S600" s="32"/>
      <c r="T600" s="32"/>
      <c r="U600" s="32"/>
    </row>
    <row r="601" spans="2:21" s="51" customFormat="1" ht="68.25" customHeight="1" x14ac:dyDescent="0.2">
      <c r="B601" s="56" t="s">
        <v>130</v>
      </c>
      <c r="C601" s="53" t="s">
        <v>696</v>
      </c>
      <c r="D601" s="60" t="s">
        <v>108</v>
      </c>
      <c r="E601" s="60" t="s">
        <v>412</v>
      </c>
      <c r="F601" s="54" t="s">
        <v>128</v>
      </c>
      <c r="G601" s="60"/>
      <c r="H601" s="52">
        <f t="shared" si="174"/>
        <v>44.6</v>
      </c>
      <c r="I601" s="52">
        <f t="shared" si="174"/>
        <v>44.6</v>
      </c>
      <c r="J601" s="300">
        <f t="shared" si="166"/>
        <v>0</v>
      </c>
      <c r="K601" s="52">
        <f t="shared" si="174"/>
        <v>17</v>
      </c>
      <c r="L601" s="52">
        <f t="shared" si="174"/>
        <v>44.6</v>
      </c>
      <c r="M601" s="300">
        <f t="shared" si="173"/>
        <v>0</v>
      </c>
      <c r="N601" s="52">
        <f t="shared" si="174"/>
        <v>17</v>
      </c>
      <c r="O601" s="300">
        <f t="shared" si="167"/>
        <v>0</v>
      </c>
      <c r="P601" s="52">
        <f t="shared" si="174"/>
        <v>17</v>
      </c>
      <c r="Q601" s="52">
        <f t="shared" si="174"/>
        <v>17</v>
      </c>
      <c r="R601" s="333">
        <f t="shared" si="169"/>
        <v>0</v>
      </c>
      <c r="S601" s="32"/>
      <c r="T601" s="32"/>
      <c r="U601" s="32"/>
    </row>
    <row r="602" spans="2:21" s="51" customFormat="1" ht="29.25" customHeight="1" x14ac:dyDescent="0.2">
      <c r="B602" s="56" t="s">
        <v>73</v>
      </c>
      <c r="C602" s="53" t="s">
        <v>696</v>
      </c>
      <c r="D602" s="60" t="s">
        <v>108</v>
      </c>
      <c r="E602" s="60" t="s">
        <v>412</v>
      </c>
      <c r="F602" s="54" t="s">
        <v>128</v>
      </c>
      <c r="G602" s="60" t="s">
        <v>70</v>
      </c>
      <c r="H602" s="52">
        <v>44.6</v>
      </c>
      <c r="I602" s="52">
        <v>44.6</v>
      </c>
      <c r="J602" s="300">
        <f t="shared" si="166"/>
        <v>0</v>
      </c>
      <c r="K602" s="52">
        <v>17</v>
      </c>
      <c r="L602" s="52">
        <v>44.6</v>
      </c>
      <c r="M602" s="300">
        <f t="shared" si="173"/>
        <v>0</v>
      </c>
      <c r="N602" s="52">
        <v>17</v>
      </c>
      <c r="O602" s="300">
        <f t="shared" si="167"/>
        <v>0</v>
      </c>
      <c r="P602" s="52">
        <v>17</v>
      </c>
      <c r="Q602" s="52">
        <v>17</v>
      </c>
      <c r="R602" s="333">
        <f t="shared" si="169"/>
        <v>0</v>
      </c>
      <c r="S602" s="32"/>
      <c r="T602" s="32"/>
      <c r="U602" s="32"/>
    </row>
    <row r="603" spans="2:21" s="51" customFormat="1" ht="43.5" customHeight="1" x14ac:dyDescent="0.2">
      <c r="B603" s="56" t="s">
        <v>416</v>
      </c>
      <c r="C603" s="53" t="s">
        <v>696</v>
      </c>
      <c r="D603" s="53" t="s">
        <v>108</v>
      </c>
      <c r="E603" s="53" t="s">
        <v>412</v>
      </c>
      <c r="F603" s="54" t="s">
        <v>415</v>
      </c>
      <c r="G603" s="60"/>
      <c r="H603" s="52">
        <f>H604</f>
        <v>3826</v>
      </c>
      <c r="I603" s="52">
        <f>I604</f>
        <v>3826</v>
      </c>
      <c r="J603" s="300">
        <f t="shared" si="166"/>
        <v>0</v>
      </c>
      <c r="K603" s="52">
        <f>K604</f>
        <v>3774.1</v>
      </c>
      <c r="L603" s="52">
        <f>L604</f>
        <v>3826</v>
      </c>
      <c r="M603" s="300">
        <f t="shared" si="173"/>
        <v>0</v>
      </c>
      <c r="N603" s="52">
        <f>N604</f>
        <v>3774.1</v>
      </c>
      <c r="O603" s="300">
        <f t="shared" si="167"/>
        <v>0</v>
      </c>
      <c r="P603" s="52">
        <f>P604</f>
        <v>3770.8</v>
      </c>
      <c r="Q603" s="52">
        <f>Q604</f>
        <v>3770.8</v>
      </c>
      <c r="R603" s="333">
        <f t="shared" si="169"/>
        <v>0</v>
      </c>
      <c r="S603" s="32"/>
      <c r="T603" s="32"/>
      <c r="U603" s="32"/>
    </row>
    <row r="604" spans="2:21" s="51" customFormat="1" ht="15.75" customHeight="1" x14ac:dyDescent="0.2">
      <c r="B604" s="57" t="s">
        <v>414</v>
      </c>
      <c r="C604" s="53" t="s">
        <v>696</v>
      </c>
      <c r="D604" s="53" t="s">
        <v>108</v>
      </c>
      <c r="E604" s="53" t="s">
        <v>412</v>
      </c>
      <c r="F604" s="54" t="s">
        <v>411</v>
      </c>
      <c r="G604" s="60"/>
      <c r="H604" s="52">
        <f>H605+H606+H607</f>
        <v>3826</v>
      </c>
      <c r="I604" s="52">
        <f>I605+I606+I607</f>
        <v>3826</v>
      </c>
      <c r="J604" s="300">
        <f t="shared" si="166"/>
        <v>0</v>
      </c>
      <c r="K604" s="52">
        <f>K605+K606+K607</f>
        <v>3774.1</v>
      </c>
      <c r="L604" s="52">
        <f>L605+L606+L607</f>
        <v>3826</v>
      </c>
      <c r="M604" s="300">
        <f t="shared" si="173"/>
        <v>0</v>
      </c>
      <c r="N604" s="52">
        <f>N605+N606+N607</f>
        <v>3774.1</v>
      </c>
      <c r="O604" s="300">
        <f t="shared" si="167"/>
        <v>0</v>
      </c>
      <c r="P604" s="52">
        <f>P605+P606+P607</f>
        <v>3770.8</v>
      </c>
      <c r="Q604" s="52">
        <f>Q605+Q606+Q607</f>
        <v>3770.8</v>
      </c>
      <c r="R604" s="333">
        <f t="shared" si="169"/>
        <v>0</v>
      </c>
      <c r="S604" s="32"/>
      <c r="T604" s="32"/>
      <c r="U604" s="32"/>
    </row>
    <row r="605" spans="2:21" s="51" customFormat="1" ht="17.25" customHeight="1" x14ac:dyDescent="0.2">
      <c r="B605" s="56" t="s">
        <v>84</v>
      </c>
      <c r="C605" s="53" t="s">
        <v>696</v>
      </c>
      <c r="D605" s="60" t="s">
        <v>108</v>
      </c>
      <c r="E605" s="60" t="s">
        <v>412</v>
      </c>
      <c r="F605" s="54" t="s">
        <v>411</v>
      </c>
      <c r="G605" s="60" t="s">
        <v>83</v>
      </c>
      <c r="H605" s="52">
        <f>2300.4+1031.4+19.1+51.9</f>
        <v>3402.8</v>
      </c>
      <c r="I605" s="52">
        <f>2300.4+1031.4+19.1+51.9</f>
        <v>3402.8</v>
      </c>
      <c r="J605" s="300">
        <f t="shared" si="166"/>
        <v>0</v>
      </c>
      <c r="K605" s="52">
        <f>2300.4+1031.4+19.1</f>
        <v>3350.9</v>
      </c>
      <c r="L605" s="52">
        <f>3402.8</f>
        <v>3402.8</v>
      </c>
      <c r="M605" s="300">
        <f t="shared" si="173"/>
        <v>0</v>
      </c>
      <c r="N605" s="52">
        <f>2300.4+1031.4+19.1</f>
        <v>3350.9</v>
      </c>
      <c r="O605" s="300">
        <f t="shared" si="167"/>
        <v>0</v>
      </c>
      <c r="P605" s="52">
        <f>2300.4+1031.4+15.8</f>
        <v>3347.6000000000004</v>
      </c>
      <c r="Q605" s="52">
        <f>2300.4+1031.4+15.8</f>
        <v>3347.6000000000004</v>
      </c>
      <c r="R605" s="333">
        <f t="shared" si="169"/>
        <v>0</v>
      </c>
      <c r="S605" s="32"/>
      <c r="T605" s="32"/>
      <c r="U605" s="32"/>
    </row>
    <row r="606" spans="2:21" s="51" customFormat="1" ht="28.5" customHeight="1" x14ac:dyDescent="0.2">
      <c r="B606" s="56" t="s">
        <v>73</v>
      </c>
      <c r="C606" s="53" t="s">
        <v>696</v>
      </c>
      <c r="D606" s="60" t="s">
        <v>108</v>
      </c>
      <c r="E606" s="60" t="s">
        <v>412</v>
      </c>
      <c r="F606" s="54" t="s">
        <v>411</v>
      </c>
      <c r="G606" s="60" t="s">
        <v>70</v>
      </c>
      <c r="H606" s="52">
        <f>362.2+60</f>
        <v>422.2</v>
      </c>
      <c r="I606" s="52">
        <f>362.2+60</f>
        <v>422.2</v>
      </c>
      <c r="J606" s="300">
        <f t="shared" si="166"/>
        <v>0</v>
      </c>
      <c r="K606" s="52">
        <v>422.2</v>
      </c>
      <c r="L606" s="52">
        <f>362.2+60</f>
        <v>422.2</v>
      </c>
      <c r="M606" s="300">
        <f t="shared" si="173"/>
        <v>0</v>
      </c>
      <c r="N606" s="52">
        <v>422.2</v>
      </c>
      <c r="O606" s="300">
        <f t="shared" si="167"/>
        <v>0</v>
      </c>
      <c r="P606" s="52">
        <v>422.2</v>
      </c>
      <c r="Q606" s="52">
        <v>422.2</v>
      </c>
      <c r="R606" s="333">
        <f t="shared" si="169"/>
        <v>0</v>
      </c>
      <c r="S606" s="32"/>
      <c r="T606" s="32"/>
      <c r="U606" s="32"/>
    </row>
    <row r="607" spans="2:21" s="51" customFormat="1" ht="16.5" customHeight="1" x14ac:dyDescent="0.2">
      <c r="B607" s="56" t="s">
        <v>413</v>
      </c>
      <c r="C607" s="53" t="s">
        <v>696</v>
      </c>
      <c r="D607" s="60" t="s">
        <v>108</v>
      </c>
      <c r="E607" s="60" t="s">
        <v>412</v>
      </c>
      <c r="F607" s="54" t="s">
        <v>411</v>
      </c>
      <c r="G607" s="60" t="s">
        <v>320</v>
      </c>
      <c r="H607" s="52">
        <v>1</v>
      </c>
      <c r="I607" s="52">
        <v>1</v>
      </c>
      <c r="J607" s="300">
        <f t="shared" si="166"/>
        <v>0</v>
      </c>
      <c r="K607" s="52">
        <v>1</v>
      </c>
      <c r="L607" s="52">
        <v>1</v>
      </c>
      <c r="M607" s="300">
        <f t="shared" si="173"/>
        <v>0</v>
      </c>
      <c r="N607" s="52">
        <v>1</v>
      </c>
      <c r="O607" s="300">
        <f t="shared" si="167"/>
        <v>0</v>
      </c>
      <c r="P607" s="52">
        <v>1</v>
      </c>
      <c r="Q607" s="52">
        <v>1</v>
      </c>
      <c r="R607" s="333">
        <f t="shared" si="169"/>
        <v>0</v>
      </c>
      <c r="S607" s="32"/>
      <c r="T607" s="32"/>
      <c r="U607" s="32"/>
    </row>
    <row r="608" spans="2:21" s="43" customFormat="1" ht="15" customHeight="1" x14ac:dyDescent="0.2">
      <c r="B608" s="59" t="s">
        <v>676</v>
      </c>
      <c r="C608" s="48" t="s">
        <v>696</v>
      </c>
      <c r="D608" s="48" t="s">
        <v>59</v>
      </c>
      <c r="E608" s="48"/>
      <c r="F608" s="48"/>
      <c r="G608" s="48"/>
      <c r="H608" s="44">
        <f t="shared" ref="H608:Q612" si="175">H609</f>
        <v>1080</v>
      </c>
      <c r="I608" s="44">
        <f t="shared" si="175"/>
        <v>1080</v>
      </c>
      <c r="J608" s="300">
        <f t="shared" si="166"/>
        <v>0</v>
      </c>
      <c r="K608" s="44">
        <f t="shared" si="175"/>
        <v>1080</v>
      </c>
      <c r="L608" s="44">
        <f t="shared" si="175"/>
        <v>1309.5</v>
      </c>
      <c r="M608" s="300">
        <f t="shared" si="173"/>
        <v>229.5</v>
      </c>
      <c r="N608" s="44">
        <f t="shared" si="175"/>
        <v>1080</v>
      </c>
      <c r="O608" s="300">
        <f t="shared" si="167"/>
        <v>0</v>
      </c>
      <c r="P608" s="44">
        <f t="shared" si="175"/>
        <v>1080</v>
      </c>
      <c r="Q608" s="44">
        <f t="shared" si="175"/>
        <v>1080</v>
      </c>
      <c r="R608" s="333">
        <f t="shared" si="169"/>
        <v>0</v>
      </c>
    </row>
    <row r="609" spans="2:21" s="43" customFormat="1" ht="13.5" customHeight="1" x14ac:dyDescent="0.2">
      <c r="B609" s="59" t="s">
        <v>409</v>
      </c>
      <c r="C609" s="48" t="s">
        <v>696</v>
      </c>
      <c r="D609" s="48" t="s">
        <v>59</v>
      </c>
      <c r="E609" s="48" t="s">
        <v>45</v>
      </c>
      <c r="F609" s="48"/>
      <c r="G609" s="48"/>
      <c r="H609" s="44">
        <f t="shared" si="175"/>
        <v>1080</v>
      </c>
      <c r="I609" s="44">
        <f t="shared" si="175"/>
        <v>1080</v>
      </c>
      <c r="J609" s="300">
        <f t="shared" si="166"/>
        <v>0</v>
      </c>
      <c r="K609" s="44">
        <f t="shared" si="175"/>
        <v>1080</v>
      </c>
      <c r="L609" s="44">
        <f t="shared" si="175"/>
        <v>1309.5</v>
      </c>
      <c r="M609" s="300">
        <f t="shared" si="173"/>
        <v>229.5</v>
      </c>
      <c r="N609" s="44">
        <f t="shared" si="175"/>
        <v>1080</v>
      </c>
      <c r="O609" s="300">
        <f t="shared" si="167"/>
        <v>0</v>
      </c>
      <c r="P609" s="44">
        <f t="shared" si="175"/>
        <v>1080</v>
      </c>
      <c r="Q609" s="44">
        <f t="shared" si="175"/>
        <v>1080</v>
      </c>
      <c r="R609" s="333">
        <f t="shared" si="169"/>
        <v>0</v>
      </c>
    </row>
    <row r="610" spans="2:21" s="47" customFormat="1" ht="39" customHeight="1" x14ac:dyDescent="0.2">
      <c r="B610" s="64" t="s">
        <v>135</v>
      </c>
      <c r="C610" s="53" t="s">
        <v>696</v>
      </c>
      <c r="D610" s="53" t="s">
        <v>59</v>
      </c>
      <c r="E610" s="53" t="s">
        <v>45</v>
      </c>
      <c r="F610" s="54" t="s">
        <v>134</v>
      </c>
      <c r="G610" s="78"/>
      <c r="H610" s="52">
        <f>H611</f>
        <v>1080</v>
      </c>
      <c r="I610" s="52">
        <f>I611</f>
        <v>1080</v>
      </c>
      <c r="J610" s="300">
        <f t="shared" si="166"/>
        <v>0</v>
      </c>
      <c r="K610" s="52">
        <f t="shared" si="175"/>
        <v>1080</v>
      </c>
      <c r="L610" s="52">
        <f>L611</f>
        <v>1309.5</v>
      </c>
      <c r="M610" s="300">
        <f t="shared" si="173"/>
        <v>229.5</v>
      </c>
      <c r="N610" s="52">
        <f t="shared" si="175"/>
        <v>1080</v>
      </c>
      <c r="O610" s="300">
        <f t="shared" si="167"/>
        <v>0</v>
      </c>
      <c r="P610" s="52">
        <f t="shared" si="175"/>
        <v>1080</v>
      </c>
      <c r="Q610" s="52">
        <f t="shared" si="175"/>
        <v>1080</v>
      </c>
      <c r="R610" s="333">
        <f t="shared" si="169"/>
        <v>0</v>
      </c>
      <c r="S610" s="43"/>
      <c r="T610" s="43"/>
      <c r="U610" s="43"/>
    </row>
    <row r="611" spans="2:21" s="47" customFormat="1" ht="13.5" customHeight="1" x14ac:dyDescent="0.2">
      <c r="B611" s="77" t="s">
        <v>52</v>
      </c>
      <c r="C611" s="53" t="s">
        <v>696</v>
      </c>
      <c r="D611" s="53" t="s">
        <v>59</v>
      </c>
      <c r="E611" s="53" t="s">
        <v>45</v>
      </c>
      <c r="F611" s="54" t="s">
        <v>133</v>
      </c>
      <c r="G611" s="78"/>
      <c r="H611" s="52">
        <f>H612</f>
        <v>1080</v>
      </c>
      <c r="I611" s="52">
        <f>I612</f>
        <v>1080</v>
      </c>
      <c r="J611" s="300">
        <f t="shared" si="166"/>
        <v>0</v>
      </c>
      <c r="K611" s="52">
        <f>K612</f>
        <v>1080</v>
      </c>
      <c r="L611" s="52">
        <f>L612</f>
        <v>1309.5</v>
      </c>
      <c r="M611" s="300">
        <f t="shared" si="173"/>
        <v>229.5</v>
      </c>
      <c r="N611" s="52">
        <f>N612</f>
        <v>1080</v>
      </c>
      <c r="O611" s="300">
        <f t="shared" si="167"/>
        <v>0</v>
      </c>
      <c r="P611" s="52">
        <f>P612</f>
        <v>1080</v>
      </c>
      <c r="Q611" s="52">
        <f>Q612</f>
        <v>1080</v>
      </c>
      <c r="R611" s="333">
        <f t="shared" si="169"/>
        <v>0</v>
      </c>
      <c r="S611" s="43"/>
      <c r="T611" s="43"/>
      <c r="U611" s="43"/>
    </row>
    <row r="612" spans="2:21" s="47" customFormat="1" ht="37.5" customHeight="1" x14ac:dyDescent="0.2">
      <c r="B612" s="56" t="s">
        <v>357</v>
      </c>
      <c r="C612" s="53" t="s">
        <v>696</v>
      </c>
      <c r="D612" s="53" t="s">
        <v>59</v>
      </c>
      <c r="E612" s="53" t="s">
        <v>45</v>
      </c>
      <c r="F612" s="54" t="s">
        <v>356</v>
      </c>
      <c r="G612" s="78"/>
      <c r="H612" s="52">
        <f t="shared" si="175"/>
        <v>1080</v>
      </c>
      <c r="I612" s="52">
        <f t="shared" si="175"/>
        <v>1080</v>
      </c>
      <c r="J612" s="300">
        <f t="shared" si="166"/>
        <v>0</v>
      </c>
      <c r="K612" s="52">
        <f t="shared" si="175"/>
        <v>1080</v>
      </c>
      <c r="L612" s="52">
        <f t="shared" si="175"/>
        <v>1309.5</v>
      </c>
      <c r="M612" s="300">
        <f t="shared" si="173"/>
        <v>229.5</v>
      </c>
      <c r="N612" s="52">
        <f t="shared" si="175"/>
        <v>1080</v>
      </c>
      <c r="O612" s="300">
        <f t="shared" si="167"/>
        <v>0</v>
      </c>
      <c r="P612" s="52">
        <f t="shared" si="175"/>
        <v>1080</v>
      </c>
      <c r="Q612" s="52">
        <f t="shared" si="175"/>
        <v>1080</v>
      </c>
      <c r="R612" s="333">
        <f t="shared" si="169"/>
        <v>0</v>
      </c>
      <c r="S612" s="43"/>
      <c r="T612" s="43"/>
      <c r="U612" s="43"/>
    </row>
    <row r="613" spans="2:21" s="47" customFormat="1" ht="26.25" customHeight="1" x14ac:dyDescent="0.2">
      <c r="B613" s="190" t="s">
        <v>355</v>
      </c>
      <c r="C613" s="53" t="s">
        <v>696</v>
      </c>
      <c r="D613" s="53" t="s">
        <v>59</v>
      </c>
      <c r="E613" s="53" t="s">
        <v>45</v>
      </c>
      <c r="F613" s="74" t="s">
        <v>354</v>
      </c>
      <c r="G613" s="73"/>
      <c r="H613" s="52">
        <f>H614</f>
        <v>1080</v>
      </c>
      <c r="I613" s="52">
        <f>I614</f>
        <v>1080</v>
      </c>
      <c r="J613" s="300">
        <f t="shared" si="166"/>
        <v>0</v>
      </c>
      <c r="K613" s="52">
        <f>K614</f>
        <v>1080</v>
      </c>
      <c r="L613" s="52">
        <f>L614</f>
        <v>1309.5</v>
      </c>
      <c r="M613" s="300">
        <f t="shared" si="173"/>
        <v>229.5</v>
      </c>
      <c r="N613" s="52">
        <f>N614</f>
        <v>1080</v>
      </c>
      <c r="O613" s="300">
        <f t="shared" si="167"/>
        <v>0</v>
      </c>
      <c r="P613" s="52">
        <f>P614</f>
        <v>1080</v>
      </c>
      <c r="Q613" s="52">
        <f>Q614</f>
        <v>1080</v>
      </c>
      <c r="R613" s="333">
        <f t="shared" si="169"/>
        <v>0</v>
      </c>
      <c r="S613" s="43"/>
      <c r="T613" s="43"/>
      <c r="U613" s="43"/>
    </row>
    <row r="614" spans="2:21" s="47" customFormat="1" ht="27" customHeight="1" x14ac:dyDescent="0.2">
      <c r="B614" s="76" t="s">
        <v>73</v>
      </c>
      <c r="C614" s="53" t="s">
        <v>696</v>
      </c>
      <c r="D614" s="53" t="s">
        <v>59</v>
      </c>
      <c r="E614" s="53" t="s">
        <v>45</v>
      </c>
      <c r="F614" s="74" t="s">
        <v>354</v>
      </c>
      <c r="G614" s="73" t="s">
        <v>70</v>
      </c>
      <c r="H614" s="52">
        <v>1080</v>
      </c>
      <c r="I614" s="52">
        <v>1080</v>
      </c>
      <c r="J614" s="300">
        <f t="shared" si="166"/>
        <v>0</v>
      </c>
      <c r="K614" s="52">
        <v>1080</v>
      </c>
      <c r="L614" s="52">
        <f>1080+229.5</f>
        <v>1309.5</v>
      </c>
      <c r="M614" s="300">
        <f t="shared" si="173"/>
        <v>229.5</v>
      </c>
      <c r="N614" s="52">
        <v>1080</v>
      </c>
      <c r="O614" s="300">
        <f t="shared" si="167"/>
        <v>0</v>
      </c>
      <c r="P614" s="52">
        <v>1080</v>
      </c>
      <c r="Q614" s="52">
        <v>1080</v>
      </c>
      <c r="R614" s="333">
        <f t="shared" si="169"/>
        <v>0</v>
      </c>
      <c r="S614" s="43"/>
      <c r="T614" s="43"/>
      <c r="U614" s="43"/>
    </row>
    <row r="615" spans="2:21" s="47" customFormat="1" ht="16.5" customHeight="1" x14ac:dyDescent="0.2">
      <c r="B615" s="59" t="s">
        <v>686</v>
      </c>
      <c r="C615" s="48" t="s">
        <v>696</v>
      </c>
      <c r="D615" s="48" t="s">
        <v>97</v>
      </c>
      <c r="E615" s="48"/>
      <c r="F615" s="49"/>
      <c r="G615" s="71"/>
      <c r="H615" s="44">
        <f t="shared" ref="H615:Q620" si="176">H616</f>
        <v>2925.4</v>
      </c>
      <c r="I615" s="44">
        <f t="shared" si="176"/>
        <v>2925.4</v>
      </c>
      <c r="J615" s="300">
        <f t="shared" si="166"/>
        <v>0</v>
      </c>
      <c r="K615" s="44">
        <f t="shared" si="176"/>
        <v>1116.8</v>
      </c>
      <c r="L615" s="44">
        <f t="shared" si="176"/>
        <v>2925.4</v>
      </c>
      <c r="M615" s="300">
        <f t="shared" si="173"/>
        <v>0</v>
      </c>
      <c r="N615" s="44">
        <f t="shared" si="176"/>
        <v>1116.8</v>
      </c>
      <c r="O615" s="300">
        <f t="shared" si="167"/>
        <v>0</v>
      </c>
      <c r="P615" s="44">
        <f t="shared" si="176"/>
        <v>1116.8</v>
      </c>
      <c r="Q615" s="44">
        <f t="shared" si="176"/>
        <v>1116.8</v>
      </c>
      <c r="R615" s="333">
        <f t="shared" si="169"/>
        <v>0</v>
      </c>
      <c r="S615" s="43"/>
      <c r="T615" s="43"/>
      <c r="U615" s="43"/>
    </row>
    <row r="616" spans="2:21" s="47" customFormat="1" ht="17.25" customHeight="1" x14ac:dyDescent="0.2">
      <c r="B616" s="59" t="s">
        <v>152</v>
      </c>
      <c r="C616" s="48" t="s">
        <v>696</v>
      </c>
      <c r="D616" s="48" t="s">
        <v>97</v>
      </c>
      <c r="E616" s="48" t="s">
        <v>111</v>
      </c>
      <c r="F616" s="49"/>
      <c r="G616" s="71"/>
      <c r="H616" s="44">
        <f t="shared" si="176"/>
        <v>2925.4</v>
      </c>
      <c r="I616" s="44">
        <f t="shared" si="176"/>
        <v>2925.4</v>
      </c>
      <c r="J616" s="300">
        <f t="shared" si="166"/>
        <v>0</v>
      </c>
      <c r="K616" s="44">
        <f t="shared" si="176"/>
        <v>1116.8</v>
      </c>
      <c r="L616" s="44">
        <f t="shared" si="176"/>
        <v>2925.4</v>
      </c>
      <c r="M616" s="300">
        <f t="shared" si="173"/>
        <v>0</v>
      </c>
      <c r="N616" s="44">
        <f t="shared" si="176"/>
        <v>1116.8</v>
      </c>
      <c r="O616" s="300">
        <f t="shared" si="167"/>
        <v>0</v>
      </c>
      <c r="P616" s="44">
        <f t="shared" si="176"/>
        <v>1116.8</v>
      </c>
      <c r="Q616" s="44">
        <f t="shared" si="176"/>
        <v>1116.8</v>
      </c>
      <c r="R616" s="333">
        <f t="shared" si="169"/>
        <v>0</v>
      </c>
      <c r="S616" s="43"/>
      <c r="T616" s="43"/>
      <c r="U616" s="43"/>
    </row>
    <row r="617" spans="2:21" s="47" customFormat="1" ht="39" customHeight="1" x14ac:dyDescent="0.2">
      <c r="B617" s="64" t="s">
        <v>135</v>
      </c>
      <c r="C617" s="53" t="s">
        <v>696</v>
      </c>
      <c r="D617" s="53" t="s">
        <v>97</v>
      </c>
      <c r="E617" s="53" t="s">
        <v>111</v>
      </c>
      <c r="F617" s="54" t="s">
        <v>134</v>
      </c>
      <c r="G617" s="53"/>
      <c r="H617" s="52">
        <f t="shared" si="176"/>
        <v>2925.4</v>
      </c>
      <c r="I617" s="52">
        <f t="shared" si="176"/>
        <v>2925.4</v>
      </c>
      <c r="J617" s="300">
        <f t="shared" si="166"/>
        <v>0</v>
      </c>
      <c r="K617" s="52">
        <f t="shared" si="176"/>
        <v>1116.8</v>
      </c>
      <c r="L617" s="52">
        <f t="shared" si="176"/>
        <v>2925.4</v>
      </c>
      <c r="M617" s="300">
        <f t="shared" si="173"/>
        <v>0</v>
      </c>
      <c r="N617" s="52">
        <f t="shared" si="176"/>
        <v>1116.8</v>
      </c>
      <c r="O617" s="300">
        <f t="shared" si="167"/>
        <v>0</v>
      </c>
      <c r="P617" s="52">
        <f t="shared" si="176"/>
        <v>1116.8</v>
      </c>
      <c r="Q617" s="52">
        <f t="shared" si="176"/>
        <v>1116.8</v>
      </c>
      <c r="R617" s="333">
        <f t="shared" si="169"/>
        <v>0</v>
      </c>
      <c r="S617" s="43"/>
      <c r="T617" s="43"/>
      <c r="U617" s="43"/>
    </row>
    <row r="618" spans="2:21" s="47" customFormat="1" ht="18" customHeight="1" x14ac:dyDescent="0.2">
      <c r="B618" s="77" t="s">
        <v>52</v>
      </c>
      <c r="C618" s="53" t="s">
        <v>696</v>
      </c>
      <c r="D618" s="53" t="s">
        <v>97</v>
      </c>
      <c r="E618" s="53" t="s">
        <v>111</v>
      </c>
      <c r="F618" s="54" t="s">
        <v>133</v>
      </c>
      <c r="G618" s="53"/>
      <c r="H618" s="52">
        <f t="shared" si="176"/>
        <v>2925.4</v>
      </c>
      <c r="I618" s="52">
        <f t="shared" si="176"/>
        <v>2925.4</v>
      </c>
      <c r="J618" s="300">
        <f t="shared" si="166"/>
        <v>0</v>
      </c>
      <c r="K618" s="52">
        <f t="shared" si="176"/>
        <v>1116.8</v>
      </c>
      <c r="L618" s="52">
        <f t="shared" si="176"/>
        <v>2925.4</v>
      </c>
      <c r="M618" s="300">
        <f t="shared" si="173"/>
        <v>0</v>
      </c>
      <c r="N618" s="52">
        <f t="shared" si="176"/>
        <v>1116.8</v>
      </c>
      <c r="O618" s="300">
        <f t="shared" si="167"/>
        <v>0</v>
      </c>
      <c r="P618" s="52">
        <f t="shared" si="176"/>
        <v>1116.8</v>
      </c>
      <c r="Q618" s="52">
        <f t="shared" si="176"/>
        <v>1116.8</v>
      </c>
      <c r="R618" s="333">
        <f t="shared" si="169"/>
        <v>0</v>
      </c>
      <c r="S618" s="43"/>
      <c r="T618" s="43"/>
      <c r="U618" s="43"/>
    </row>
    <row r="619" spans="2:21" s="47" customFormat="1" ht="52.5" customHeight="1" x14ac:dyDescent="0.2">
      <c r="B619" s="56" t="s">
        <v>132</v>
      </c>
      <c r="C619" s="53" t="s">
        <v>696</v>
      </c>
      <c r="D619" s="53" t="s">
        <v>97</v>
      </c>
      <c r="E619" s="53" t="s">
        <v>111</v>
      </c>
      <c r="F619" s="54" t="s">
        <v>131</v>
      </c>
      <c r="G619" s="53"/>
      <c r="H619" s="52">
        <f t="shared" si="176"/>
        <v>2925.4</v>
      </c>
      <c r="I619" s="52">
        <f t="shared" si="176"/>
        <v>2925.4</v>
      </c>
      <c r="J619" s="300">
        <f t="shared" si="166"/>
        <v>0</v>
      </c>
      <c r="K619" s="52">
        <f t="shared" si="176"/>
        <v>1116.8</v>
      </c>
      <c r="L619" s="52">
        <f t="shared" si="176"/>
        <v>2925.4</v>
      </c>
      <c r="M619" s="300">
        <f t="shared" si="173"/>
        <v>0</v>
      </c>
      <c r="N619" s="52">
        <f t="shared" si="176"/>
        <v>1116.8</v>
      </c>
      <c r="O619" s="300">
        <f t="shared" si="167"/>
        <v>0</v>
      </c>
      <c r="P619" s="52">
        <f t="shared" si="176"/>
        <v>1116.8</v>
      </c>
      <c r="Q619" s="52">
        <f t="shared" si="176"/>
        <v>1116.8</v>
      </c>
      <c r="R619" s="333">
        <f t="shared" si="169"/>
        <v>0</v>
      </c>
      <c r="S619" s="43"/>
      <c r="T619" s="43"/>
      <c r="U619" s="43"/>
    </row>
    <row r="620" spans="2:21" s="47" customFormat="1" ht="67.5" customHeight="1" x14ac:dyDescent="0.2">
      <c r="B620" s="56" t="s">
        <v>130</v>
      </c>
      <c r="C620" s="53" t="s">
        <v>696</v>
      </c>
      <c r="D620" s="53" t="s">
        <v>97</v>
      </c>
      <c r="E620" s="53" t="s">
        <v>111</v>
      </c>
      <c r="F620" s="54" t="s">
        <v>128</v>
      </c>
      <c r="G620" s="53"/>
      <c r="H620" s="52">
        <f t="shared" si="176"/>
        <v>2925.4</v>
      </c>
      <c r="I620" s="52">
        <f t="shared" si="176"/>
        <v>2925.4</v>
      </c>
      <c r="J620" s="300">
        <f t="shared" si="166"/>
        <v>0</v>
      </c>
      <c r="K620" s="52">
        <f t="shared" si="176"/>
        <v>1116.8</v>
      </c>
      <c r="L620" s="52">
        <f t="shared" si="176"/>
        <v>2925.4</v>
      </c>
      <c r="M620" s="300">
        <f t="shared" si="173"/>
        <v>0</v>
      </c>
      <c r="N620" s="52">
        <f t="shared" si="176"/>
        <v>1116.8</v>
      </c>
      <c r="O620" s="300">
        <f t="shared" si="167"/>
        <v>0</v>
      </c>
      <c r="P620" s="52">
        <f t="shared" si="176"/>
        <v>1116.8</v>
      </c>
      <c r="Q620" s="52">
        <f t="shared" si="176"/>
        <v>1116.8</v>
      </c>
      <c r="R620" s="333">
        <f t="shared" si="169"/>
        <v>0</v>
      </c>
      <c r="S620" s="43"/>
      <c r="T620" s="43"/>
      <c r="U620" s="43"/>
    </row>
    <row r="621" spans="2:21" s="47" customFormat="1" ht="15.75" customHeight="1" x14ac:dyDescent="0.2">
      <c r="B621" s="64" t="s">
        <v>129</v>
      </c>
      <c r="C621" s="53" t="s">
        <v>696</v>
      </c>
      <c r="D621" s="53" t="s">
        <v>97</v>
      </c>
      <c r="E621" s="53" t="s">
        <v>111</v>
      </c>
      <c r="F621" s="54" t="s">
        <v>128</v>
      </c>
      <c r="G621" s="53" t="s">
        <v>127</v>
      </c>
      <c r="H621" s="52">
        <v>2925.4</v>
      </c>
      <c r="I621" s="52">
        <v>2925.4</v>
      </c>
      <c r="J621" s="300">
        <f t="shared" si="166"/>
        <v>0</v>
      </c>
      <c r="K621" s="52">
        <v>1116.8</v>
      </c>
      <c r="L621" s="52">
        <v>2925.4</v>
      </c>
      <c r="M621" s="300">
        <f t="shared" si="173"/>
        <v>0</v>
      </c>
      <c r="N621" s="52">
        <v>1116.8</v>
      </c>
      <c r="O621" s="300">
        <f t="shared" si="167"/>
        <v>0</v>
      </c>
      <c r="P621" s="52">
        <v>1116.8</v>
      </c>
      <c r="Q621" s="52">
        <v>1116.8</v>
      </c>
      <c r="R621" s="333">
        <f t="shared" si="169"/>
        <v>0</v>
      </c>
      <c r="S621" s="43"/>
      <c r="T621" s="43"/>
      <c r="U621" s="43"/>
    </row>
    <row r="622" spans="2:21" s="43" customFormat="1" ht="25.5" x14ac:dyDescent="0.2">
      <c r="B622" s="138" t="s">
        <v>697</v>
      </c>
      <c r="C622" s="48" t="s">
        <v>698</v>
      </c>
      <c r="D622" s="48"/>
      <c r="E622" s="48"/>
      <c r="F622" s="48"/>
      <c r="G622" s="48"/>
      <c r="H622" s="44">
        <f>H638+H750+H631+H623+H769</f>
        <v>406476.7</v>
      </c>
      <c r="I622" s="44">
        <f>I638+I750+I631+I623+I769</f>
        <v>402607.80000000005</v>
      </c>
      <c r="J622" s="300">
        <f t="shared" si="166"/>
        <v>-3868.8999999999651</v>
      </c>
      <c r="K622" s="44">
        <f>K638+K750+K631+K623+K769</f>
        <v>362603.60000000003</v>
      </c>
      <c r="L622" s="44">
        <f>L638+L750+L631+L623+L769</f>
        <v>401928.00000000006</v>
      </c>
      <c r="M622" s="300">
        <f t="shared" si="173"/>
        <v>-679.79999999998836</v>
      </c>
      <c r="N622" s="44">
        <f>N638+N750+N631+N623+N769</f>
        <v>362603.60000000003</v>
      </c>
      <c r="O622" s="300">
        <f t="shared" si="167"/>
        <v>0</v>
      </c>
      <c r="P622" s="44">
        <f>P638+P750+P631+P623+P769</f>
        <v>434141.4</v>
      </c>
      <c r="Q622" s="44">
        <f>Q638+Q750+Q631+Q623+Q769</f>
        <v>434141.4</v>
      </c>
      <c r="R622" s="333">
        <f t="shared" si="169"/>
        <v>0</v>
      </c>
    </row>
    <row r="623" spans="2:21" s="43" customFormat="1" x14ac:dyDescent="0.2">
      <c r="B623" s="175" t="s">
        <v>674</v>
      </c>
      <c r="C623" s="48" t="s">
        <v>698</v>
      </c>
      <c r="D623" s="48" t="s">
        <v>111</v>
      </c>
      <c r="E623" s="48"/>
      <c r="F623" s="48"/>
      <c r="G623" s="48"/>
      <c r="H623" s="44">
        <f t="shared" ref="H623:Q628" si="177">H624</f>
        <v>50</v>
      </c>
      <c r="I623" s="44">
        <f t="shared" si="177"/>
        <v>50</v>
      </c>
      <c r="J623" s="300">
        <f t="shared" si="166"/>
        <v>0</v>
      </c>
      <c r="K623" s="44">
        <f t="shared" si="177"/>
        <v>50</v>
      </c>
      <c r="L623" s="44">
        <f t="shared" si="177"/>
        <v>50</v>
      </c>
      <c r="M623" s="300">
        <f t="shared" si="173"/>
        <v>0</v>
      </c>
      <c r="N623" s="44">
        <f t="shared" si="177"/>
        <v>50</v>
      </c>
      <c r="O623" s="300">
        <f t="shared" si="167"/>
        <v>0</v>
      </c>
      <c r="P623" s="44">
        <f t="shared" si="177"/>
        <v>50</v>
      </c>
      <c r="Q623" s="44">
        <f t="shared" si="177"/>
        <v>50</v>
      </c>
      <c r="R623" s="333">
        <f t="shared" si="169"/>
        <v>0</v>
      </c>
    </row>
    <row r="624" spans="2:21" s="43" customFormat="1" ht="25.5" x14ac:dyDescent="0.2">
      <c r="B624" s="138" t="s">
        <v>506</v>
      </c>
      <c r="C624" s="48" t="s">
        <v>698</v>
      </c>
      <c r="D624" s="48" t="s">
        <v>111</v>
      </c>
      <c r="E624" s="48" t="s">
        <v>489</v>
      </c>
      <c r="F624" s="48"/>
      <c r="G624" s="48"/>
      <c r="H624" s="44">
        <f t="shared" si="177"/>
        <v>50</v>
      </c>
      <c r="I624" s="44">
        <f t="shared" si="177"/>
        <v>50</v>
      </c>
      <c r="J624" s="300">
        <f t="shared" si="166"/>
        <v>0</v>
      </c>
      <c r="K624" s="44">
        <f t="shared" si="177"/>
        <v>50</v>
      </c>
      <c r="L624" s="44">
        <f t="shared" si="177"/>
        <v>50</v>
      </c>
      <c r="M624" s="300">
        <f t="shared" si="173"/>
        <v>0</v>
      </c>
      <c r="N624" s="44">
        <f t="shared" si="177"/>
        <v>50</v>
      </c>
      <c r="O624" s="300">
        <f t="shared" si="167"/>
        <v>0</v>
      </c>
      <c r="P624" s="44">
        <f t="shared" si="177"/>
        <v>50</v>
      </c>
      <c r="Q624" s="44">
        <f t="shared" si="177"/>
        <v>50</v>
      </c>
      <c r="R624" s="333">
        <f t="shared" si="169"/>
        <v>0</v>
      </c>
    </row>
    <row r="625" spans="2:21" s="43" customFormat="1" ht="15.75" customHeight="1" x14ac:dyDescent="0.2">
      <c r="B625" s="108" t="s">
        <v>471</v>
      </c>
      <c r="C625" s="53" t="s">
        <v>698</v>
      </c>
      <c r="D625" s="53" t="s">
        <v>111</v>
      </c>
      <c r="E625" s="53" t="s">
        <v>489</v>
      </c>
      <c r="F625" s="53" t="s">
        <v>470</v>
      </c>
      <c r="G625" s="53"/>
      <c r="H625" s="52">
        <f t="shared" si="177"/>
        <v>50</v>
      </c>
      <c r="I625" s="52">
        <f t="shared" si="177"/>
        <v>50</v>
      </c>
      <c r="J625" s="300">
        <f t="shared" si="166"/>
        <v>0</v>
      </c>
      <c r="K625" s="52">
        <f t="shared" si="177"/>
        <v>50</v>
      </c>
      <c r="L625" s="52">
        <f t="shared" si="177"/>
        <v>50</v>
      </c>
      <c r="M625" s="300">
        <f t="shared" si="173"/>
        <v>0</v>
      </c>
      <c r="N625" s="52">
        <f t="shared" si="177"/>
        <v>50</v>
      </c>
      <c r="O625" s="300">
        <f t="shared" si="167"/>
        <v>0</v>
      </c>
      <c r="P625" s="52">
        <f t="shared" si="177"/>
        <v>50</v>
      </c>
      <c r="Q625" s="52">
        <f t="shared" si="177"/>
        <v>50</v>
      </c>
      <c r="R625" s="333">
        <f t="shared" si="169"/>
        <v>0</v>
      </c>
    </row>
    <row r="626" spans="2:21" s="43" customFormat="1" ht="13.5" customHeight="1" x14ac:dyDescent="0.2">
      <c r="B626" s="56" t="s">
        <v>52</v>
      </c>
      <c r="C626" s="53" t="s">
        <v>698</v>
      </c>
      <c r="D626" s="53" t="s">
        <v>111</v>
      </c>
      <c r="E626" s="53" t="s">
        <v>489</v>
      </c>
      <c r="F626" s="53" t="s">
        <v>462</v>
      </c>
      <c r="G626" s="53"/>
      <c r="H626" s="52">
        <f t="shared" si="177"/>
        <v>50</v>
      </c>
      <c r="I626" s="52">
        <f t="shared" si="177"/>
        <v>50</v>
      </c>
      <c r="J626" s="300">
        <f t="shared" si="166"/>
        <v>0</v>
      </c>
      <c r="K626" s="52">
        <f t="shared" si="177"/>
        <v>50</v>
      </c>
      <c r="L626" s="52">
        <f t="shared" si="177"/>
        <v>50</v>
      </c>
      <c r="M626" s="300">
        <f t="shared" si="173"/>
        <v>0</v>
      </c>
      <c r="N626" s="52">
        <f t="shared" si="177"/>
        <v>50</v>
      </c>
      <c r="O626" s="300">
        <f t="shared" si="167"/>
        <v>0</v>
      </c>
      <c r="P626" s="52">
        <f t="shared" si="177"/>
        <v>50</v>
      </c>
      <c r="Q626" s="52">
        <f t="shared" si="177"/>
        <v>50</v>
      </c>
      <c r="R626" s="333">
        <f t="shared" si="169"/>
        <v>0</v>
      </c>
    </row>
    <row r="627" spans="2:21" s="43" customFormat="1" ht="14.25" customHeight="1" x14ac:dyDescent="0.2">
      <c r="B627" s="117" t="s">
        <v>457</v>
      </c>
      <c r="C627" s="53" t="s">
        <v>698</v>
      </c>
      <c r="D627" s="53" t="s">
        <v>111</v>
      </c>
      <c r="E627" s="53" t="s">
        <v>489</v>
      </c>
      <c r="F627" s="53" t="s">
        <v>456</v>
      </c>
      <c r="G627" s="53"/>
      <c r="H627" s="52">
        <f t="shared" si="177"/>
        <v>50</v>
      </c>
      <c r="I627" s="52">
        <f t="shared" si="177"/>
        <v>50</v>
      </c>
      <c r="J627" s="300">
        <f t="shared" si="166"/>
        <v>0</v>
      </c>
      <c r="K627" s="52">
        <f t="shared" si="177"/>
        <v>50</v>
      </c>
      <c r="L627" s="52">
        <f t="shared" si="177"/>
        <v>50</v>
      </c>
      <c r="M627" s="300">
        <f t="shared" si="173"/>
        <v>0</v>
      </c>
      <c r="N627" s="52">
        <f t="shared" si="177"/>
        <v>50</v>
      </c>
      <c r="O627" s="300">
        <f t="shared" si="167"/>
        <v>0</v>
      </c>
      <c r="P627" s="52">
        <f t="shared" si="177"/>
        <v>50</v>
      </c>
      <c r="Q627" s="52">
        <f t="shared" si="177"/>
        <v>50</v>
      </c>
      <c r="R627" s="333">
        <f t="shared" si="169"/>
        <v>0</v>
      </c>
    </row>
    <row r="628" spans="2:21" s="43" customFormat="1" ht="26.25" customHeight="1" x14ac:dyDescent="0.2">
      <c r="B628" s="56" t="s">
        <v>448</v>
      </c>
      <c r="C628" s="53" t="s">
        <v>698</v>
      </c>
      <c r="D628" s="53" t="s">
        <v>111</v>
      </c>
      <c r="E628" s="53" t="s">
        <v>489</v>
      </c>
      <c r="F628" s="54" t="s">
        <v>505</v>
      </c>
      <c r="G628" s="53"/>
      <c r="H628" s="52">
        <f t="shared" si="177"/>
        <v>50</v>
      </c>
      <c r="I628" s="52">
        <f>I629+I630</f>
        <v>50</v>
      </c>
      <c r="J628" s="52">
        <f t="shared" ref="J628:Q628" si="178">J629+J630</f>
        <v>0</v>
      </c>
      <c r="K628" s="52">
        <f t="shared" si="178"/>
        <v>50</v>
      </c>
      <c r="L628" s="52">
        <f t="shared" si="178"/>
        <v>50</v>
      </c>
      <c r="M628" s="300">
        <f t="shared" si="173"/>
        <v>0</v>
      </c>
      <c r="N628" s="52">
        <f t="shared" si="178"/>
        <v>50</v>
      </c>
      <c r="O628" s="52">
        <f t="shared" si="178"/>
        <v>0</v>
      </c>
      <c r="P628" s="52">
        <f t="shared" si="178"/>
        <v>50</v>
      </c>
      <c r="Q628" s="52">
        <f t="shared" si="178"/>
        <v>50</v>
      </c>
      <c r="R628" s="333">
        <f t="shared" si="169"/>
        <v>0</v>
      </c>
    </row>
    <row r="629" spans="2:21" s="43" customFormat="1" ht="26.25" customHeight="1" x14ac:dyDescent="0.2">
      <c r="B629" s="56" t="s">
        <v>73</v>
      </c>
      <c r="C629" s="53" t="s">
        <v>698</v>
      </c>
      <c r="D629" s="53" t="s">
        <v>111</v>
      </c>
      <c r="E629" s="53" t="s">
        <v>489</v>
      </c>
      <c r="F629" s="54" t="s">
        <v>505</v>
      </c>
      <c r="G629" s="53" t="s">
        <v>70</v>
      </c>
      <c r="H629" s="52">
        <v>50</v>
      </c>
      <c r="I629" s="52">
        <v>50</v>
      </c>
      <c r="J629" s="300">
        <f t="shared" si="166"/>
        <v>0</v>
      </c>
      <c r="K629" s="52">
        <v>50</v>
      </c>
      <c r="L629" s="52">
        <f>50-10</f>
        <v>40</v>
      </c>
      <c r="M629" s="300">
        <f t="shared" si="173"/>
        <v>-10</v>
      </c>
      <c r="N629" s="52">
        <v>50</v>
      </c>
      <c r="O629" s="300">
        <f t="shared" si="167"/>
        <v>0</v>
      </c>
      <c r="P629" s="52">
        <v>50</v>
      </c>
      <c r="Q629" s="52">
        <v>50</v>
      </c>
      <c r="R629" s="333">
        <f t="shared" si="169"/>
        <v>0</v>
      </c>
    </row>
    <row r="630" spans="2:21" s="43" customFormat="1" ht="13.5" customHeight="1" x14ac:dyDescent="0.2">
      <c r="B630" s="97" t="s">
        <v>98</v>
      </c>
      <c r="C630" s="53" t="s">
        <v>698</v>
      </c>
      <c r="D630" s="53" t="s">
        <v>111</v>
      </c>
      <c r="E630" s="53" t="s">
        <v>489</v>
      </c>
      <c r="F630" s="54" t="s">
        <v>505</v>
      </c>
      <c r="G630" s="53" t="s">
        <v>81</v>
      </c>
      <c r="H630" s="52"/>
      <c r="I630" s="52">
        <v>0</v>
      </c>
      <c r="J630" s="300"/>
      <c r="K630" s="52"/>
      <c r="L630" s="52">
        <v>10</v>
      </c>
      <c r="M630" s="300">
        <f t="shared" si="173"/>
        <v>10</v>
      </c>
      <c r="N630" s="52">
        <v>0</v>
      </c>
      <c r="O630" s="300"/>
      <c r="P630" s="52"/>
      <c r="Q630" s="52">
        <v>0</v>
      </c>
      <c r="R630" s="333"/>
    </row>
    <row r="631" spans="2:21" s="43" customFormat="1" x14ac:dyDescent="0.2">
      <c r="B631" s="138" t="s">
        <v>682</v>
      </c>
      <c r="C631" s="48" t="s">
        <v>698</v>
      </c>
      <c r="D631" s="48" t="s">
        <v>96</v>
      </c>
      <c r="E631" s="48"/>
      <c r="F631" s="48"/>
      <c r="G631" s="48"/>
      <c r="H631" s="44">
        <f t="shared" ref="H631:Q636" si="179">H632</f>
        <v>30</v>
      </c>
      <c r="I631" s="44">
        <f t="shared" si="179"/>
        <v>30</v>
      </c>
      <c r="J631" s="300">
        <f t="shared" ref="J631:J695" si="180">I631-H631</f>
        <v>0</v>
      </c>
      <c r="K631" s="44">
        <f t="shared" si="179"/>
        <v>30</v>
      </c>
      <c r="L631" s="44">
        <f t="shared" si="179"/>
        <v>30</v>
      </c>
      <c r="M631" s="300">
        <f t="shared" si="173"/>
        <v>0</v>
      </c>
      <c r="N631" s="44">
        <f t="shared" si="179"/>
        <v>30</v>
      </c>
      <c r="O631" s="300">
        <f t="shared" ref="O631:O695" si="181">N631-K631</f>
        <v>0</v>
      </c>
      <c r="P631" s="44">
        <f t="shared" si="179"/>
        <v>30</v>
      </c>
      <c r="Q631" s="44">
        <f t="shared" si="179"/>
        <v>30</v>
      </c>
      <c r="R631" s="333">
        <f t="shared" si="169"/>
        <v>0</v>
      </c>
    </row>
    <row r="632" spans="2:21" s="43" customFormat="1" x14ac:dyDescent="0.2">
      <c r="B632" s="138" t="s">
        <v>301</v>
      </c>
      <c r="C632" s="48" t="s">
        <v>698</v>
      </c>
      <c r="D632" s="48" t="s">
        <v>96</v>
      </c>
      <c r="E632" s="48" t="s">
        <v>59</v>
      </c>
      <c r="F632" s="48"/>
      <c r="G632" s="48"/>
      <c r="H632" s="44">
        <f t="shared" si="179"/>
        <v>30</v>
      </c>
      <c r="I632" s="44">
        <f t="shared" si="179"/>
        <v>30</v>
      </c>
      <c r="J632" s="300">
        <f t="shared" si="180"/>
        <v>0</v>
      </c>
      <c r="K632" s="44">
        <f t="shared" si="179"/>
        <v>30</v>
      </c>
      <c r="L632" s="44">
        <f t="shared" si="179"/>
        <v>30</v>
      </c>
      <c r="M632" s="300">
        <f t="shared" si="173"/>
        <v>0</v>
      </c>
      <c r="N632" s="44">
        <f t="shared" si="179"/>
        <v>30</v>
      </c>
      <c r="O632" s="300">
        <f t="shared" si="181"/>
        <v>0</v>
      </c>
      <c r="P632" s="44">
        <f t="shared" si="179"/>
        <v>30</v>
      </c>
      <c r="Q632" s="44">
        <f t="shared" si="179"/>
        <v>30</v>
      </c>
      <c r="R632" s="333">
        <f t="shared" si="169"/>
        <v>0</v>
      </c>
    </row>
    <row r="633" spans="2:21" s="32" customFormat="1" ht="29.25" customHeight="1" x14ac:dyDescent="0.2">
      <c r="B633" s="56" t="s">
        <v>300</v>
      </c>
      <c r="C633" s="53" t="s">
        <v>698</v>
      </c>
      <c r="D633" s="53" t="s">
        <v>96</v>
      </c>
      <c r="E633" s="53" t="s">
        <v>59</v>
      </c>
      <c r="F633" s="53" t="s">
        <v>109</v>
      </c>
      <c r="G633" s="53"/>
      <c r="H633" s="52">
        <f>H634</f>
        <v>30</v>
      </c>
      <c r="I633" s="52">
        <f>I634</f>
        <v>30</v>
      </c>
      <c r="J633" s="300">
        <f t="shared" si="180"/>
        <v>0</v>
      </c>
      <c r="K633" s="52">
        <f t="shared" si="179"/>
        <v>30</v>
      </c>
      <c r="L633" s="52">
        <f>L634</f>
        <v>30</v>
      </c>
      <c r="M633" s="300">
        <f t="shared" si="173"/>
        <v>0</v>
      </c>
      <c r="N633" s="52">
        <f t="shared" si="179"/>
        <v>30</v>
      </c>
      <c r="O633" s="300">
        <f t="shared" si="181"/>
        <v>0</v>
      </c>
      <c r="P633" s="52">
        <f t="shared" si="179"/>
        <v>30</v>
      </c>
      <c r="Q633" s="52">
        <f t="shared" si="179"/>
        <v>30</v>
      </c>
      <c r="R633" s="333">
        <f t="shared" si="169"/>
        <v>0</v>
      </c>
    </row>
    <row r="634" spans="2:21" s="32" customFormat="1" ht="14.25" customHeight="1" x14ac:dyDescent="0.2">
      <c r="B634" s="62" t="s">
        <v>52</v>
      </c>
      <c r="C634" s="53"/>
      <c r="D634" s="53"/>
      <c r="E634" s="53"/>
      <c r="F634" s="53" t="s">
        <v>286</v>
      </c>
      <c r="G634" s="53"/>
      <c r="H634" s="52">
        <f>H635</f>
        <v>30</v>
      </c>
      <c r="I634" s="52">
        <f>I635</f>
        <v>30</v>
      </c>
      <c r="J634" s="300">
        <f t="shared" si="180"/>
        <v>0</v>
      </c>
      <c r="K634" s="52">
        <f>K635</f>
        <v>30</v>
      </c>
      <c r="L634" s="52">
        <f>L635</f>
        <v>30</v>
      </c>
      <c r="M634" s="300">
        <f t="shared" si="173"/>
        <v>0</v>
      </c>
      <c r="N634" s="52">
        <f>N635</f>
        <v>30</v>
      </c>
      <c r="O634" s="300">
        <f t="shared" si="181"/>
        <v>0</v>
      </c>
      <c r="P634" s="52">
        <f>P635</f>
        <v>30</v>
      </c>
      <c r="Q634" s="52">
        <f>Q635</f>
        <v>30</v>
      </c>
      <c r="R634" s="333">
        <f t="shared" si="169"/>
        <v>0</v>
      </c>
    </row>
    <row r="635" spans="2:21" s="32" customFormat="1" ht="25.5" x14ac:dyDescent="0.2">
      <c r="B635" s="84" t="s">
        <v>281</v>
      </c>
      <c r="C635" s="53" t="s">
        <v>698</v>
      </c>
      <c r="D635" s="53" t="s">
        <v>96</v>
      </c>
      <c r="E635" s="53" t="s">
        <v>59</v>
      </c>
      <c r="F635" s="54" t="s">
        <v>280</v>
      </c>
      <c r="G635" s="53"/>
      <c r="H635" s="52">
        <f t="shared" si="179"/>
        <v>30</v>
      </c>
      <c r="I635" s="52">
        <f t="shared" si="179"/>
        <v>30</v>
      </c>
      <c r="J635" s="300">
        <f t="shared" si="180"/>
        <v>0</v>
      </c>
      <c r="K635" s="52">
        <f t="shared" si="179"/>
        <v>30</v>
      </c>
      <c r="L635" s="52">
        <f t="shared" si="179"/>
        <v>30</v>
      </c>
      <c r="M635" s="300">
        <f t="shared" si="173"/>
        <v>0</v>
      </c>
      <c r="N635" s="52">
        <f t="shared" si="179"/>
        <v>30</v>
      </c>
      <c r="O635" s="300">
        <f t="shared" si="181"/>
        <v>0</v>
      </c>
      <c r="P635" s="52">
        <f t="shared" si="179"/>
        <v>30</v>
      </c>
      <c r="Q635" s="52">
        <f t="shared" si="179"/>
        <v>30</v>
      </c>
      <c r="R635" s="333">
        <f t="shared" si="169"/>
        <v>0</v>
      </c>
    </row>
    <row r="636" spans="2:21" s="32" customFormat="1" x14ac:dyDescent="0.2">
      <c r="B636" s="191" t="s">
        <v>279</v>
      </c>
      <c r="C636" s="53" t="s">
        <v>698</v>
      </c>
      <c r="D636" s="53" t="s">
        <v>96</v>
      </c>
      <c r="E636" s="53" t="s">
        <v>59</v>
      </c>
      <c r="F636" s="54" t="s">
        <v>278</v>
      </c>
      <c r="G636" s="53"/>
      <c r="H636" s="52">
        <f t="shared" si="179"/>
        <v>30</v>
      </c>
      <c r="I636" s="52">
        <f t="shared" si="179"/>
        <v>30</v>
      </c>
      <c r="J636" s="300">
        <f t="shared" si="180"/>
        <v>0</v>
      </c>
      <c r="K636" s="52">
        <f t="shared" si="179"/>
        <v>30</v>
      </c>
      <c r="L636" s="52">
        <f t="shared" si="179"/>
        <v>30</v>
      </c>
      <c r="M636" s="300">
        <f t="shared" si="173"/>
        <v>0</v>
      </c>
      <c r="N636" s="52">
        <f t="shared" si="179"/>
        <v>30</v>
      </c>
      <c r="O636" s="300">
        <f t="shared" si="181"/>
        <v>0</v>
      </c>
      <c r="P636" s="52">
        <f t="shared" si="179"/>
        <v>30</v>
      </c>
      <c r="Q636" s="52">
        <f t="shared" si="179"/>
        <v>30</v>
      </c>
      <c r="R636" s="333">
        <f t="shared" si="169"/>
        <v>0</v>
      </c>
    </row>
    <row r="637" spans="2:21" s="32" customFormat="1" x14ac:dyDescent="0.2">
      <c r="B637" s="95" t="s">
        <v>98</v>
      </c>
      <c r="C637" s="53" t="s">
        <v>698</v>
      </c>
      <c r="D637" s="53" t="s">
        <v>96</v>
      </c>
      <c r="E637" s="53" t="s">
        <v>59</v>
      </c>
      <c r="F637" s="54" t="s">
        <v>278</v>
      </c>
      <c r="G637" s="53" t="s">
        <v>81</v>
      </c>
      <c r="H637" s="52">
        <v>30</v>
      </c>
      <c r="I637" s="52">
        <v>30</v>
      </c>
      <c r="J637" s="300">
        <f t="shared" si="180"/>
        <v>0</v>
      </c>
      <c r="K637" s="52">
        <v>30</v>
      </c>
      <c r="L637" s="52">
        <v>30</v>
      </c>
      <c r="M637" s="300">
        <f t="shared" si="173"/>
        <v>0</v>
      </c>
      <c r="N637" s="52">
        <v>30</v>
      </c>
      <c r="O637" s="300">
        <f t="shared" si="181"/>
        <v>0</v>
      </c>
      <c r="P637" s="52">
        <v>30</v>
      </c>
      <c r="Q637" s="52">
        <v>30</v>
      </c>
      <c r="R637" s="333">
        <f t="shared" si="169"/>
        <v>0</v>
      </c>
    </row>
    <row r="638" spans="2:21" s="32" customFormat="1" x14ac:dyDescent="0.2">
      <c r="B638" s="175" t="s">
        <v>699</v>
      </c>
      <c r="C638" s="48" t="s">
        <v>698</v>
      </c>
      <c r="D638" s="48" t="s">
        <v>159</v>
      </c>
      <c r="E638" s="48"/>
      <c r="F638" s="48"/>
      <c r="G638" s="48"/>
      <c r="H638" s="44">
        <f>H639+H658+H735+H715</f>
        <v>404301.4</v>
      </c>
      <c r="I638" s="44">
        <f>I639+I658+I735+I715</f>
        <v>400432.50000000006</v>
      </c>
      <c r="J638" s="300">
        <f t="shared" si="180"/>
        <v>-3868.8999999999651</v>
      </c>
      <c r="K638" s="44">
        <f>K639+K658+K735+K715</f>
        <v>361062.00000000006</v>
      </c>
      <c r="L638" s="44">
        <f>L639+L658+L735+L715</f>
        <v>399681.30000000005</v>
      </c>
      <c r="M638" s="300">
        <f t="shared" si="173"/>
        <v>-751.20000000001164</v>
      </c>
      <c r="N638" s="44">
        <f>N639+N658+N735+N715</f>
        <v>361062.00000000006</v>
      </c>
      <c r="O638" s="300">
        <f t="shared" si="181"/>
        <v>0</v>
      </c>
      <c r="P638" s="44">
        <f>P639+P658+P735+P715</f>
        <v>432599.80000000005</v>
      </c>
      <c r="Q638" s="44">
        <f>Q639+Q658+Q735+Q715</f>
        <v>432599.80000000005</v>
      </c>
      <c r="R638" s="333">
        <f t="shared" ref="R638:R709" si="182">Q638-P638</f>
        <v>0</v>
      </c>
    </row>
    <row r="639" spans="2:21" s="32" customFormat="1" ht="12" customHeight="1" x14ac:dyDescent="0.2">
      <c r="B639" s="59" t="s">
        <v>276</v>
      </c>
      <c r="C639" s="48" t="s">
        <v>698</v>
      </c>
      <c r="D639" s="48" t="s">
        <v>159</v>
      </c>
      <c r="E639" s="48" t="s">
        <v>45</v>
      </c>
      <c r="F639" s="48"/>
      <c r="G639" s="48"/>
      <c r="H639" s="44">
        <f>H640</f>
        <v>92664.4</v>
      </c>
      <c r="I639" s="44">
        <f>I640</f>
        <v>93045.5</v>
      </c>
      <c r="J639" s="300">
        <f t="shared" si="180"/>
        <v>381.10000000000582</v>
      </c>
      <c r="K639" s="44">
        <f>K640</f>
        <v>93179.199999999997</v>
      </c>
      <c r="L639" s="44">
        <f>L640</f>
        <v>93045.5</v>
      </c>
      <c r="M639" s="300">
        <f t="shared" si="173"/>
        <v>0</v>
      </c>
      <c r="N639" s="44">
        <f>N640</f>
        <v>93179.199999999997</v>
      </c>
      <c r="O639" s="300">
        <f t="shared" si="181"/>
        <v>0</v>
      </c>
      <c r="P639" s="44">
        <f>P640</f>
        <v>93179.199999999997</v>
      </c>
      <c r="Q639" s="44">
        <f>Q640</f>
        <v>93179.199999999997</v>
      </c>
      <c r="R639" s="333">
        <f t="shared" si="182"/>
        <v>0</v>
      </c>
    </row>
    <row r="640" spans="2:21" s="51" customFormat="1" ht="26.25" customHeight="1" x14ac:dyDescent="0.2">
      <c r="B640" s="64" t="s">
        <v>142</v>
      </c>
      <c r="C640" s="53" t="s">
        <v>698</v>
      </c>
      <c r="D640" s="53" t="s">
        <v>159</v>
      </c>
      <c r="E640" s="53" t="s">
        <v>45</v>
      </c>
      <c r="F640" s="54" t="s">
        <v>141</v>
      </c>
      <c r="G640" s="53"/>
      <c r="H640" s="52">
        <f>H641+H649</f>
        <v>92664.4</v>
      </c>
      <c r="I640" s="52">
        <f>I641+I649</f>
        <v>93045.5</v>
      </c>
      <c r="J640" s="300">
        <f t="shared" si="180"/>
        <v>381.10000000000582</v>
      </c>
      <c r="K640" s="52">
        <f>K641+K649</f>
        <v>93179.199999999997</v>
      </c>
      <c r="L640" s="52">
        <f>L641+L649</f>
        <v>93045.5</v>
      </c>
      <c r="M640" s="300">
        <f t="shared" si="173"/>
        <v>0</v>
      </c>
      <c r="N640" s="52">
        <f>N641+N649</f>
        <v>93179.199999999997</v>
      </c>
      <c r="O640" s="300">
        <f t="shared" si="181"/>
        <v>0</v>
      </c>
      <c r="P640" s="52">
        <f>P641+P649</f>
        <v>93179.199999999997</v>
      </c>
      <c r="Q640" s="52">
        <f>Q641+Q649</f>
        <v>93179.199999999997</v>
      </c>
      <c r="R640" s="333">
        <f t="shared" si="182"/>
        <v>0</v>
      </c>
      <c r="S640" s="32"/>
      <c r="T640" s="32"/>
      <c r="U640" s="32"/>
    </row>
    <row r="641" spans="2:21" s="51" customFormat="1" ht="18" customHeight="1" x14ac:dyDescent="0.2">
      <c r="B641" s="106" t="s">
        <v>66</v>
      </c>
      <c r="C641" s="53" t="s">
        <v>698</v>
      </c>
      <c r="D641" s="53" t="s">
        <v>159</v>
      </c>
      <c r="E641" s="53" t="s">
        <v>45</v>
      </c>
      <c r="F641" s="74" t="s">
        <v>224</v>
      </c>
      <c r="G641" s="53"/>
      <c r="H641" s="104">
        <f>H642</f>
        <v>348.9</v>
      </c>
      <c r="I641" s="104">
        <f>I642</f>
        <v>820</v>
      </c>
      <c r="J641" s="300">
        <f t="shared" si="180"/>
        <v>471.1</v>
      </c>
      <c r="K641" s="104">
        <f>K642</f>
        <v>96.3</v>
      </c>
      <c r="L641" s="104">
        <f>L642</f>
        <v>820</v>
      </c>
      <c r="M641" s="300">
        <f t="shared" si="173"/>
        <v>0</v>
      </c>
      <c r="N641" s="104">
        <f>N642</f>
        <v>96.3</v>
      </c>
      <c r="O641" s="300">
        <f t="shared" si="181"/>
        <v>0</v>
      </c>
      <c r="P641" s="104">
        <f>P642</f>
        <v>96.3</v>
      </c>
      <c r="Q641" s="104">
        <f>Q642</f>
        <v>96.3</v>
      </c>
      <c r="R641" s="333">
        <f t="shared" si="182"/>
        <v>0</v>
      </c>
      <c r="S641" s="32"/>
      <c r="T641" s="32"/>
      <c r="U641" s="32"/>
    </row>
    <row r="642" spans="2:21" s="51" customFormat="1" ht="26.25" customHeight="1" x14ac:dyDescent="0.2">
      <c r="B642" s="76" t="s">
        <v>249</v>
      </c>
      <c r="C642" s="53" t="s">
        <v>698</v>
      </c>
      <c r="D642" s="53" t="s">
        <v>159</v>
      </c>
      <c r="E642" s="53" t="s">
        <v>45</v>
      </c>
      <c r="F642" s="74" t="s">
        <v>248</v>
      </c>
      <c r="G642" s="53"/>
      <c r="H642" s="104">
        <f>H645+H643+H647</f>
        <v>348.9</v>
      </c>
      <c r="I642" s="104">
        <f t="shared" ref="I642:Q642" si="183">I645+I643+I647</f>
        <v>820</v>
      </c>
      <c r="J642" s="300">
        <f t="shared" si="180"/>
        <v>471.1</v>
      </c>
      <c r="K642" s="104">
        <f t="shared" si="183"/>
        <v>96.3</v>
      </c>
      <c r="L642" s="104">
        <f t="shared" si="183"/>
        <v>820</v>
      </c>
      <c r="M642" s="300">
        <f t="shared" si="173"/>
        <v>0</v>
      </c>
      <c r="N642" s="104">
        <f t="shared" si="183"/>
        <v>96.3</v>
      </c>
      <c r="O642" s="300">
        <f t="shared" si="181"/>
        <v>0</v>
      </c>
      <c r="P642" s="104">
        <f t="shared" si="183"/>
        <v>96.3</v>
      </c>
      <c r="Q642" s="104">
        <f t="shared" si="183"/>
        <v>96.3</v>
      </c>
      <c r="R642" s="333">
        <f t="shared" si="182"/>
        <v>0</v>
      </c>
      <c r="S642" s="32"/>
      <c r="T642" s="32"/>
      <c r="U642" s="32"/>
    </row>
    <row r="643" spans="2:21" s="51" customFormat="1" ht="54" customHeight="1" x14ac:dyDescent="0.2">
      <c r="B643" s="75" t="s">
        <v>275</v>
      </c>
      <c r="C643" s="53" t="s">
        <v>698</v>
      </c>
      <c r="D643" s="53" t="s">
        <v>159</v>
      </c>
      <c r="E643" s="53" t="s">
        <v>45</v>
      </c>
      <c r="F643" s="103" t="s">
        <v>274</v>
      </c>
      <c r="G643" s="53"/>
      <c r="H643" s="104">
        <f>H644</f>
        <v>252.6</v>
      </c>
      <c r="I643" s="104">
        <f>I644</f>
        <v>123.7</v>
      </c>
      <c r="J643" s="300">
        <f t="shared" si="180"/>
        <v>-128.89999999999998</v>
      </c>
      <c r="K643" s="104">
        <f>K644</f>
        <v>0</v>
      </c>
      <c r="L643" s="104">
        <f>L644</f>
        <v>123.7</v>
      </c>
      <c r="M643" s="300">
        <f t="shared" si="173"/>
        <v>0</v>
      </c>
      <c r="N643" s="104">
        <f>N644</f>
        <v>0</v>
      </c>
      <c r="O643" s="300">
        <f t="shared" si="181"/>
        <v>0</v>
      </c>
      <c r="P643" s="104">
        <f>P644</f>
        <v>0</v>
      </c>
      <c r="Q643" s="104">
        <f>Q644</f>
        <v>0</v>
      </c>
      <c r="R643" s="333">
        <f t="shared" si="182"/>
        <v>0</v>
      </c>
      <c r="S643" s="32"/>
      <c r="T643" s="32"/>
      <c r="U643" s="32"/>
    </row>
    <row r="644" spans="2:21" s="51" customFormat="1" ht="16.5" customHeight="1" x14ac:dyDescent="0.2">
      <c r="B644" s="97" t="s">
        <v>98</v>
      </c>
      <c r="C644" s="53" t="s">
        <v>698</v>
      </c>
      <c r="D644" s="53" t="s">
        <v>159</v>
      </c>
      <c r="E644" s="53" t="s">
        <v>45</v>
      </c>
      <c r="F644" s="103" t="s">
        <v>274</v>
      </c>
      <c r="G644" s="53" t="s">
        <v>81</v>
      </c>
      <c r="H644" s="104">
        <f>245+7.6</f>
        <v>252.6</v>
      </c>
      <c r="I644" s="104">
        <f>252.6-252.6+120+3.7</f>
        <v>123.7</v>
      </c>
      <c r="J644" s="300">
        <f t="shared" si="180"/>
        <v>-128.89999999999998</v>
      </c>
      <c r="K644" s="104">
        <v>0</v>
      </c>
      <c r="L644" s="104">
        <f>252.6-252.6+120+3.7</f>
        <v>123.7</v>
      </c>
      <c r="M644" s="300">
        <f t="shared" si="173"/>
        <v>0</v>
      </c>
      <c r="N644" s="104">
        <v>0</v>
      </c>
      <c r="O644" s="300">
        <f t="shared" si="181"/>
        <v>0</v>
      </c>
      <c r="P644" s="104">
        <v>0</v>
      </c>
      <c r="Q644" s="104">
        <v>0</v>
      </c>
      <c r="R644" s="333">
        <f t="shared" si="182"/>
        <v>0</v>
      </c>
      <c r="S644" s="32"/>
      <c r="T644" s="32"/>
      <c r="U644" s="32"/>
    </row>
    <row r="645" spans="2:21" s="51" customFormat="1" ht="54.75" customHeight="1" x14ac:dyDescent="0.2">
      <c r="B645" s="75" t="s">
        <v>239</v>
      </c>
      <c r="C645" s="53" t="s">
        <v>698</v>
      </c>
      <c r="D645" s="53" t="s">
        <v>159</v>
      </c>
      <c r="E645" s="53" t="s">
        <v>45</v>
      </c>
      <c r="F645" s="103" t="s">
        <v>238</v>
      </c>
      <c r="G645" s="53"/>
      <c r="H645" s="104">
        <f>H646</f>
        <v>96.3</v>
      </c>
      <c r="I645" s="104">
        <f>I646</f>
        <v>96.3</v>
      </c>
      <c r="J645" s="300">
        <f t="shared" si="180"/>
        <v>0</v>
      </c>
      <c r="K645" s="104">
        <f>K646</f>
        <v>96.3</v>
      </c>
      <c r="L645" s="104">
        <f>L646</f>
        <v>96.3</v>
      </c>
      <c r="M645" s="300">
        <f t="shared" si="173"/>
        <v>0</v>
      </c>
      <c r="N645" s="104">
        <f>N646</f>
        <v>96.3</v>
      </c>
      <c r="O645" s="300">
        <f t="shared" si="181"/>
        <v>0</v>
      </c>
      <c r="P645" s="104">
        <f>P646</f>
        <v>96.3</v>
      </c>
      <c r="Q645" s="104">
        <f>Q646</f>
        <v>96.3</v>
      </c>
      <c r="R645" s="333">
        <f t="shared" si="182"/>
        <v>0</v>
      </c>
      <c r="S645" s="32"/>
      <c r="T645" s="32"/>
      <c r="U645" s="32"/>
    </row>
    <row r="646" spans="2:21" s="51" customFormat="1" ht="15" customHeight="1" x14ac:dyDescent="0.2">
      <c r="B646" s="97" t="s">
        <v>98</v>
      </c>
      <c r="C646" s="53" t="s">
        <v>698</v>
      </c>
      <c r="D646" s="53" t="s">
        <v>159</v>
      </c>
      <c r="E646" s="53" t="s">
        <v>45</v>
      </c>
      <c r="F646" s="103" t="s">
        <v>238</v>
      </c>
      <c r="G646" s="53" t="s">
        <v>81</v>
      </c>
      <c r="H646" s="104">
        <f>77+19.3</f>
        <v>96.3</v>
      </c>
      <c r="I646" s="104">
        <f>77+19.3</f>
        <v>96.3</v>
      </c>
      <c r="J646" s="300">
        <f t="shared" si="180"/>
        <v>0</v>
      </c>
      <c r="K646" s="104">
        <f>77+19.3</f>
        <v>96.3</v>
      </c>
      <c r="L646" s="104">
        <f>77+19.3</f>
        <v>96.3</v>
      </c>
      <c r="M646" s="300">
        <f t="shared" si="173"/>
        <v>0</v>
      </c>
      <c r="N646" s="104">
        <f>77+19.3</f>
        <v>96.3</v>
      </c>
      <c r="O646" s="300">
        <f t="shared" si="181"/>
        <v>0</v>
      </c>
      <c r="P646" s="104">
        <f>77+19.3</f>
        <v>96.3</v>
      </c>
      <c r="Q646" s="104">
        <f>77+19.3</f>
        <v>96.3</v>
      </c>
      <c r="R646" s="333">
        <f t="shared" si="182"/>
        <v>0</v>
      </c>
      <c r="S646" s="32"/>
      <c r="T646" s="32"/>
      <c r="U646" s="32"/>
    </row>
    <row r="647" spans="2:21" s="51" customFormat="1" ht="42.75" customHeight="1" x14ac:dyDescent="0.2">
      <c r="B647" s="56" t="s">
        <v>1083</v>
      </c>
      <c r="C647" s="53" t="s">
        <v>698</v>
      </c>
      <c r="D647" s="53" t="s">
        <v>159</v>
      </c>
      <c r="E647" s="53" t="s">
        <v>45</v>
      </c>
      <c r="F647" s="54" t="s">
        <v>1084</v>
      </c>
      <c r="G647" s="53"/>
      <c r="H647" s="52">
        <f>H648</f>
        <v>0</v>
      </c>
      <c r="I647" s="52">
        <f t="shared" ref="I647:Q647" si="184">I648</f>
        <v>600</v>
      </c>
      <c r="J647" s="300">
        <f t="shared" si="180"/>
        <v>600</v>
      </c>
      <c r="K647" s="52">
        <f t="shared" si="184"/>
        <v>0</v>
      </c>
      <c r="L647" s="52">
        <f t="shared" si="184"/>
        <v>600</v>
      </c>
      <c r="M647" s="300">
        <f t="shared" si="173"/>
        <v>0</v>
      </c>
      <c r="N647" s="52">
        <f t="shared" si="184"/>
        <v>0</v>
      </c>
      <c r="O647" s="300">
        <f t="shared" si="181"/>
        <v>0</v>
      </c>
      <c r="P647" s="52">
        <f t="shared" si="184"/>
        <v>0</v>
      </c>
      <c r="Q647" s="52">
        <f t="shared" si="184"/>
        <v>0</v>
      </c>
      <c r="R647" s="333">
        <f t="shared" si="182"/>
        <v>0</v>
      </c>
      <c r="S647" s="32"/>
      <c r="T647" s="32"/>
      <c r="U647" s="32"/>
    </row>
    <row r="648" spans="2:21" s="51" customFormat="1" ht="15.75" customHeight="1" x14ac:dyDescent="0.2">
      <c r="B648" s="113" t="s">
        <v>98</v>
      </c>
      <c r="C648" s="53" t="s">
        <v>698</v>
      </c>
      <c r="D648" s="53" t="s">
        <v>159</v>
      </c>
      <c r="E648" s="53" t="s">
        <v>45</v>
      </c>
      <c r="F648" s="54" t="s">
        <v>1084</v>
      </c>
      <c r="G648" s="53" t="s">
        <v>81</v>
      </c>
      <c r="H648" s="52">
        <v>0</v>
      </c>
      <c r="I648" s="52">
        <f>500+100</f>
        <v>600</v>
      </c>
      <c r="J648" s="300">
        <f t="shared" si="180"/>
        <v>600</v>
      </c>
      <c r="K648" s="52">
        <v>0</v>
      </c>
      <c r="L648" s="52">
        <f>500+100</f>
        <v>600</v>
      </c>
      <c r="M648" s="300">
        <f t="shared" si="173"/>
        <v>0</v>
      </c>
      <c r="N648" s="52">
        <v>0</v>
      </c>
      <c r="O648" s="300">
        <f t="shared" si="181"/>
        <v>0</v>
      </c>
      <c r="P648" s="65">
        <v>0</v>
      </c>
      <c r="Q648" s="52">
        <v>0</v>
      </c>
      <c r="R648" s="333">
        <f t="shared" si="182"/>
        <v>0</v>
      </c>
      <c r="S648" s="32"/>
      <c r="T648" s="32"/>
      <c r="U648" s="32"/>
    </row>
    <row r="649" spans="2:21" s="51" customFormat="1" ht="18" customHeight="1" x14ac:dyDescent="0.2">
      <c r="B649" s="56" t="s">
        <v>52</v>
      </c>
      <c r="C649" s="53" t="s">
        <v>698</v>
      </c>
      <c r="D649" s="53" t="s">
        <v>159</v>
      </c>
      <c r="E649" s="53" t="s">
        <v>45</v>
      </c>
      <c r="F649" s="54" t="s">
        <v>140</v>
      </c>
      <c r="G649" s="53"/>
      <c r="H649" s="52">
        <f>H650+H655</f>
        <v>92315.5</v>
      </c>
      <c r="I649" s="52">
        <f t="shared" ref="I649:Q649" si="185">I650+I655</f>
        <v>92225.5</v>
      </c>
      <c r="J649" s="300">
        <f t="shared" si="180"/>
        <v>-90</v>
      </c>
      <c r="K649" s="52">
        <f t="shared" si="185"/>
        <v>93082.9</v>
      </c>
      <c r="L649" s="52">
        <f t="shared" si="185"/>
        <v>92225.5</v>
      </c>
      <c r="M649" s="300">
        <f t="shared" si="173"/>
        <v>0</v>
      </c>
      <c r="N649" s="52">
        <f t="shared" si="185"/>
        <v>93082.9</v>
      </c>
      <c r="O649" s="300">
        <f t="shared" si="181"/>
        <v>0</v>
      </c>
      <c r="P649" s="52">
        <f t="shared" si="185"/>
        <v>93082.9</v>
      </c>
      <c r="Q649" s="52">
        <f t="shared" si="185"/>
        <v>93082.9</v>
      </c>
      <c r="R649" s="333">
        <f t="shared" si="182"/>
        <v>0</v>
      </c>
      <c r="S649" s="32"/>
      <c r="T649" s="32"/>
      <c r="U649" s="32"/>
    </row>
    <row r="650" spans="2:21" s="51" customFormat="1" ht="26.25" customHeight="1" x14ac:dyDescent="0.2">
      <c r="B650" s="56" t="s">
        <v>219</v>
      </c>
      <c r="C650" s="53" t="s">
        <v>698</v>
      </c>
      <c r="D650" s="53" t="s">
        <v>159</v>
      </c>
      <c r="E650" s="53" t="s">
        <v>45</v>
      </c>
      <c r="F650" s="54" t="s">
        <v>218</v>
      </c>
      <c r="G650" s="53"/>
      <c r="H650" s="52">
        <f>H651+H653</f>
        <v>92315.5</v>
      </c>
      <c r="I650" s="52">
        <f>I651+I653</f>
        <v>92215.5</v>
      </c>
      <c r="J650" s="300">
        <f t="shared" si="180"/>
        <v>-100</v>
      </c>
      <c r="K650" s="52">
        <f>K651+K653</f>
        <v>93082.9</v>
      </c>
      <c r="L650" s="52">
        <f>L651+L653</f>
        <v>92215.5</v>
      </c>
      <c r="M650" s="300">
        <f t="shared" si="173"/>
        <v>0</v>
      </c>
      <c r="N650" s="52">
        <f>N651+N653</f>
        <v>93082.9</v>
      </c>
      <c r="O650" s="300">
        <f t="shared" si="181"/>
        <v>0</v>
      </c>
      <c r="P650" s="52">
        <f>P651+P653</f>
        <v>93082.9</v>
      </c>
      <c r="Q650" s="52">
        <f>Q651+Q653</f>
        <v>93082.9</v>
      </c>
      <c r="R650" s="333">
        <f t="shared" si="182"/>
        <v>0</v>
      </c>
      <c r="S650" s="32"/>
      <c r="T650" s="32"/>
      <c r="U650" s="32"/>
    </row>
    <row r="651" spans="2:21" s="51" customFormat="1" ht="27.75" customHeight="1" x14ac:dyDescent="0.2">
      <c r="B651" s="106" t="s">
        <v>231</v>
      </c>
      <c r="C651" s="53" t="s">
        <v>698</v>
      </c>
      <c r="D651" s="53" t="s">
        <v>159</v>
      </c>
      <c r="E651" s="53" t="s">
        <v>45</v>
      </c>
      <c r="F651" s="54" t="s">
        <v>230</v>
      </c>
      <c r="G651" s="53"/>
      <c r="H651" s="52">
        <f>H652</f>
        <v>67305.2</v>
      </c>
      <c r="I651" s="52">
        <f>I652</f>
        <v>67305.2</v>
      </c>
      <c r="J651" s="300">
        <f t="shared" si="180"/>
        <v>0</v>
      </c>
      <c r="K651" s="52">
        <f>K652</f>
        <v>67305.2</v>
      </c>
      <c r="L651" s="52">
        <f>L652</f>
        <v>67305.2</v>
      </c>
      <c r="M651" s="300">
        <f t="shared" si="173"/>
        <v>0</v>
      </c>
      <c r="N651" s="52">
        <f>N652</f>
        <v>67305.2</v>
      </c>
      <c r="O651" s="300">
        <f t="shared" si="181"/>
        <v>0</v>
      </c>
      <c r="P651" s="52">
        <f>P652</f>
        <v>67305.2</v>
      </c>
      <c r="Q651" s="52">
        <f>Q652</f>
        <v>67305.2</v>
      </c>
      <c r="R651" s="333">
        <f t="shared" si="182"/>
        <v>0</v>
      </c>
      <c r="S651" s="32"/>
      <c r="T651" s="32"/>
      <c r="U651" s="32"/>
    </row>
    <row r="652" spans="2:21" s="51" customFormat="1" ht="14.25" customHeight="1" x14ac:dyDescent="0.2">
      <c r="B652" s="102" t="s">
        <v>98</v>
      </c>
      <c r="C652" s="53" t="s">
        <v>698</v>
      </c>
      <c r="D652" s="53" t="s">
        <v>159</v>
      </c>
      <c r="E652" s="53" t="s">
        <v>45</v>
      </c>
      <c r="F652" s="54" t="s">
        <v>230</v>
      </c>
      <c r="G652" s="53" t="s">
        <v>81</v>
      </c>
      <c r="H652" s="52">
        <f>66981.8+323.4</f>
        <v>67305.2</v>
      </c>
      <c r="I652" s="52">
        <f>66981.8+323.4</f>
        <v>67305.2</v>
      </c>
      <c r="J652" s="300">
        <f t="shared" si="180"/>
        <v>0</v>
      </c>
      <c r="K652" s="52">
        <f>66981.8+323.4</f>
        <v>67305.2</v>
      </c>
      <c r="L652" s="52">
        <f>66981.8+323.4</f>
        <v>67305.2</v>
      </c>
      <c r="M652" s="300">
        <f t="shared" si="173"/>
        <v>0</v>
      </c>
      <c r="N652" s="52">
        <f>66981.8+323.4</f>
        <v>67305.2</v>
      </c>
      <c r="O652" s="300">
        <f t="shared" si="181"/>
        <v>0</v>
      </c>
      <c r="P652" s="65">
        <f>66981.8+323.4</f>
        <v>67305.2</v>
      </c>
      <c r="Q652" s="65">
        <f>66981.8+323.4</f>
        <v>67305.2</v>
      </c>
      <c r="R652" s="333">
        <f t="shared" si="182"/>
        <v>0</v>
      </c>
      <c r="S652" s="32"/>
      <c r="T652" s="32"/>
      <c r="U652" s="32"/>
    </row>
    <row r="653" spans="2:21" s="51" customFormat="1" ht="14.25" customHeight="1" x14ac:dyDescent="0.2">
      <c r="B653" s="106" t="s">
        <v>272</v>
      </c>
      <c r="C653" s="53" t="s">
        <v>698</v>
      </c>
      <c r="D653" s="53" t="s">
        <v>159</v>
      </c>
      <c r="E653" s="53" t="s">
        <v>45</v>
      </c>
      <c r="F653" s="54" t="s">
        <v>273</v>
      </c>
      <c r="G653" s="53"/>
      <c r="H653" s="52">
        <f>H654</f>
        <v>25010.300000000003</v>
      </c>
      <c r="I653" s="52">
        <f>I654</f>
        <v>24910.300000000003</v>
      </c>
      <c r="J653" s="300">
        <f t="shared" si="180"/>
        <v>-100</v>
      </c>
      <c r="K653" s="52">
        <f>K654</f>
        <v>25777.7</v>
      </c>
      <c r="L653" s="52">
        <f>L654</f>
        <v>24910.300000000003</v>
      </c>
      <c r="M653" s="300">
        <f t="shared" si="173"/>
        <v>0</v>
      </c>
      <c r="N653" s="52">
        <f>N654</f>
        <v>25777.7</v>
      </c>
      <c r="O653" s="300">
        <f t="shared" si="181"/>
        <v>0</v>
      </c>
      <c r="P653" s="52">
        <f>P654</f>
        <v>25777.7</v>
      </c>
      <c r="Q653" s="52">
        <f>Q654</f>
        <v>25777.7</v>
      </c>
      <c r="R653" s="333">
        <f t="shared" si="182"/>
        <v>0</v>
      </c>
      <c r="S653" s="32"/>
      <c r="T653" s="32"/>
      <c r="U653" s="32"/>
    </row>
    <row r="654" spans="2:21" s="51" customFormat="1" ht="15.75" customHeight="1" x14ac:dyDescent="0.2">
      <c r="B654" s="102" t="s">
        <v>98</v>
      </c>
      <c r="C654" s="53" t="s">
        <v>698</v>
      </c>
      <c r="D654" s="53" t="s">
        <v>159</v>
      </c>
      <c r="E654" s="53" t="s">
        <v>45</v>
      </c>
      <c r="F654" s="54" t="s">
        <v>273</v>
      </c>
      <c r="G654" s="53" t="s">
        <v>81</v>
      </c>
      <c r="H654" s="52">
        <f>27912.4-243-2659.1</f>
        <v>25010.300000000003</v>
      </c>
      <c r="I654" s="52">
        <f>27912.4-243-2659.1-100</f>
        <v>24910.300000000003</v>
      </c>
      <c r="J654" s="300">
        <f t="shared" si="180"/>
        <v>-100</v>
      </c>
      <c r="K654" s="52">
        <f>27912.4-2134.7</f>
        <v>25777.7</v>
      </c>
      <c r="L654" s="52">
        <f>27912.4-243-2659.1-100</f>
        <v>24910.300000000003</v>
      </c>
      <c r="M654" s="300">
        <f t="shared" si="173"/>
        <v>0</v>
      </c>
      <c r="N654" s="52">
        <f>27912.4-2134.7</f>
        <v>25777.7</v>
      </c>
      <c r="O654" s="300">
        <f t="shared" si="181"/>
        <v>0</v>
      </c>
      <c r="P654" s="52">
        <f>27912.4-2134.7</f>
        <v>25777.7</v>
      </c>
      <c r="Q654" s="52">
        <f>27912.4-2134.7</f>
        <v>25777.7</v>
      </c>
      <c r="R654" s="333">
        <f t="shared" si="182"/>
        <v>0</v>
      </c>
      <c r="S654" s="32"/>
      <c r="T654" s="32"/>
      <c r="U654" s="32"/>
    </row>
    <row r="655" spans="2:21" s="51" customFormat="1" ht="24.75" customHeight="1" x14ac:dyDescent="0.2">
      <c r="B655" s="56" t="s">
        <v>198</v>
      </c>
      <c r="C655" s="53" t="s">
        <v>698</v>
      </c>
      <c r="D655" s="53" t="s">
        <v>159</v>
      </c>
      <c r="E655" s="53" t="s">
        <v>45</v>
      </c>
      <c r="F655" s="103" t="s">
        <v>197</v>
      </c>
      <c r="G655" s="53"/>
      <c r="H655" s="52">
        <f>H656</f>
        <v>0</v>
      </c>
      <c r="I655" s="52">
        <f t="shared" ref="I655:I656" si="186">I656</f>
        <v>10</v>
      </c>
      <c r="J655" s="300">
        <f t="shared" si="180"/>
        <v>10</v>
      </c>
      <c r="K655" s="52">
        <f t="shared" ref="K655:L656" si="187">K656</f>
        <v>0</v>
      </c>
      <c r="L655" s="52">
        <f t="shared" si="187"/>
        <v>10</v>
      </c>
      <c r="M655" s="300">
        <f t="shared" ref="M655:M718" si="188">L655-I655</f>
        <v>0</v>
      </c>
      <c r="N655" s="52">
        <f t="shared" ref="N655:N656" si="189">N656</f>
        <v>0</v>
      </c>
      <c r="O655" s="300">
        <f t="shared" si="181"/>
        <v>0</v>
      </c>
      <c r="P655" s="52">
        <f t="shared" ref="P655:Q656" si="190">P656</f>
        <v>0</v>
      </c>
      <c r="Q655" s="52">
        <f t="shared" si="190"/>
        <v>0</v>
      </c>
      <c r="R655" s="333">
        <f t="shared" si="182"/>
        <v>0</v>
      </c>
      <c r="S655" s="32"/>
      <c r="T655" s="32"/>
      <c r="U655" s="32"/>
    </row>
    <row r="656" spans="2:21" s="51" customFormat="1" ht="29.25" customHeight="1" x14ac:dyDescent="0.2">
      <c r="B656" s="56" t="s">
        <v>194</v>
      </c>
      <c r="C656" s="53" t="s">
        <v>698</v>
      </c>
      <c r="D656" s="53" t="s">
        <v>159</v>
      </c>
      <c r="E656" s="53" t="s">
        <v>45</v>
      </c>
      <c r="F656" s="74" t="s">
        <v>193</v>
      </c>
      <c r="G656" s="73"/>
      <c r="H656" s="52">
        <f>H657</f>
        <v>0</v>
      </c>
      <c r="I656" s="52">
        <f t="shared" si="186"/>
        <v>10</v>
      </c>
      <c r="J656" s="300">
        <f t="shared" si="180"/>
        <v>10</v>
      </c>
      <c r="K656" s="52">
        <f t="shared" si="187"/>
        <v>0</v>
      </c>
      <c r="L656" s="52">
        <f t="shared" si="187"/>
        <v>10</v>
      </c>
      <c r="M656" s="300">
        <f t="shared" si="188"/>
        <v>0</v>
      </c>
      <c r="N656" s="52">
        <f t="shared" si="189"/>
        <v>0</v>
      </c>
      <c r="O656" s="300">
        <f t="shared" si="181"/>
        <v>0</v>
      </c>
      <c r="P656" s="52">
        <f t="shared" si="190"/>
        <v>0</v>
      </c>
      <c r="Q656" s="52">
        <f t="shared" si="190"/>
        <v>0</v>
      </c>
      <c r="R656" s="333">
        <f t="shared" si="182"/>
        <v>0</v>
      </c>
      <c r="S656" s="32"/>
      <c r="T656" s="32"/>
      <c r="U656" s="32"/>
    </row>
    <row r="657" spans="2:21" s="51" customFormat="1" ht="16.5" customHeight="1" x14ac:dyDescent="0.2">
      <c r="B657" s="97" t="s">
        <v>98</v>
      </c>
      <c r="C657" s="53" t="s">
        <v>698</v>
      </c>
      <c r="D657" s="53" t="s">
        <v>159</v>
      </c>
      <c r="E657" s="53" t="s">
        <v>45</v>
      </c>
      <c r="F657" s="74" t="s">
        <v>193</v>
      </c>
      <c r="G657" s="73" t="s">
        <v>81</v>
      </c>
      <c r="H657" s="52">
        <v>0</v>
      </c>
      <c r="I657" s="52">
        <v>10</v>
      </c>
      <c r="J657" s="300">
        <f t="shared" si="180"/>
        <v>10</v>
      </c>
      <c r="K657" s="52">
        <v>0</v>
      </c>
      <c r="L657" s="52">
        <v>10</v>
      </c>
      <c r="M657" s="300">
        <f t="shared" si="188"/>
        <v>0</v>
      </c>
      <c r="N657" s="52">
        <v>0</v>
      </c>
      <c r="O657" s="300">
        <f t="shared" si="181"/>
        <v>0</v>
      </c>
      <c r="P657" s="52">
        <v>0</v>
      </c>
      <c r="Q657" s="52">
        <v>0</v>
      </c>
      <c r="R657" s="333">
        <f t="shared" si="182"/>
        <v>0</v>
      </c>
      <c r="S657" s="32"/>
      <c r="T657" s="32"/>
      <c r="U657" s="32"/>
    </row>
    <row r="658" spans="2:21" s="43" customFormat="1" ht="13.5" customHeight="1" x14ac:dyDescent="0.2">
      <c r="B658" s="59" t="s">
        <v>271</v>
      </c>
      <c r="C658" s="48" t="s">
        <v>698</v>
      </c>
      <c r="D658" s="48" t="s">
        <v>159</v>
      </c>
      <c r="E658" s="48" t="s">
        <v>72</v>
      </c>
      <c r="F658" s="48"/>
      <c r="G658" s="48"/>
      <c r="H658" s="44">
        <f>H659</f>
        <v>283971.60000000003</v>
      </c>
      <c r="I658" s="44">
        <f>I659</f>
        <v>284724.2</v>
      </c>
      <c r="J658" s="300">
        <f t="shared" si="180"/>
        <v>752.59999999997672</v>
      </c>
      <c r="K658" s="44">
        <f>K659</f>
        <v>242793.40000000002</v>
      </c>
      <c r="L658" s="44">
        <f>L659</f>
        <v>283401.90000000002</v>
      </c>
      <c r="M658" s="300">
        <f t="shared" si="188"/>
        <v>-1322.2999999999884</v>
      </c>
      <c r="N658" s="44">
        <f>N659</f>
        <v>242793.40000000002</v>
      </c>
      <c r="O658" s="300">
        <f t="shared" si="181"/>
        <v>0</v>
      </c>
      <c r="P658" s="44">
        <f>P659</f>
        <v>314331.2</v>
      </c>
      <c r="Q658" s="44">
        <f>Q659</f>
        <v>314331.2</v>
      </c>
      <c r="R658" s="333">
        <f t="shared" si="182"/>
        <v>0</v>
      </c>
    </row>
    <row r="659" spans="2:21" s="51" customFormat="1" ht="26.25" customHeight="1" x14ac:dyDescent="0.2">
      <c r="B659" s="64" t="s">
        <v>142</v>
      </c>
      <c r="C659" s="53" t="s">
        <v>698</v>
      </c>
      <c r="D659" s="53" t="s">
        <v>159</v>
      </c>
      <c r="E659" s="53" t="s">
        <v>72</v>
      </c>
      <c r="F659" s="54" t="s">
        <v>141</v>
      </c>
      <c r="G659" s="53"/>
      <c r="H659" s="52">
        <f>H660+H679+H701</f>
        <v>283971.60000000003</v>
      </c>
      <c r="I659" s="52">
        <f>I660+I679+I701</f>
        <v>284724.2</v>
      </c>
      <c r="J659" s="300">
        <f t="shared" si="180"/>
        <v>752.59999999997672</v>
      </c>
      <c r="K659" s="52">
        <f>K660+K679+K701</f>
        <v>242793.40000000002</v>
      </c>
      <c r="L659" s="52">
        <f>L660+L679+L701</f>
        <v>283401.90000000002</v>
      </c>
      <c r="M659" s="300">
        <f t="shared" si="188"/>
        <v>-1322.2999999999884</v>
      </c>
      <c r="N659" s="52">
        <f>N660+N679+N701</f>
        <v>242793.40000000002</v>
      </c>
      <c r="O659" s="300">
        <f t="shared" si="181"/>
        <v>0</v>
      </c>
      <c r="P659" s="52">
        <f>P660+P679+P701</f>
        <v>314331.2</v>
      </c>
      <c r="Q659" s="52">
        <f>Q660+Q679+Q701</f>
        <v>314331.2</v>
      </c>
      <c r="R659" s="333">
        <f t="shared" si="182"/>
        <v>0</v>
      </c>
      <c r="S659" s="32"/>
      <c r="T659" s="32"/>
      <c r="U659" s="32"/>
    </row>
    <row r="660" spans="2:21" s="51" customFormat="1" ht="20.25" customHeight="1" x14ac:dyDescent="0.2">
      <c r="B660" s="106" t="s">
        <v>270</v>
      </c>
      <c r="C660" s="53" t="s">
        <v>698</v>
      </c>
      <c r="D660" s="53" t="s">
        <v>159</v>
      </c>
      <c r="E660" s="53" t="s">
        <v>72</v>
      </c>
      <c r="F660" s="54" t="s">
        <v>269</v>
      </c>
      <c r="G660" s="53"/>
      <c r="H660" s="52">
        <f>H661+H672</f>
        <v>77104.600000000006</v>
      </c>
      <c r="I660" s="52">
        <f>I661+I672</f>
        <v>77104.600000000006</v>
      </c>
      <c r="J660" s="300">
        <f t="shared" si="180"/>
        <v>0</v>
      </c>
      <c r="K660" s="52">
        <f>K661+K672</f>
        <v>41772.300000000003</v>
      </c>
      <c r="L660" s="52">
        <f>L661+L672</f>
        <v>77104.600000000006</v>
      </c>
      <c r="M660" s="300">
        <f t="shared" si="188"/>
        <v>0</v>
      </c>
      <c r="N660" s="52">
        <f>N661+N672</f>
        <v>41772.300000000003</v>
      </c>
      <c r="O660" s="300">
        <f t="shared" si="181"/>
        <v>0</v>
      </c>
      <c r="P660" s="52">
        <f>P661+P672</f>
        <v>115598.70000000001</v>
      </c>
      <c r="Q660" s="52">
        <f>Q661+Q672</f>
        <v>115598.70000000001</v>
      </c>
      <c r="R660" s="333">
        <f t="shared" si="182"/>
        <v>0</v>
      </c>
      <c r="S660" s="32"/>
      <c r="T660" s="32"/>
      <c r="U660" s="32"/>
    </row>
    <row r="661" spans="2:21" s="51" customFormat="1" ht="26.25" customHeight="1" x14ac:dyDescent="0.2">
      <c r="B661" s="106" t="s">
        <v>268</v>
      </c>
      <c r="C661" s="53" t="s">
        <v>698</v>
      </c>
      <c r="D661" s="53" t="s">
        <v>159</v>
      </c>
      <c r="E661" s="53" t="s">
        <v>72</v>
      </c>
      <c r="F661" s="74" t="s">
        <v>267</v>
      </c>
      <c r="G661" s="53"/>
      <c r="H661" s="52">
        <f>H664+H666+H670+H662+H668</f>
        <v>60720.1</v>
      </c>
      <c r="I661" s="52">
        <f>I664+I666+I670+I662+I668</f>
        <v>60720.1</v>
      </c>
      <c r="J661" s="300">
        <f t="shared" si="180"/>
        <v>0</v>
      </c>
      <c r="K661" s="52">
        <f t="shared" ref="K661" si="191">K664+K666+K670+K662+K668</f>
        <v>25376.3</v>
      </c>
      <c r="L661" s="52">
        <f>L664+L666+L670+L662+L668</f>
        <v>60720.1</v>
      </c>
      <c r="M661" s="300">
        <f t="shared" si="188"/>
        <v>0</v>
      </c>
      <c r="N661" s="52">
        <f t="shared" ref="N661:Q661" si="192">N664+N666+N670+N662+N668</f>
        <v>25376.3</v>
      </c>
      <c r="O661" s="300">
        <f t="shared" si="181"/>
        <v>0</v>
      </c>
      <c r="P661" s="52">
        <f t="shared" ref="P661" si="193">P664+P666+P670+P662+P668</f>
        <v>98711.3</v>
      </c>
      <c r="Q661" s="52">
        <f t="shared" si="192"/>
        <v>98711.3</v>
      </c>
      <c r="R661" s="333">
        <f t="shared" si="182"/>
        <v>0</v>
      </c>
      <c r="S661" s="32"/>
      <c r="T661" s="32"/>
      <c r="U661" s="32"/>
    </row>
    <row r="662" spans="2:21" s="51" customFormat="1" ht="28.5" customHeight="1" x14ac:dyDescent="0.2">
      <c r="B662" s="106" t="s">
        <v>266</v>
      </c>
      <c r="C662" s="53" t="s">
        <v>698</v>
      </c>
      <c r="D662" s="53" t="s">
        <v>159</v>
      </c>
      <c r="E662" s="53" t="s">
        <v>72</v>
      </c>
      <c r="F662" s="74" t="s">
        <v>265</v>
      </c>
      <c r="G662" s="53"/>
      <c r="H662" s="52">
        <f>H663</f>
        <v>196.60000000000002</v>
      </c>
      <c r="I662" s="52">
        <f>I663</f>
        <v>196.60000000000002</v>
      </c>
      <c r="J662" s="300">
        <f t="shared" si="180"/>
        <v>0</v>
      </c>
      <c r="K662" s="52">
        <f t="shared" ref="K662:Q662" si="194">K663</f>
        <v>0</v>
      </c>
      <c r="L662" s="52">
        <f>L663</f>
        <v>196.60000000000002</v>
      </c>
      <c r="M662" s="300">
        <f t="shared" si="188"/>
        <v>0</v>
      </c>
      <c r="N662" s="52">
        <f t="shared" si="194"/>
        <v>0</v>
      </c>
      <c r="O662" s="300">
        <f t="shared" si="181"/>
        <v>0</v>
      </c>
      <c r="P662" s="52">
        <f t="shared" si="194"/>
        <v>0</v>
      </c>
      <c r="Q662" s="52">
        <f t="shared" si="194"/>
        <v>0</v>
      </c>
      <c r="R662" s="333">
        <f t="shared" si="182"/>
        <v>0</v>
      </c>
      <c r="S662" s="32"/>
      <c r="T662" s="32"/>
      <c r="U662" s="32"/>
    </row>
    <row r="663" spans="2:21" s="51" customFormat="1" ht="14.25" customHeight="1" x14ac:dyDescent="0.2">
      <c r="B663" s="102" t="s">
        <v>98</v>
      </c>
      <c r="C663" s="53" t="s">
        <v>698</v>
      </c>
      <c r="D663" s="53" t="s">
        <v>159</v>
      </c>
      <c r="E663" s="53" t="s">
        <v>72</v>
      </c>
      <c r="F663" s="74" t="s">
        <v>265</v>
      </c>
      <c r="G663" s="53" t="s">
        <v>81</v>
      </c>
      <c r="H663" s="52">
        <f>184.8+11.8</f>
        <v>196.60000000000002</v>
      </c>
      <c r="I663" s="52">
        <f>184.8+11.8</f>
        <v>196.60000000000002</v>
      </c>
      <c r="J663" s="300">
        <f t="shared" si="180"/>
        <v>0</v>
      </c>
      <c r="K663" s="52">
        <v>0</v>
      </c>
      <c r="L663" s="52">
        <f>184.8+11.8</f>
        <v>196.60000000000002</v>
      </c>
      <c r="M663" s="300">
        <f t="shared" si="188"/>
        <v>0</v>
      </c>
      <c r="N663" s="52">
        <v>0</v>
      </c>
      <c r="O663" s="300">
        <f t="shared" si="181"/>
        <v>0</v>
      </c>
      <c r="P663" s="65">
        <v>0</v>
      </c>
      <c r="Q663" s="65">
        <v>0</v>
      </c>
      <c r="R663" s="333">
        <f t="shared" si="182"/>
        <v>0</v>
      </c>
      <c r="S663" s="32"/>
      <c r="T663" s="32"/>
      <c r="U663" s="32"/>
    </row>
    <row r="664" spans="2:21" s="51" customFormat="1" ht="18" customHeight="1" x14ac:dyDescent="0.2">
      <c r="B664" s="106" t="s">
        <v>264</v>
      </c>
      <c r="C664" s="53" t="s">
        <v>698</v>
      </c>
      <c r="D664" s="53" t="s">
        <v>159</v>
      </c>
      <c r="E664" s="53" t="s">
        <v>72</v>
      </c>
      <c r="F664" s="74" t="s">
        <v>263</v>
      </c>
      <c r="G664" s="53"/>
      <c r="H664" s="52">
        <f>H665</f>
        <v>49187.8</v>
      </c>
      <c r="I664" s="52">
        <f>I665</f>
        <v>49187.8</v>
      </c>
      <c r="J664" s="300">
        <f t="shared" si="180"/>
        <v>0</v>
      </c>
      <c r="K664" s="52">
        <f>K665</f>
        <v>-3.638200851696638E-13</v>
      </c>
      <c r="L664" s="52">
        <f>L665</f>
        <v>49187.8</v>
      </c>
      <c r="M664" s="300">
        <f t="shared" si="188"/>
        <v>0</v>
      </c>
      <c r="N664" s="52">
        <f>N665</f>
        <v>-3.638200851696638E-13</v>
      </c>
      <c r="O664" s="300">
        <f t="shared" si="181"/>
        <v>0</v>
      </c>
      <c r="P664" s="52">
        <f>P665</f>
        <v>0</v>
      </c>
      <c r="Q664" s="52">
        <f>Q665</f>
        <v>0</v>
      </c>
      <c r="R664" s="333">
        <f t="shared" si="182"/>
        <v>0</v>
      </c>
      <c r="S664" s="32"/>
      <c r="T664" s="32"/>
      <c r="U664" s="32"/>
    </row>
    <row r="665" spans="2:21" s="51" customFormat="1" ht="16.5" customHeight="1" x14ac:dyDescent="0.2">
      <c r="B665" s="102" t="s">
        <v>98</v>
      </c>
      <c r="C665" s="53" t="s">
        <v>698</v>
      </c>
      <c r="D665" s="53" t="s">
        <v>159</v>
      </c>
      <c r="E665" s="53" t="s">
        <v>72</v>
      </c>
      <c r="F665" s="74" t="s">
        <v>263</v>
      </c>
      <c r="G665" s="53" t="s">
        <v>81</v>
      </c>
      <c r="H665" s="52">
        <f>12294.5+2.5+36883.4+7.4</f>
        <v>49187.8</v>
      </c>
      <c r="I665" s="52">
        <f>12294.5+2.5+36883.4+7.4</f>
        <v>49187.8</v>
      </c>
      <c r="J665" s="300">
        <f t="shared" si="180"/>
        <v>0</v>
      </c>
      <c r="K665" s="52">
        <f>4303+0.9-4303-0.9</f>
        <v>-3.638200851696638E-13</v>
      </c>
      <c r="L665" s="52">
        <f>12294.5+2.5+36883.4+7.4</f>
        <v>49187.8</v>
      </c>
      <c r="M665" s="300">
        <f t="shared" si="188"/>
        <v>0</v>
      </c>
      <c r="N665" s="52">
        <f>4303+0.9-4303-0.9</f>
        <v>-3.638200851696638E-13</v>
      </c>
      <c r="O665" s="300">
        <f t="shared" si="181"/>
        <v>0</v>
      </c>
      <c r="P665" s="52">
        <v>0</v>
      </c>
      <c r="Q665" s="52">
        <v>0</v>
      </c>
      <c r="R665" s="333">
        <f t="shared" si="182"/>
        <v>0</v>
      </c>
      <c r="S665" s="32"/>
      <c r="T665" s="32"/>
      <c r="U665" s="32"/>
    </row>
    <row r="666" spans="2:21" s="51" customFormat="1" ht="54" customHeight="1" x14ac:dyDescent="0.2">
      <c r="B666" s="106" t="s">
        <v>262</v>
      </c>
      <c r="C666" s="53" t="s">
        <v>698</v>
      </c>
      <c r="D666" s="53" t="s">
        <v>159</v>
      </c>
      <c r="E666" s="53" t="s">
        <v>72</v>
      </c>
      <c r="F666" s="74" t="s">
        <v>261</v>
      </c>
      <c r="G666" s="53"/>
      <c r="H666" s="52">
        <f>H667</f>
        <v>11335.7</v>
      </c>
      <c r="I666" s="52">
        <f>I667</f>
        <v>11335.7</v>
      </c>
      <c r="J666" s="300">
        <f t="shared" si="180"/>
        <v>0</v>
      </c>
      <c r="K666" s="52">
        <f>K667</f>
        <v>13079.5</v>
      </c>
      <c r="L666" s="52">
        <f>L667</f>
        <v>11335.7</v>
      </c>
      <c r="M666" s="300">
        <f t="shared" si="188"/>
        <v>0</v>
      </c>
      <c r="N666" s="52">
        <f>N667</f>
        <v>13079.5</v>
      </c>
      <c r="O666" s="300">
        <f t="shared" si="181"/>
        <v>0</v>
      </c>
      <c r="P666" s="52">
        <f>P667</f>
        <v>13284</v>
      </c>
      <c r="Q666" s="52">
        <f>Q667</f>
        <v>13284</v>
      </c>
      <c r="R666" s="333">
        <f t="shared" si="182"/>
        <v>0</v>
      </c>
      <c r="S666" s="32"/>
      <c r="T666" s="32"/>
      <c r="U666" s="32"/>
    </row>
    <row r="667" spans="2:21" s="51" customFormat="1" ht="14.25" customHeight="1" x14ac:dyDescent="0.2">
      <c r="B667" s="102" t="s">
        <v>98</v>
      </c>
      <c r="C667" s="53" t="s">
        <v>698</v>
      </c>
      <c r="D667" s="53" t="s">
        <v>159</v>
      </c>
      <c r="E667" s="53" t="s">
        <v>72</v>
      </c>
      <c r="F667" s="74" t="s">
        <v>261</v>
      </c>
      <c r="G667" s="53" t="s">
        <v>81</v>
      </c>
      <c r="H667" s="52">
        <f>2833.3+0.6+8500.1+1.7</f>
        <v>11335.7</v>
      </c>
      <c r="I667" s="52">
        <f>2833.3+0.6+8500.1+1.7</f>
        <v>11335.7</v>
      </c>
      <c r="J667" s="300">
        <f t="shared" si="180"/>
        <v>0</v>
      </c>
      <c r="K667" s="52">
        <f>4576.9+0.9+8500+1.7</f>
        <v>13079.5</v>
      </c>
      <c r="L667" s="52">
        <f>2833.3+0.6+8500.1+1.7</f>
        <v>11335.7</v>
      </c>
      <c r="M667" s="300">
        <f t="shared" si="188"/>
        <v>0</v>
      </c>
      <c r="N667" s="52">
        <f>4576.9+0.9+8500+1.7</f>
        <v>13079.5</v>
      </c>
      <c r="O667" s="300">
        <f t="shared" si="181"/>
        <v>0</v>
      </c>
      <c r="P667" s="65">
        <f>13281.3+2.7</f>
        <v>13284</v>
      </c>
      <c r="Q667" s="65">
        <f>13281.3+2.7</f>
        <v>13284</v>
      </c>
      <c r="R667" s="333">
        <f t="shared" si="182"/>
        <v>0</v>
      </c>
      <c r="S667" s="32"/>
      <c r="T667" s="32"/>
      <c r="U667" s="32"/>
    </row>
    <row r="668" spans="2:21" s="51" customFormat="1" ht="25.5" customHeight="1" x14ac:dyDescent="0.2">
      <c r="B668" s="116" t="s">
        <v>260</v>
      </c>
      <c r="C668" s="53" t="s">
        <v>698</v>
      </c>
      <c r="D668" s="53" t="s">
        <v>159</v>
      </c>
      <c r="E668" s="53" t="s">
        <v>72</v>
      </c>
      <c r="F668" s="74" t="s">
        <v>259</v>
      </c>
      <c r="G668" s="53"/>
      <c r="H668" s="52">
        <f>H669</f>
        <v>0</v>
      </c>
      <c r="I668" s="52">
        <f>I669</f>
        <v>0</v>
      </c>
      <c r="J668" s="300">
        <f t="shared" si="180"/>
        <v>0</v>
      </c>
      <c r="K668" s="52">
        <f t="shared" ref="K668:Q668" si="195">K669</f>
        <v>12296.8</v>
      </c>
      <c r="L668" s="52">
        <f>L669</f>
        <v>0</v>
      </c>
      <c r="M668" s="300">
        <f t="shared" si="188"/>
        <v>0</v>
      </c>
      <c r="N668" s="52">
        <f t="shared" si="195"/>
        <v>12296.8</v>
      </c>
      <c r="O668" s="300">
        <f t="shared" si="181"/>
        <v>0</v>
      </c>
      <c r="P668" s="52">
        <f t="shared" si="195"/>
        <v>85427.3</v>
      </c>
      <c r="Q668" s="52">
        <f t="shared" si="195"/>
        <v>85427.3</v>
      </c>
      <c r="R668" s="333">
        <f t="shared" si="182"/>
        <v>0</v>
      </c>
      <c r="S668" s="32"/>
      <c r="T668" s="32"/>
      <c r="U668" s="32"/>
    </row>
    <row r="669" spans="2:21" s="51" customFormat="1" ht="14.25" customHeight="1" x14ac:dyDescent="0.2">
      <c r="B669" s="82" t="s">
        <v>98</v>
      </c>
      <c r="C669" s="53" t="s">
        <v>698</v>
      </c>
      <c r="D669" s="53" t="s">
        <v>159</v>
      </c>
      <c r="E669" s="53" t="s">
        <v>72</v>
      </c>
      <c r="F669" s="74" t="s">
        <v>259</v>
      </c>
      <c r="G669" s="53" t="s">
        <v>81</v>
      </c>
      <c r="H669" s="52">
        <v>0</v>
      </c>
      <c r="I669" s="52">
        <v>0</v>
      </c>
      <c r="J669" s="300">
        <f t="shared" si="180"/>
        <v>0</v>
      </c>
      <c r="K669" s="52">
        <f>12294.3+2.5</f>
        <v>12296.8</v>
      </c>
      <c r="L669" s="52">
        <v>0</v>
      </c>
      <c r="M669" s="300">
        <f t="shared" si="188"/>
        <v>0</v>
      </c>
      <c r="N669" s="52">
        <f>12294.3+2.5</f>
        <v>12296.8</v>
      </c>
      <c r="O669" s="300">
        <f t="shared" si="181"/>
        <v>0</v>
      </c>
      <c r="P669" s="65">
        <f>85410.2+17.1</f>
        <v>85427.3</v>
      </c>
      <c r="Q669" s="65">
        <f>85410.2+17.1</f>
        <v>85427.3</v>
      </c>
      <c r="R669" s="333">
        <f t="shared" si="182"/>
        <v>0</v>
      </c>
      <c r="S669" s="32"/>
      <c r="T669" s="32"/>
      <c r="U669" s="32"/>
    </row>
    <row r="670" spans="2:21" s="51" customFormat="1" ht="77.25" hidden="1" customHeight="1" x14ac:dyDescent="0.2">
      <c r="B670" s="112" t="s">
        <v>258</v>
      </c>
      <c r="C670" s="53" t="s">
        <v>698</v>
      </c>
      <c r="D670" s="53" t="s">
        <v>159</v>
      </c>
      <c r="E670" s="53" t="s">
        <v>72</v>
      </c>
      <c r="F670" s="74" t="s">
        <v>257</v>
      </c>
      <c r="G670" s="53"/>
      <c r="H670" s="52">
        <f>H671</f>
        <v>9.0927265716800321E-14</v>
      </c>
      <c r="I670" s="52">
        <f>I671</f>
        <v>9.0927265716800321E-14</v>
      </c>
      <c r="J670" s="300">
        <f t="shared" si="180"/>
        <v>0</v>
      </c>
      <c r="K670" s="52">
        <f>K671</f>
        <v>0</v>
      </c>
      <c r="L670" s="52">
        <f>L671</f>
        <v>9.0927265716800321E-14</v>
      </c>
      <c r="M670" s="300">
        <f t="shared" si="188"/>
        <v>0</v>
      </c>
      <c r="N670" s="52">
        <f>N671</f>
        <v>0</v>
      </c>
      <c r="O670" s="300">
        <f t="shared" si="181"/>
        <v>0</v>
      </c>
      <c r="P670" s="52">
        <f>P671</f>
        <v>0</v>
      </c>
      <c r="Q670" s="52">
        <f>Q671</f>
        <v>0</v>
      </c>
      <c r="R670" s="333">
        <f t="shared" si="182"/>
        <v>0</v>
      </c>
      <c r="S670" s="32"/>
      <c r="T670" s="32"/>
      <c r="U670" s="32"/>
    </row>
    <row r="671" spans="2:21" s="51" customFormat="1" ht="15" hidden="1" customHeight="1" x14ac:dyDescent="0.2">
      <c r="B671" s="97" t="s">
        <v>98</v>
      </c>
      <c r="C671" s="53" t="s">
        <v>698</v>
      </c>
      <c r="D671" s="53" t="s">
        <v>159</v>
      </c>
      <c r="E671" s="53" t="s">
        <v>72</v>
      </c>
      <c r="F671" s="74" t="s">
        <v>257</v>
      </c>
      <c r="G671" s="53" t="s">
        <v>81</v>
      </c>
      <c r="H671" s="52">
        <f>2000+0.4-2000-0.4</f>
        <v>9.0927265716800321E-14</v>
      </c>
      <c r="I671" s="52">
        <f>2000+0.4-2000-0.4</f>
        <v>9.0927265716800321E-14</v>
      </c>
      <c r="J671" s="300">
        <f t="shared" si="180"/>
        <v>0</v>
      </c>
      <c r="K671" s="52">
        <v>0</v>
      </c>
      <c r="L671" s="52">
        <f>2000+0.4-2000-0.4</f>
        <v>9.0927265716800321E-14</v>
      </c>
      <c r="M671" s="300">
        <f t="shared" si="188"/>
        <v>0</v>
      </c>
      <c r="N671" s="52">
        <v>0</v>
      </c>
      <c r="O671" s="300">
        <f t="shared" si="181"/>
        <v>0</v>
      </c>
      <c r="P671" s="52">
        <v>0</v>
      </c>
      <c r="Q671" s="52">
        <v>0</v>
      </c>
      <c r="R671" s="333">
        <f t="shared" si="182"/>
        <v>0</v>
      </c>
      <c r="S671" s="32"/>
      <c r="T671" s="32"/>
      <c r="U671" s="32"/>
    </row>
    <row r="672" spans="2:21" s="51" customFormat="1" ht="25.5" customHeight="1" x14ac:dyDescent="0.2">
      <c r="B672" s="75" t="s">
        <v>1100</v>
      </c>
      <c r="C672" s="53" t="s">
        <v>698</v>
      </c>
      <c r="D672" s="53" t="s">
        <v>159</v>
      </c>
      <c r="E672" s="53" t="s">
        <v>72</v>
      </c>
      <c r="F672" s="74" t="s">
        <v>256</v>
      </c>
      <c r="G672" s="53"/>
      <c r="H672" s="52">
        <f>H675+H677+H673</f>
        <v>16384.5</v>
      </c>
      <c r="I672" s="52">
        <f>I675+I677+I673</f>
        <v>16384.5</v>
      </c>
      <c r="J672" s="300">
        <f t="shared" si="180"/>
        <v>0</v>
      </c>
      <c r="K672" s="52">
        <f t="shared" ref="K672" si="196">K675+K677+K673</f>
        <v>16396</v>
      </c>
      <c r="L672" s="52">
        <f>L675+L677+L673</f>
        <v>16384.5</v>
      </c>
      <c r="M672" s="300">
        <f t="shared" si="188"/>
        <v>0</v>
      </c>
      <c r="N672" s="52">
        <f t="shared" ref="N672:Q672" si="197">N675+N677+N673</f>
        <v>16396</v>
      </c>
      <c r="O672" s="300">
        <f t="shared" si="181"/>
        <v>0</v>
      </c>
      <c r="P672" s="52">
        <f t="shared" ref="P672" si="198">P675+P677+P673</f>
        <v>16887.400000000001</v>
      </c>
      <c r="Q672" s="52">
        <f t="shared" si="197"/>
        <v>16887.400000000001</v>
      </c>
      <c r="R672" s="333">
        <f t="shared" si="182"/>
        <v>0</v>
      </c>
      <c r="S672" s="32"/>
      <c r="T672" s="32"/>
      <c r="U672" s="32"/>
    </row>
    <row r="673" spans="2:21" s="51" customFormat="1" ht="66.75" customHeight="1" x14ac:dyDescent="0.2">
      <c r="B673" s="116" t="s">
        <v>255</v>
      </c>
      <c r="C673" s="53" t="s">
        <v>698</v>
      </c>
      <c r="D673" s="53" t="s">
        <v>159</v>
      </c>
      <c r="E673" s="53" t="s">
        <v>72</v>
      </c>
      <c r="F673" s="74" t="s">
        <v>254</v>
      </c>
      <c r="G673" s="53"/>
      <c r="H673" s="52">
        <f>H674</f>
        <v>547.4</v>
      </c>
      <c r="I673" s="52">
        <f>I674</f>
        <v>547.4</v>
      </c>
      <c r="J673" s="300">
        <f t="shared" si="180"/>
        <v>0</v>
      </c>
      <c r="K673" s="52">
        <f t="shared" ref="K673:Q673" si="199">K674</f>
        <v>547.4</v>
      </c>
      <c r="L673" s="52">
        <f>L674</f>
        <v>547.4</v>
      </c>
      <c r="M673" s="300">
        <f t="shared" si="188"/>
        <v>0</v>
      </c>
      <c r="N673" s="52">
        <f t="shared" si="199"/>
        <v>547.4</v>
      </c>
      <c r="O673" s="300">
        <f t="shared" si="181"/>
        <v>0</v>
      </c>
      <c r="P673" s="52">
        <f t="shared" si="199"/>
        <v>547.4</v>
      </c>
      <c r="Q673" s="52">
        <f t="shared" si="199"/>
        <v>547.4</v>
      </c>
      <c r="R673" s="333">
        <f t="shared" si="182"/>
        <v>0</v>
      </c>
      <c r="S673" s="32"/>
      <c r="T673" s="32"/>
      <c r="U673" s="32"/>
    </row>
    <row r="674" spans="2:21" s="51" customFormat="1" ht="15" customHeight="1" x14ac:dyDescent="0.2">
      <c r="B674" s="97" t="s">
        <v>98</v>
      </c>
      <c r="C674" s="53" t="s">
        <v>698</v>
      </c>
      <c r="D674" s="53" t="s">
        <v>159</v>
      </c>
      <c r="E674" s="53" t="s">
        <v>72</v>
      </c>
      <c r="F674" s="74" t="s">
        <v>254</v>
      </c>
      <c r="G674" s="53" t="s">
        <v>81</v>
      </c>
      <c r="H674" s="52">
        <v>547.4</v>
      </c>
      <c r="I674" s="52">
        <v>547.4</v>
      </c>
      <c r="J674" s="300">
        <f t="shared" si="180"/>
        <v>0</v>
      </c>
      <c r="K674" s="52">
        <v>547.4</v>
      </c>
      <c r="L674" s="52">
        <v>547.4</v>
      </c>
      <c r="M674" s="300">
        <f t="shared" si="188"/>
        <v>0</v>
      </c>
      <c r="N674" s="52">
        <v>547.4</v>
      </c>
      <c r="O674" s="300">
        <f t="shared" si="181"/>
        <v>0</v>
      </c>
      <c r="P674" s="52">
        <v>547.4</v>
      </c>
      <c r="Q674" s="52">
        <v>547.4</v>
      </c>
      <c r="R674" s="333">
        <f t="shared" si="182"/>
        <v>0</v>
      </c>
      <c r="S674" s="32"/>
      <c r="T674" s="32"/>
      <c r="U674" s="32"/>
    </row>
    <row r="675" spans="2:21" s="51" customFormat="1" ht="41.25" customHeight="1" x14ac:dyDescent="0.2">
      <c r="B675" s="75" t="s">
        <v>253</v>
      </c>
      <c r="C675" s="53" t="s">
        <v>698</v>
      </c>
      <c r="D675" s="53" t="s">
        <v>159</v>
      </c>
      <c r="E675" s="53" t="s">
        <v>72</v>
      </c>
      <c r="F675" s="74" t="s">
        <v>252</v>
      </c>
      <c r="G675" s="53"/>
      <c r="H675" s="52">
        <f t="shared" ref="H675:Q675" si="200">H676</f>
        <v>785</v>
      </c>
      <c r="I675" s="52">
        <f t="shared" si="200"/>
        <v>785</v>
      </c>
      <c r="J675" s="300">
        <f t="shared" si="180"/>
        <v>0</v>
      </c>
      <c r="K675" s="52">
        <f t="shared" si="200"/>
        <v>796.9</v>
      </c>
      <c r="L675" s="52">
        <f t="shared" si="200"/>
        <v>785</v>
      </c>
      <c r="M675" s="300">
        <f t="shared" si="188"/>
        <v>0</v>
      </c>
      <c r="N675" s="52">
        <f t="shared" si="200"/>
        <v>796.9</v>
      </c>
      <c r="O675" s="300">
        <f t="shared" si="181"/>
        <v>0</v>
      </c>
      <c r="P675" s="52">
        <f t="shared" si="200"/>
        <v>811.3</v>
      </c>
      <c r="Q675" s="52">
        <f t="shared" si="200"/>
        <v>811.3</v>
      </c>
      <c r="R675" s="333">
        <f t="shared" si="182"/>
        <v>0</v>
      </c>
      <c r="S675" s="32"/>
      <c r="T675" s="32"/>
      <c r="U675" s="32"/>
    </row>
    <row r="676" spans="2:21" s="51" customFormat="1" ht="15" customHeight="1" x14ac:dyDescent="0.2">
      <c r="B676" s="116" t="s">
        <v>98</v>
      </c>
      <c r="C676" s="53" t="s">
        <v>698</v>
      </c>
      <c r="D676" s="53" t="s">
        <v>159</v>
      </c>
      <c r="E676" s="53" t="s">
        <v>72</v>
      </c>
      <c r="F676" s="74" t="s">
        <v>252</v>
      </c>
      <c r="G676" s="53" t="s">
        <v>81</v>
      </c>
      <c r="H676" s="52">
        <f>31.3+753.7</f>
        <v>785</v>
      </c>
      <c r="I676" s="52">
        <f>31.3+753.7</f>
        <v>785</v>
      </c>
      <c r="J676" s="300">
        <f t="shared" si="180"/>
        <v>0</v>
      </c>
      <c r="K676" s="52">
        <f>330.5+466.4</f>
        <v>796.9</v>
      </c>
      <c r="L676" s="52">
        <f>31.3+753.7</f>
        <v>785</v>
      </c>
      <c r="M676" s="300">
        <f t="shared" si="188"/>
        <v>0</v>
      </c>
      <c r="N676" s="52">
        <f>330.5+466.4</f>
        <v>796.9</v>
      </c>
      <c r="O676" s="300">
        <f t="shared" si="181"/>
        <v>0</v>
      </c>
      <c r="P676" s="65">
        <f>330.5+480.8</f>
        <v>811.3</v>
      </c>
      <c r="Q676" s="65">
        <f>330.5+480.8</f>
        <v>811.3</v>
      </c>
      <c r="R676" s="333">
        <f t="shared" si="182"/>
        <v>0</v>
      </c>
      <c r="S676" s="32"/>
      <c r="T676" s="32"/>
      <c r="U676" s="32"/>
    </row>
    <row r="677" spans="2:21" s="51" customFormat="1" ht="66.75" customHeight="1" x14ac:dyDescent="0.2">
      <c r="B677" s="75" t="s">
        <v>251</v>
      </c>
      <c r="C677" s="53" t="s">
        <v>698</v>
      </c>
      <c r="D677" s="53" t="s">
        <v>159</v>
      </c>
      <c r="E677" s="53" t="s">
        <v>72</v>
      </c>
      <c r="F677" s="74" t="s">
        <v>250</v>
      </c>
      <c r="G677" s="53"/>
      <c r="H677" s="52">
        <f>H678</f>
        <v>15052.1</v>
      </c>
      <c r="I677" s="52">
        <f>I678</f>
        <v>15052.1</v>
      </c>
      <c r="J677" s="300">
        <f t="shared" si="180"/>
        <v>0</v>
      </c>
      <c r="K677" s="52">
        <f t="shared" ref="K677:Q677" si="201">K678</f>
        <v>15051.7</v>
      </c>
      <c r="L677" s="52">
        <f>L678</f>
        <v>15052.1</v>
      </c>
      <c r="M677" s="300">
        <f t="shared" si="188"/>
        <v>0</v>
      </c>
      <c r="N677" s="52">
        <f t="shared" si="201"/>
        <v>15051.7</v>
      </c>
      <c r="O677" s="300">
        <f t="shared" si="181"/>
        <v>0</v>
      </c>
      <c r="P677" s="52">
        <f t="shared" si="201"/>
        <v>15528.7</v>
      </c>
      <c r="Q677" s="52">
        <f t="shared" si="201"/>
        <v>15528.7</v>
      </c>
      <c r="R677" s="333">
        <f t="shared" si="182"/>
        <v>0</v>
      </c>
      <c r="S677" s="32"/>
      <c r="T677" s="32"/>
      <c r="U677" s="32"/>
    </row>
    <row r="678" spans="2:21" s="51" customFormat="1" ht="15" customHeight="1" x14ac:dyDescent="0.2">
      <c r="B678" s="97" t="s">
        <v>98</v>
      </c>
      <c r="C678" s="53" t="s">
        <v>698</v>
      </c>
      <c r="D678" s="53" t="s">
        <v>159</v>
      </c>
      <c r="E678" s="53" t="s">
        <v>72</v>
      </c>
      <c r="F678" s="74" t="s">
        <v>250</v>
      </c>
      <c r="G678" s="53" t="s">
        <v>81</v>
      </c>
      <c r="H678" s="52">
        <f>15052.1</f>
        <v>15052.1</v>
      </c>
      <c r="I678" s="52">
        <f>15052.1</f>
        <v>15052.1</v>
      </c>
      <c r="J678" s="300">
        <f t="shared" si="180"/>
        <v>0</v>
      </c>
      <c r="K678" s="52">
        <v>15051.7</v>
      </c>
      <c r="L678" s="52">
        <f>15052.1</f>
        <v>15052.1</v>
      </c>
      <c r="M678" s="300">
        <f t="shared" si="188"/>
        <v>0</v>
      </c>
      <c r="N678" s="52">
        <v>15051.7</v>
      </c>
      <c r="O678" s="300">
        <f t="shared" si="181"/>
        <v>0</v>
      </c>
      <c r="P678" s="65">
        <v>15528.7</v>
      </c>
      <c r="Q678" s="65">
        <v>15528.7</v>
      </c>
      <c r="R678" s="333">
        <f t="shared" si="182"/>
        <v>0</v>
      </c>
      <c r="S678" s="32"/>
      <c r="T678" s="32"/>
      <c r="U678" s="32"/>
    </row>
    <row r="679" spans="2:21" s="51" customFormat="1" ht="15.75" customHeight="1" x14ac:dyDescent="0.2">
      <c r="B679" s="106" t="s">
        <v>66</v>
      </c>
      <c r="C679" s="53" t="s">
        <v>698</v>
      </c>
      <c r="D679" s="53" t="s">
        <v>159</v>
      </c>
      <c r="E679" s="53" t="s">
        <v>72</v>
      </c>
      <c r="F679" s="74" t="s">
        <v>224</v>
      </c>
      <c r="G679" s="53"/>
      <c r="H679" s="52">
        <f>H680</f>
        <v>18211.5</v>
      </c>
      <c r="I679" s="52">
        <f>I680</f>
        <v>18964.100000000002</v>
      </c>
      <c r="J679" s="300">
        <f t="shared" si="180"/>
        <v>752.60000000000218</v>
      </c>
      <c r="K679" s="52">
        <f>K680</f>
        <v>12090.900000000001</v>
      </c>
      <c r="L679" s="52">
        <f>L680</f>
        <v>18964.100000000002</v>
      </c>
      <c r="M679" s="300">
        <f t="shared" si="188"/>
        <v>0</v>
      </c>
      <c r="N679" s="52">
        <f>N680</f>
        <v>12090.900000000001</v>
      </c>
      <c r="O679" s="300">
        <f t="shared" si="181"/>
        <v>0</v>
      </c>
      <c r="P679" s="52">
        <f>P680</f>
        <v>9844.4</v>
      </c>
      <c r="Q679" s="52">
        <f>Q680</f>
        <v>9844.4</v>
      </c>
      <c r="R679" s="333">
        <f t="shared" si="182"/>
        <v>0</v>
      </c>
      <c r="S679" s="32"/>
      <c r="T679" s="32"/>
      <c r="U679" s="32"/>
    </row>
    <row r="680" spans="2:21" s="51" customFormat="1" ht="24.75" customHeight="1" x14ac:dyDescent="0.2">
      <c r="B680" s="76" t="s">
        <v>249</v>
      </c>
      <c r="C680" s="53" t="s">
        <v>698</v>
      </c>
      <c r="D680" s="53" t="s">
        <v>159</v>
      </c>
      <c r="E680" s="53" t="s">
        <v>72</v>
      </c>
      <c r="F680" s="74" t="s">
        <v>248</v>
      </c>
      <c r="G680" s="53"/>
      <c r="H680" s="52">
        <f>H687+H697+H685+H699+H695+H693+H689+H681+H683+H691</f>
        <v>18211.5</v>
      </c>
      <c r="I680" s="52">
        <f t="shared" ref="I680:Q680" si="202">I687+I697+I685+I699+I695+I693+I689+I681+I683+I691</f>
        <v>18964.100000000002</v>
      </c>
      <c r="J680" s="300">
        <f t="shared" si="180"/>
        <v>752.60000000000218</v>
      </c>
      <c r="K680" s="52">
        <f t="shared" si="202"/>
        <v>12090.900000000001</v>
      </c>
      <c r="L680" s="52">
        <f t="shared" si="202"/>
        <v>18964.100000000002</v>
      </c>
      <c r="M680" s="300">
        <f t="shared" si="188"/>
        <v>0</v>
      </c>
      <c r="N680" s="52">
        <f t="shared" si="202"/>
        <v>12090.900000000001</v>
      </c>
      <c r="O680" s="300">
        <f t="shared" si="181"/>
        <v>0</v>
      </c>
      <c r="P680" s="52">
        <f t="shared" si="202"/>
        <v>9844.4</v>
      </c>
      <c r="Q680" s="52">
        <f t="shared" si="202"/>
        <v>9844.4</v>
      </c>
      <c r="R680" s="333">
        <f t="shared" si="182"/>
        <v>0</v>
      </c>
      <c r="S680" s="32"/>
      <c r="T680" s="32"/>
      <c r="U680" s="32"/>
    </row>
    <row r="681" spans="2:21" s="51" customFormat="1" ht="42.75" customHeight="1" x14ac:dyDescent="0.2">
      <c r="B681" s="56" t="s">
        <v>1083</v>
      </c>
      <c r="C681" s="53" t="s">
        <v>698</v>
      </c>
      <c r="D681" s="53" t="s">
        <v>159</v>
      </c>
      <c r="E681" s="53" t="s">
        <v>72</v>
      </c>
      <c r="F681" s="54" t="s">
        <v>1084</v>
      </c>
      <c r="G681" s="53"/>
      <c r="H681" s="52">
        <f>H682</f>
        <v>0</v>
      </c>
      <c r="I681" s="52">
        <f t="shared" ref="I681:Q681" si="203">I682</f>
        <v>40</v>
      </c>
      <c r="J681" s="300">
        <f t="shared" si="180"/>
        <v>40</v>
      </c>
      <c r="K681" s="52">
        <f t="shared" si="203"/>
        <v>0</v>
      </c>
      <c r="L681" s="52">
        <f t="shared" si="203"/>
        <v>40</v>
      </c>
      <c r="M681" s="300">
        <f t="shared" si="188"/>
        <v>0</v>
      </c>
      <c r="N681" s="52">
        <f t="shared" si="203"/>
        <v>0</v>
      </c>
      <c r="O681" s="300">
        <f t="shared" si="181"/>
        <v>0</v>
      </c>
      <c r="P681" s="52">
        <f t="shared" si="203"/>
        <v>0</v>
      </c>
      <c r="Q681" s="52">
        <f t="shared" si="203"/>
        <v>0</v>
      </c>
      <c r="R681" s="333">
        <f t="shared" si="182"/>
        <v>0</v>
      </c>
      <c r="S681" s="32"/>
      <c r="T681" s="32"/>
      <c r="U681" s="32"/>
    </row>
    <row r="682" spans="2:21" s="51" customFormat="1" ht="15.75" customHeight="1" x14ac:dyDescent="0.2">
      <c r="B682" s="113" t="s">
        <v>98</v>
      </c>
      <c r="C682" s="53" t="s">
        <v>698</v>
      </c>
      <c r="D682" s="53" t="s">
        <v>159</v>
      </c>
      <c r="E682" s="53" t="s">
        <v>72</v>
      </c>
      <c r="F682" s="54" t="s">
        <v>1084</v>
      </c>
      <c r="G682" s="53" t="s">
        <v>81</v>
      </c>
      <c r="H682" s="52">
        <v>0</v>
      </c>
      <c r="I682" s="52">
        <f>40</f>
        <v>40</v>
      </c>
      <c r="J682" s="300">
        <f t="shared" si="180"/>
        <v>40</v>
      </c>
      <c r="K682" s="52">
        <v>0</v>
      </c>
      <c r="L682" s="52">
        <f>40</f>
        <v>40</v>
      </c>
      <c r="M682" s="300">
        <f t="shared" si="188"/>
        <v>0</v>
      </c>
      <c r="N682" s="52">
        <v>0</v>
      </c>
      <c r="O682" s="300">
        <f t="shared" si="181"/>
        <v>0</v>
      </c>
      <c r="P682" s="65">
        <v>0</v>
      </c>
      <c r="Q682" s="52">
        <v>0</v>
      </c>
      <c r="R682" s="333">
        <f t="shared" si="182"/>
        <v>0</v>
      </c>
      <c r="S682" s="32"/>
      <c r="T682" s="32"/>
      <c r="U682" s="32"/>
    </row>
    <row r="683" spans="2:21" s="51" customFormat="1" ht="29.25" customHeight="1" x14ac:dyDescent="0.2">
      <c r="B683" s="114" t="s">
        <v>1085</v>
      </c>
      <c r="C683" s="53" t="s">
        <v>698</v>
      </c>
      <c r="D683" s="53" t="s">
        <v>159</v>
      </c>
      <c r="E683" s="53" t="s">
        <v>72</v>
      </c>
      <c r="F683" s="54" t="s">
        <v>1086</v>
      </c>
      <c r="G683" s="53"/>
      <c r="H683" s="52">
        <f>H684</f>
        <v>0</v>
      </c>
      <c r="I683" s="52">
        <f t="shared" ref="I683:Q683" si="204">I684</f>
        <v>583.70000000000005</v>
      </c>
      <c r="J683" s="300">
        <f t="shared" si="180"/>
        <v>583.70000000000005</v>
      </c>
      <c r="K683" s="52">
        <f t="shared" si="204"/>
        <v>0</v>
      </c>
      <c r="L683" s="52">
        <f t="shared" si="204"/>
        <v>583.70000000000005</v>
      </c>
      <c r="M683" s="300">
        <f t="shared" si="188"/>
        <v>0</v>
      </c>
      <c r="N683" s="52">
        <f t="shared" si="204"/>
        <v>0</v>
      </c>
      <c r="O683" s="300">
        <f t="shared" si="181"/>
        <v>0</v>
      </c>
      <c r="P683" s="52">
        <f t="shared" si="204"/>
        <v>0</v>
      </c>
      <c r="Q683" s="52">
        <f t="shared" si="204"/>
        <v>0</v>
      </c>
      <c r="R683" s="333">
        <f t="shared" si="182"/>
        <v>0</v>
      </c>
      <c r="S683" s="32"/>
      <c r="T683" s="32"/>
      <c r="U683" s="32"/>
    </row>
    <row r="684" spans="2:21" s="51" customFormat="1" ht="15.75" customHeight="1" x14ac:dyDescent="0.2">
      <c r="B684" s="113" t="s">
        <v>98</v>
      </c>
      <c r="C684" s="53" t="s">
        <v>698</v>
      </c>
      <c r="D684" s="53" t="s">
        <v>159</v>
      </c>
      <c r="E684" s="53" t="s">
        <v>72</v>
      </c>
      <c r="F684" s="54" t="s">
        <v>1086</v>
      </c>
      <c r="G684" s="53" t="s">
        <v>81</v>
      </c>
      <c r="H684" s="52">
        <v>0</v>
      </c>
      <c r="I684" s="52">
        <f>146.6+210+227.1</f>
        <v>583.70000000000005</v>
      </c>
      <c r="J684" s="300">
        <f t="shared" si="180"/>
        <v>583.70000000000005</v>
      </c>
      <c r="K684" s="52">
        <v>0</v>
      </c>
      <c r="L684" s="52">
        <f>146.6+210+227.1</f>
        <v>583.70000000000005</v>
      </c>
      <c r="M684" s="300">
        <f t="shared" si="188"/>
        <v>0</v>
      </c>
      <c r="N684" s="52">
        <v>0</v>
      </c>
      <c r="O684" s="300">
        <f t="shared" si="181"/>
        <v>0</v>
      </c>
      <c r="P684" s="65">
        <v>0</v>
      </c>
      <c r="Q684" s="52">
        <v>0</v>
      </c>
      <c r="R684" s="333">
        <f t="shared" si="182"/>
        <v>0</v>
      </c>
      <c r="S684" s="32"/>
      <c r="T684" s="32"/>
      <c r="U684" s="32"/>
    </row>
    <row r="685" spans="2:21" s="51" customFormat="1" ht="15" customHeight="1" x14ac:dyDescent="0.2">
      <c r="B685" s="115" t="s">
        <v>247</v>
      </c>
      <c r="C685" s="53" t="s">
        <v>698</v>
      </c>
      <c r="D685" s="53" t="s">
        <v>159</v>
      </c>
      <c r="E685" s="53" t="s">
        <v>72</v>
      </c>
      <c r="F685" s="74" t="s">
        <v>246</v>
      </c>
      <c r="G685" s="53"/>
      <c r="H685" s="52">
        <f>H686</f>
        <v>1000.2</v>
      </c>
      <c r="I685" s="52">
        <f>I686</f>
        <v>1000.2</v>
      </c>
      <c r="J685" s="300">
        <f t="shared" si="180"/>
        <v>0</v>
      </c>
      <c r="K685" s="52">
        <f>K686</f>
        <v>0</v>
      </c>
      <c r="L685" s="52">
        <f>L686</f>
        <v>1000.2</v>
      </c>
      <c r="M685" s="300">
        <f t="shared" si="188"/>
        <v>0</v>
      </c>
      <c r="N685" s="52">
        <f>N686</f>
        <v>0</v>
      </c>
      <c r="O685" s="300">
        <f t="shared" si="181"/>
        <v>0</v>
      </c>
      <c r="P685" s="52">
        <f>P686</f>
        <v>0</v>
      </c>
      <c r="Q685" s="52">
        <f>Q686</f>
        <v>0</v>
      </c>
      <c r="R685" s="333">
        <f t="shared" si="182"/>
        <v>0</v>
      </c>
      <c r="S685" s="32"/>
      <c r="T685" s="32"/>
      <c r="U685" s="32"/>
    </row>
    <row r="686" spans="2:21" s="51" customFormat="1" ht="15" customHeight="1" x14ac:dyDescent="0.2">
      <c r="B686" s="97" t="s">
        <v>98</v>
      </c>
      <c r="C686" s="53" t="s">
        <v>698</v>
      </c>
      <c r="D686" s="53" t="s">
        <v>159</v>
      </c>
      <c r="E686" s="53" t="s">
        <v>72</v>
      </c>
      <c r="F686" s="74" t="s">
        <v>246</v>
      </c>
      <c r="G686" s="53" t="s">
        <v>81</v>
      </c>
      <c r="H686" s="52">
        <f>1000+0.2</f>
        <v>1000.2</v>
      </c>
      <c r="I686" s="52">
        <f>1000+0.2</f>
        <v>1000.2</v>
      </c>
      <c r="J686" s="300">
        <f t="shared" si="180"/>
        <v>0</v>
      </c>
      <c r="K686" s="52">
        <v>0</v>
      </c>
      <c r="L686" s="52">
        <f>1000+0.2</f>
        <v>1000.2</v>
      </c>
      <c r="M686" s="300">
        <f t="shared" si="188"/>
        <v>0</v>
      </c>
      <c r="N686" s="52">
        <v>0</v>
      </c>
      <c r="O686" s="300">
        <f t="shared" si="181"/>
        <v>0</v>
      </c>
      <c r="P686" s="52">
        <v>0</v>
      </c>
      <c r="Q686" s="52">
        <v>0</v>
      </c>
      <c r="R686" s="333">
        <f t="shared" si="182"/>
        <v>0</v>
      </c>
      <c r="S686" s="32"/>
      <c r="T686" s="32"/>
      <c r="U686" s="32"/>
    </row>
    <row r="687" spans="2:21" s="51" customFormat="1" ht="24.75" customHeight="1" x14ac:dyDescent="0.2">
      <c r="B687" s="106" t="s">
        <v>245</v>
      </c>
      <c r="C687" s="53" t="s">
        <v>698</v>
      </c>
      <c r="D687" s="53" t="s">
        <v>159</v>
      </c>
      <c r="E687" s="53" t="s">
        <v>72</v>
      </c>
      <c r="F687" s="74" t="s">
        <v>244</v>
      </c>
      <c r="G687" s="53"/>
      <c r="H687" s="52">
        <f>H688</f>
        <v>4592.7999999999993</v>
      </c>
      <c r="I687" s="52">
        <f>I688</f>
        <v>4592.7999999999993</v>
      </c>
      <c r="J687" s="300">
        <f t="shared" si="180"/>
        <v>0</v>
      </c>
      <c r="K687" s="52">
        <f>K688</f>
        <v>5561.3</v>
      </c>
      <c r="L687" s="52">
        <f>L688</f>
        <v>4592.7999999999993</v>
      </c>
      <c r="M687" s="300">
        <f t="shared" si="188"/>
        <v>0</v>
      </c>
      <c r="N687" s="52">
        <f>N688</f>
        <v>5561.3</v>
      </c>
      <c r="O687" s="300">
        <f t="shared" si="181"/>
        <v>0</v>
      </c>
      <c r="P687" s="52">
        <f>P688</f>
        <v>3616.2999999999997</v>
      </c>
      <c r="Q687" s="52">
        <f>Q688</f>
        <v>3616.2999999999997</v>
      </c>
      <c r="R687" s="333">
        <f t="shared" si="182"/>
        <v>0</v>
      </c>
      <c r="S687" s="32"/>
      <c r="T687" s="32"/>
      <c r="U687" s="32"/>
    </row>
    <row r="688" spans="2:21" s="51" customFormat="1" ht="15" customHeight="1" x14ac:dyDescent="0.2">
      <c r="B688" s="97" t="s">
        <v>98</v>
      </c>
      <c r="C688" s="53" t="s">
        <v>698</v>
      </c>
      <c r="D688" s="53" t="s">
        <v>159</v>
      </c>
      <c r="E688" s="53" t="s">
        <v>72</v>
      </c>
      <c r="F688" s="74" t="s">
        <v>244</v>
      </c>
      <c r="G688" s="53" t="s">
        <v>81</v>
      </c>
      <c r="H688" s="52">
        <f>4591.9+0.9</f>
        <v>4592.7999999999993</v>
      </c>
      <c r="I688" s="52">
        <f>4591.9+0.9</f>
        <v>4592.7999999999993</v>
      </c>
      <c r="J688" s="300">
        <f t="shared" si="180"/>
        <v>0</v>
      </c>
      <c r="K688" s="52">
        <f>5560.2+1.1</f>
        <v>5561.3</v>
      </c>
      <c r="L688" s="52">
        <f>4591.9+0.9</f>
        <v>4592.7999999999993</v>
      </c>
      <c r="M688" s="300">
        <f t="shared" si="188"/>
        <v>0</v>
      </c>
      <c r="N688" s="52">
        <f>5560.2+1.1</f>
        <v>5561.3</v>
      </c>
      <c r="O688" s="300">
        <f t="shared" si="181"/>
        <v>0</v>
      </c>
      <c r="P688" s="52">
        <f>3615.6+0.7</f>
        <v>3616.2999999999997</v>
      </c>
      <c r="Q688" s="52">
        <f>3615.6+0.7</f>
        <v>3616.2999999999997</v>
      </c>
      <c r="R688" s="333">
        <f t="shared" si="182"/>
        <v>0</v>
      </c>
      <c r="S688" s="32"/>
      <c r="T688" s="32"/>
      <c r="U688" s="32"/>
    </row>
    <row r="689" spans="2:21" s="51" customFormat="1" ht="24.75" customHeight="1" x14ac:dyDescent="0.2">
      <c r="B689" s="75" t="s">
        <v>243</v>
      </c>
      <c r="C689" s="53" t="s">
        <v>698</v>
      </c>
      <c r="D689" s="53" t="s">
        <v>159</v>
      </c>
      <c r="E689" s="53" t="s">
        <v>72</v>
      </c>
      <c r="F689" s="103" t="s">
        <v>242</v>
      </c>
      <c r="G689" s="73"/>
      <c r="H689" s="104">
        <f>H690</f>
        <v>3650.2</v>
      </c>
      <c r="I689" s="104">
        <f>I690</f>
        <v>3650.2</v>
      </c>
      <c r="J689" s="300">
        <f t="shared" si="180"/>
        <v>0</v>
      </c>
      <c r="K689" s="104">
        <f t="shared" ref="K689:Q689" si="205">K690</f>
        <v>0</v>
      </c>
      <c r="L689" s="104">
        <f>L690</f>
        <v>3650.2</v>
      </c>
      <c r="M689" s="300">
        <f t="shared" si="188"/>
        <v>0</v>
      </c>
      <c r="N689" s="104">
        <f t="shared" si="205"/>
        <v>0</v>
      </c>
      <c r="O689" s="300">
        <f t="shared" si="181"/>
        <v>0</v>
      </c>
      <c r="P689" s="104">
        <f t="shared" si="205"/>
        <v>0</v>
      </c>
      <c r="Q689" s="104">
        <f t="shared" si="205"/>
        <v>0</v>
      </c>
      <c r="R689" s="333">
        <f t="shared" si="182"/>
        <v>0</v>
      </c>
      <c r="S689" s="32"/>
      <c r="T689" s="32"/>
      <c r="U689" s="32"/>
    </row>
    <row r="690" spans="2:21" s="51" customFormat="1" ht="15" customHeight="1" x14ac:dyDescent="0.2">
      <c r="B690" s="97" t="s">
        <v>98</v>
      </c>
      <c r="C690" s="53" t="s">
        <v>698</v>
      </c>
      <c r="D690" s="53" t="s">
        <v>159</v>
      </c>
      <c r="E690" s="53" t="s">
        <v>72</v>
      </c>
      <c r="F690" s="103" t="s">
        <v>242</v>
      </c>
      <c r="G690" s="73" t="s">
        <v>81</v>
      </c>
      <c r="H690" s="104">
        <f>2000+0.2+1650</f>
        <v>3650.2</v>
      </c>
      <c r="I690" s="104">
        <f>2000+0.2+1650</f>
        <v>3650.2</v>
      </c>
      <c r="J690" s="300">
        <f t="shared" si="180"/>
        <v>0</v>
      </c>
      <c r="K690" s="104">
        <v>0</v>
      </c>
      <c r="L690" s="104">
        <f>2000+0.2+1650</f>
        <v>3650.2</v>
      </c>
      <c r="M690" s="300">
        <f t="shared" si="188"/>
        <v>0</v>
      </c>
      <c r="N690" s="104">
        <v>0</v>
      </c>
      <c r="O690" s="300">
        <f t="shared" si="181"/>
        <v>0</v>
      </c>
      <c r="P690" s="111">
        <v>0</v>
      </c>
      <c r="Q690" s="111">
        <v>0</v>
      </c>
      <c r="R690" s="333">
        <f t="shared" si="182"/>
        <v>0</v>
      </c>
      <c r="S690" s="32"/>
      <c r="T690" s="32"/>
      <c r="U690" s="32"/>
    </row>
    <row r="691" spans="2:21" s="51" customFormat="1" ht="54" customHeight="1" x14ac:dyDescent="0.2">
      <c r="B691" s="75" t="s">
        <v>275</v>
      </c>
      <c r="C691" s="53" t="s">
        <v>698</v>
      </c>
      <c r="D691" s="53" t="s">
        <v>159</v>
      </c>
      <c r="E691" s="53" t="s">
        <v>72</v>
      </c>
      <c r="F691" s="103" t="s">
        <v>274</v>
      </c>
      <c r="G691" s="53"/>
      <c r="H691" s="104">
        <f>H692</f>
        <v>0</v>
      </c>
      <c r="I691" s="104">
        <f>I692</f>
        <v>128.9</v>
      </c>
      <c r="J691" s="300">
        <f t="shared" si="180"/>
        <v>128.9</v>
      </c>
      <c r="K691" s="104">
        <f>K692</f>
        <v>0</v>
      </c>
      <c r="L691" s="104">
        <f>L692</f>
        <v>128.9</v>
      </c>
      <c r="M691" s="300">
        <f t="shared" si="188"/>
        <v>0</v>
      </c>
      <c r="N691" s="104">
        <f>N692</f>
        <v>0</v>
      </c>
      <c r="O691" s="300">
        <f t="shared" si="181"/>
        <v>0</v>
      </c>
      <c r="P691" s="104">
        <f>P692</f>
        <v>0</v>
      </c>
      <c r="Q691" s="104">
        <f>Q692</f>
        <v>0</v>
      </c>
      <c r="R691" s="333">
        <f t="shared" si="182"/>
        <v>0</v>
      </c>
      <c r="S691" s="32"/>
      <c r="T691" s="32"/>
      <c r="U691" s="32"/>
    </row>
    <row r="692" spans="2:21" s="51" customFormat="1" ht="16.5" customHeight="1" x14ac:dyDescent="0.2">
      <c r="B692" s="97" t="s">
        <v>98</v>
      </c>
      <c r="C692" s="53" t="s">
        <v>698</v>
      </c>
      <c r="D692" s="53" t="s">
        <v>159</v>
      </c>
      <c r="E692" s="53" t="s">
        <v>72</v>
      </c>
      <c r="F692" s="103" t="s">
        <v>274</v>
      </c>
      <c r="G692" s="53" t="s">
        <v>81</v>
      </c>
      <c r="H692" s="104">
        <v>0</v>
      </c>
      <c r="I692" s="104">
        <f>125+3.9</f>
        <v>128.9</v>
      </c>
      <c r="J692" s="300">
        <f t="shared" si="180"/>
        <v>128.9</v>
      </c>
      <c r="K692" s="104">
        <v>0</v>
      </c>
      <c r="L692" s="104">
        <f>125+3.9</f>
        <v>128.9</v>
      </c>
      <c r="M692" s="300">
        <f t="shared" si="188"/>
        <v>0</v>
      </c>
      <c r="N692" s="104">
        <v>0</v>
      </c>
      <c r="O692" s="300">
        <f t="shared" si="181"/>
        <v>0</v>
      </c>
      <c r="P692" s="104">
        <v>0</v>
      </c>
      <c r="Q692" s="104">
        <v>0</v>
      </c>
      <c r="R692" s="333">
        <f t="shared" si="182"/>
        <v>0</v>
      </c>
      <c r="S692" s="32"/>
      <c r="T692" s="32"/>
      <c r="U692" s="32"/>
    </row>
    <row r="693" spans="2:21" s="51" customFormat="1" ht="40.5" customHeight="1" x14ac:dyDescent="0.2">
      <c r="B693" s="75" t="s">
        <v>241</v>
      </c>
      <c r="C693" s="53" t="s">
        <v>698</v>
      </c>
      <c r="D693" s="53" t="s">
        <v>159</v>
      </c>
      <c r="E693" s="53" t="s">
        <v>72</v>
      </c>
      <c r="F693" s="74" t="s">
        <v>240</v>
      </c>
      <c r="G693" s="53"/>
      <c r="H693" s="104">
        <f>H694</f>
        <v>612.20000000000005</v>
      </c>
      <c r="I693" s="104">
        <f>I694</f>
        <v>612.20000000000005</v>
      </c>
      <c r="J693" s="300">
        <f t="shared" si="180"/>
        <v>0</v>
      </c>
      <c r="K693" s="104">
        <f t="shared" ref="K693:Q693" si="206">K694</f>
        <v>0</v>
      </c>
      <c r="L693" s="104">
        <f>L694</f>
        <v>612.20000000000005</v>
      </c>
      <c r="M693" s="300">
        <f t="shared" si="188"/>
        <v>0</v>
      </c>
      <c r="N693" s="104">
        <f t="shared" si="206"/>
        <v>0</v>
      </c>
      <c r="O693" s="300">
        <f t="shared" si="181"/>
        <v>0</v>
      </c>
      <c r="P693" s="104">
        <f t="shared" si="206"/>
        <v>0</v>
      </c>
      <c r="Q693" s="104">
        <f t="shared" si="206"/>
        <v>0</v>
      </c>
      <c r="R693" s="333">
        <f t="shared" si="182"/>
        <v>0</v>
      </c>
      <c r="S693" s="32"/>
      <c r="T693" s="32"/>
      <c r="U693" s="32"/>
    </row>
    <row r="694" spans="2:21" s="51" customFormat="1" ht="15" customHeight="1" x14ac:dyDescent="0.2">
      <c r="B694" s="97" t="s">
        <v>98</v>
      </c>
      <c r="C694" s="53" t="s">
        <v>698</v>
      </c>
      <c r="D694" s="53" t="s">
        <v>159</v>
      </c>
      <c r="E694" s="53" t="s">
        <v>72</v>
      </c>
      <c r="F694" s="74" t="s">
        <v>240</v>
      </c>
      <c r="G694" s="53" t="s">
        <v>81</v>
      </c>
      <c r="H694" s="104">
        <f>600+12.2</f>
        <v>612.20000000000005</v>
      </c>
      <c r="I694" s="104">
        <f>600+12.2</f>
        <v>612.20000000000005</v>
      </c>
      <c r="J694" s="300">
        <f t="shared" si="180"/>
        <v>0</v>
      </c>
      <c r="K694" s="104">
        <v>0</v>
      </c>
      <c r="L694" s="104">
        <f>600+12.2</f>
        <v>612.20000000000005</v>
      </c>
      <c r="M694" s="300">
        <f t="shared" si="188"/>
        <v>0</v>
      </c>
      <c r="N694" s="104">
        <v>0</v>
      </c>
      <c r="O694" s="300">
        <f t="shared" si="181"/>
        <v>0</v>
      </c>
      <c r="P694" s="104">
        <v>0</v>
      </c>
      <c r="Q694" s="104">
        <v>0</v>
      </c>
      <c r="R694" s="333">
        <f t="shared" si="182"/>
        <v>0</v>
      </c>
      <c r="S694" s="32"/>
      <c r="T694" s="32"/>
      <c r="U694" s="32"/>
    </row>
    <row r="695" spans="2:21" s="51" customFormat="1" ht="54.75" customHeight="1" x14ac:dyDescent="0.2">
      <c r="B695" s="75" t="s">
        <v>239</v>
      </c>
      <c r="C695" s="53" t="s">
        <v>698</v>
      </c>
      <c r="D695" s="53" t="s">
        <v>159</v>
      </c>
      <c r="E695" s="53" t="s">
        <v>72</v>
      </c>
      <c r="F695" s="103" t="s">
        <v>238</v>
      </c>
      <c r="G695" s="53"/>
      <c r="H695" s="104">
        <f>H696</f>
        <v>1385.6</v>
      </c>
      <c r="I695" s="104">
        <f>I696</f>
        <v>1385.6</v>
      </c>
      <c r="J695" s="300">
        <f t="shared" si="180"/>
        <v>0</v>
      </c>
      <c r="K695" s="104">
        <f>K696</f>
        <v>1385.6</v>
      </c>
      <c r="L695" s="104">
        <f>L696</f>
        <v>1385.6</v>
      </c>
      <c r="M695" s="300">
        <f t="shared" si="188"/>
        <v>0</v>
      </c>
      <c r="N695" s="104">
        <f>N696</f>
        <v>1385.6</v>
      </c>
      <c r="O695" s="300">
        <f t="shared" si="181"/>
        <v>0</v>
      </c>
      <c r="P695" s="104">
        <f>P696</f>
        <v>1385.6</v>
      </c>
      <c r="Q695" s="104">
        <f>Q696</f>
        <v>1385.6</v>
      </c>
      <c r="R695" s="333">
        <f t="shared" si="182"/>
        <v>0</v>
      </c>
      <c r="S695" s="32"/>
      <c r="T695" s="32"/>
      <c r="U695" s="32"/>
    </row>
    <row r="696" spans="2:21" s="51" customFormat="1" ht="15" customHeight="1" x14ac:dyDescent="0.2">
      <c r="B696" s="113" t="s">
        <v>98</v>
      </c>
      <c r="C696" s="53" t="s">
        <v>698</v>
      </c>
      <c r="D696" s="53" t="s">
        <v>159</v>
      </c>
      <c r="E696" s="53" t="s">
        <v>72</v>
      </c>
      <c r="F696" s="103" t="s">
        <v>238</v>
      </c>
      <c r="G696" s="53" t="s">
        <v>81</v>
      </c>
      <c r="H696" s="104">
        <f>1108.5+277.1</f>
        <v>1385.6</v>
      </c>
      <c r="I696" s="104">
        <f>1108.5+277.1</f>
        <v>1385.6</v>
      </c>
      <c r="J696" s="300">
        <f t="shared" ref="J696:J773" si="207">I696-H696</f>
        <v>0</v>
      </c>
      <c r="K696" s="104">
        <f>1108.5+277.1</f>
        <v>1385.6</v>
      </c>
      <c r="L696" s="104">
        <f>1108.5+277.1</f>
        <v>1385.6</v>
      </c>
      <c r="M696" s="300">
        <f t="shared" si="188"/>
        <v>0</v>
      </c>
      <c r="N696" s="104">
        <f>1108.5+277.1</f>
        <v>1385.6</v>
      </c>
      <c r="O696" s="300">
        <f t="shared" ref="O696:O773" si="208">N696-K696</f>
        <v>0</v>
      </c>
      <c r="P696" s="104">
        <f>1108.5+277.1</f>
        <v>1385.6</v>
      </c>
      <c r="Q696" s="104">
        <f>1108.5+277.1</f>
        <v>1385.6</v>
      </c>
      <c r="R696" s="333">
        <f t="shared" si="182"/>
        <v>0</v>
      </c>
      <c r="S696" s="32"/>
      <c r="T696" s="32"/>
      <c r="U696" s="32"/>
    </row>
    <row r="697" spans="2:21" s="51" customFormat="1" ht="43.5" customHeight="1" x14ac:dyDescent="0.2">
      <c r="B697" s="114" t="s">
        <v>237</v>
      </c>
      <c r="C697" s="53" t="s">
        <v>698</v>
      </c>
      <c r="D697" s="53" t="s">
        <v>159</v>
      </c>
      <c r="E697" s="53" t="s">
        <v>72</v>
      </c>
      <c r="F697" s="74" t="s">
        <v>236</v>
      </c>
      <c r="G697" s="53"/>
      <c r="H697" s="52">
        <f>H698</f>
        <v>1142.3000000000002</v>
      </c>
      <c r="I697" s="52">
        <f>I698</f>
        <v>1142.3000000000002</v>
      </c>
      <c r="J697" s="300">
        <f t="shared" si="207"/>
        <v>0</v>
      </c>
      <c r="K697" s="52">
        <f>K698</f>
        <v>0</v>
      </c>
      <c r="L697" s="52">
        <f>L698</f>
        <v>1142.3000000000002</v>
      </c>
      <c r="M697" s="300">
        <f t="shared" si="188"/>
        <v>0</v>
      </c>
      <c r="N697" s="52">
        <f>N698</f>
        <v>0</v>
      </c>
      <c r="O697" s="300">
        <f t="shared" si="208"/>
        <v>0</v>
      </c>
      <c r="P697" s="52">
        <f>P698</f>
        <v>0</v>
      </c>
      <c r="Q697" s="52">
        <f>Q698</f>
        <v>0</v>
      </c>
      <c r="R697" s="333">
        <f t="shared" si="182"/>
        <v>0</v>
      </c>
      <c r="S697" s="32"/>
      <c r="T697" s="32"/>
      <c r="U697" s="32"/>
    </row>
    <row r="698" spans="2:21" s="51" customFormat="1" ht="15" customHeight="1" x14ac:dyDescent="0.2">
      <c r="B698" s="113" t="s">
        <v>98</v>
      </c>
      <c r="C698" s="53" t="s">
        <v>698</v>
      </c>
      <c r="D698" s="53" t="s">
        <v>159</v>
      </c>
      <c r="E698" s="53" t="s">
        <v>72</v>
      </c>
      <c r="F698" s="74" t="s">
        <v>236</v>
      </c>
      <c r="G698" s="53" t="s">
        <v>81</v>
      </c>
      <c r="H698" s="52">
        <f>2866.3+0.6-1724.3-0.3</f>
        <v>1142.3000000000002</v>
      </c>
      <c r="I698" s="52">
        <f>2866.3+0.6-1724.3-0.3</f>
        <v>1142.3000000000002</v>
      </c>
      <c r="J698" s="300">
        <f t="shared" si="207"/>
        <v>0</v>
      </c>
      <c r="K698" s="52">
        <v>0</v>
      </c>
      <c r="L698" s="52">
        <f>2866.3+0.6-1724.3-0.3</f>
        <v>1142.3000000000002</v>
      </c>
      <c r="M698" s="300">
        <f t="shared" si="188"/>
        <v>0</v>
      </c>
      <c r="N698" s="52">
        <v>0</v>
      </c>
      <c r="O698" s="300">
        <f t="shared" si="208"/>
        <v>0</v>
      </c>
      <c r="P698" s="52">
        <v>0</v>
      </c>
      <c r="Q698" s="52">
        <v>0</v>
      </c>
      <c r="R698" s="333">
        <f t="shared" si="182"/>
        <v>0</v>
      </c>
      <c r="S698" s="32"/>
      <c r="T698" s="32"/>
      <c r="U698" s="32"/>
    </row>
    <row r="699" spans="2:21" s="51" customFormat="1" ht="43.5" customHeight="1" x14ac:dyDescent="0.2">
      <c r="B699" s="75" t="s">
        <v>233</v>
      </c>
      <c r="C699" s="53" t="s">
        <v>698</v>
      </c>
      <c r="D699" s="53" t="s">
        <v>159</v>
      </c>
      <c r="E699" s="53" t="s">
        <v>72</v>
      </c>
      <c r="F699" s="103" t="s">
        <v>232</v>
      </c>
      <c r="G699" s="53"/>
      <c r="H699" s="104">
        <f>H700</f>
        <v>5828.2</v>
      </c>
      <c r="I699" s="104">
        <f>I700</f>
        <v>5828.2</v>
      </c>
      <c r="J699" s="300">
        <f t="shared" si="207"/>
        <v>0</v>
      </c>
      <c r="K699" s="104">
        <f>K700</f>
        <v>5144.0000000000009</v>
      </c>
      <c r="L699" s="104">
        <f>L700</f>
        <v>5828.2</v>
      </c>
      <c r="M699" s="300">
        <f t="shared" si="188"/>
        <v>0</v>
      </c>
      <c r="N699" s="104">
        <f>N700</f>
        <v>5144.0000000000009</v>
      </c>
      <c r="O699" s="300">
        <f t="shared" si="208"/>
        <v>0</v>
      </c>
      <c r="P699" s="104">
        <f>P700</f>
        <v>4842.5</v>
      </c>
      <c r="Q699" s="104">
        <f>Q700</f>
        <v>4842.5</v>
      </c>
      <c r="R699" s="333">
        <f t="shared" si="182"/>
        <v>0</v>
      </c>
      <c r="S699" s="32"/>
      <c r="T699" s="32"/>
      <c r="U699" s="32"/>
    </row>
    <row r="700" spans="2:21" s="51" customFormat="1" ht="15" customHeight="1" x14ac:dyDescent="0.2">
      <c r="B700" s="97" t="s">
        <v>98</v>
      </c>
      <c r="C700" s="53" t="s">
        <v>698</v>
      </c>
      <c r="D700" s="53" t="s">
        <v>159</v>
      </c>
      <c r="E700" s="53" t="s">
        <v>72</v>
      </c>
      <c r="F700" s="103" t="s">
        <v>232</v>
      </c>
      <c r="G700" s="53" t="s">
        <v>81</v>
      </c>
      <c r="H700" s="104">
        <f>1466.9+29.9+4244.7+86.7</f>
        <v>5828.2</v>
      </c>
      <c r="I700" s="104">
        <f>1466.9+29.9+4244.7+86.7</f>
        <v>5828.2</v>
      </c>
      <c r="J700" s="300">
        <f t="shared" si="207"/>
        <v>0</v>
      </c>
      <c r="K700" s="104">
        <f>1995.3+40.7+3045.8+62.6-0.4</f>
        <v>5144.0000000000009</v>
      </c>
      <c r="L700" s="104">
        <f>1466.9+29.9+4244.7+86.7</f>
        <v>5828.2</v>
      </c>
      <c r="M700" s="300">
        <f t="shared" si="188"/>
        <v>0</v>
      </c>
      <c r="N700" s="104">
        <f>1995.3+40.7+3045.8+62.6-0.4</f>
        <v>5144.0000000000009</v>
      </c>
      <c r="O700" s="300">
        <f t="shared" si="208"/>
        <v>0</v>
      </c>
      <c r="P700" s="104">
        <f>1995.3+40.7+2750.4+56.1</f>
        <v>4842.5</v>
      </c>
      <c r="Q700" s="104">
        <f>1995.3+40.7+2750.4+56.1</f>
        <v>4842.5</v>
      </c>
      <c r="R700" s="333">
        <f t="shared" si="182"/>
        <v>0</v>
      </c>
      <c r="S700" s="32"/>
      <c r="T700" s="32"/>
      <c r="U700" s="32"/>
    </row>
    <row r="701" spans="2:21" s="51" customFormat="1" ht="18" customHeight="1" x14ac:dyDescent="0.2">
      <c r="B701" s="56" t="s">
        <v>52</v>
      </c>
      <c r="C701" s="53" t="s">
        <v>698</v>
      </c>
      <c r="D701" s="53" t="s">
        <v>159</v>
      </c>
      <c r="E701" s="53" t="s">
        <v>72</v>
      </c>
      <c r="F701" s="54" t="s">
        <v>140</v>
      </c>
      <c r="G701" s="53"/>
      <c r="H701" s="52">
        <f>H702+H709+H712</f>
        <v>188655.50000000003</v>
      </c>
      <c r="I701" s="52">
        <f>I702+I709+I712</f>
        <v>188655.5</v>
      </c>
      <c r="J701" s="300">
        <f t="shared" si="207"/>
        <v>0</v>
      </c>
      <c r="K701" s="52">
        <f>K702+K709+K712</f>
        <v>188930.2</v>
      </c>
      <c r="L701" s="52">
        <f>L702+L709+L712</f>
        <v>187333.2</v>
      </c>
      <c r="M701" s="300">
        <f t="shared" si="188"/>
        <v>-1322.2999999999884</v>
      </c>
      <c r="N701" s="52">
        <f>N702+N709+N712</f>
        <v>188930.2</v>
      </c>
      <c r="O701" s="300">
        <f t="shared" si="208"/>
        <v>0</v>
      </c>
      <c r="P701" s="52">
        <f>P702+P709+P712</f>
        <v>188888.1</v>
      </c>
      <c r="Q701" s="52">
        <f>Q702+Q709+Q712</f>
        <v>188888.1</v>
      </c>
      <c r="R701" s="333">
        <f t="shared" si="182"/>
        <v>0</v>
      </c>
      <c r="S701" s="32"/>
      <c r="T701" s="32"/>
      <c r="U701" s="32"/>
    </row>
    <row r="702" spans="2:21" s="51" customFormat="1" ht="26.25" customHeight="1" x14ac:dyDescent="0.2">
      <c r="B702" s="56" t="s">
        <v>219</v>
      </c>
      <c r="C702" s="53" t="s">
        <v>698</v>
      </c>
      <c r="D702" s="53" t="s">
        <v>159</v>
      </c>
      <c r="E702" s="53" t="s">
        <v>72</v>
      </c>
      <c r="F702" s="54" t="s">
        <v>218</v>
      </c>
      <c r="G702" s="53"/>
      <c r="H702" s="52">
        <f>H703+H705+H707</f>
        <v>185208.50000000003</v>
      </c>
      <c r="I702" s="52">
        <f>I703+I705+I707</f>
        <v>185208.5</v>
      </c>
      <c r="J702" s="300">
        <f t="shared" si="207"/>
        <v>0</v>
      </c>
      <c r="K702" s="52">
        <f>K703+K705+K707</f>
        <v>185483.2</v>
      </c>
      <c r="L702" s="52">
        <f>L703+L705+L707</f>
        <v>183952.1</v>
      </c>
      <c r="M702" s="300">
        <f t="shared" si="188"/>
        <v>-1256.3999999999942</v>
      </c>
      <c r="N702" s="52">
        <f>N703+N705+N707</f>
        <v>185483.2</v>
      </c>
      <c r="O702" s="300">
        <f t="shared" si="208"/>
        <v>0</v>
      </c>
      <c r="P702" s="52">
        <f>P703+P705+P707</f>
        <v>185441.1</v>
      </c>
      <c r="Q702" s="52">
        <f>Q703+Q705+Q707</f>
        <v>185441.1</v>
      </c>
      <c r="R702" s="333">
        <f t="shared" si="182"/>
        <v>0</v>
      </c>
      <c r="S702" s="32"/>
      <c r="T702" s="32"/>
      <c r="U702" s="32"/>
    </row>
    <row r="703" spans="2:21" s="51" customFormat="1" ht="27.75" customHeight="1" x14ac:dyDescent="0.2">
      <c r="B703" s="106" t="s">
        <v>231</v>
      </c>
      <c r="C703" s="53" t="s">
        <v>698</v>
      </c>
      <c r="D703" s="53" t="s">
        <v>159</v>
      </c>
      <c r="E703" s="53" t="s">
        <v>72</v>
      </c>
      <c r="F703" s="54" t="s">
        <v>230</v>
      </c>
      <c r="G703" s="53"/>
      <c r="H703" s="52">
        <f>H704</f>
        <v>129537.1</v>
      </c>
      <c r="I703" s="52">
        <f>I704</f>
        <v>129537.1</v>
      </c>
      <c r="J703" s="300">
        <f t="shared" si="207"/>
        <v>0</v>
      </c>
      <c r="K703" s="52">
        <f>K704</f>
        <v>126405.2</v>
      </c>
      <c r="L703" s="52">
        <f>L704</f>
        <v>128280.70000000001</v>
      </c>
      <c r="M703" s="300">
        <f t="shared" si="188"/>
        <v>-1256.3999999999942</v>
      </c>
      <c r="N703" s="52">
        <f>N704</f>
        <v>126405.2</v>
      </c>
      <c r="O703" s="300">
        <f t="shared" si="208"/>
        <v>0</v>
      </c>
      <c r="P703" s="52">
        <f>P704</f>
        <v>126405.2</v>
      </c>
      <c r="Q703" s="52">
        <f>Q704</f>
        <v>126405.2</v>
      </c>
      <c r="R703" s="333">
        <f t="shared" si="182"/>
        <v>0</v>
      </c>
      <c r="S703" s="32"/>
      <c r="T703" s="32"/>
      <c r="U703" s="32"/>
    </row>
    <row r="704" spans="2:21" s="51" customFormat="1" ht="14.25" customHeight="1" x14ac:dyDescent="0.2">
      <c r="B704" s="102" t="s">
        <v>98</v>
      </c>
      <c r="C704" s="53" t="s">
        <v>698</v>
      </c>
      <c r="D704" s="53" t="s">
        <v>159</v>
      </c>
      <c r="E704" s="53" t="s">
        <v>72</v>
      </c>
      <c r="F704" s="54" t="s">
        <v>230</v>
      </c>
      <c r="G704" s="53" t="s">
        <v>81</v>
      </c>
      <c r="H704" s="52">
        <f>129537.1</f>
        <v>129537.1</v>
      </c>
      <c r="I704" s="52">
        <f>129537.1</f>
        <v>129537.1</v>
      </c>
      <c r="J704" s="300">
        <f t="shared" si="207"/>
        <v>0</v>
      </c>
      <c r="K704" s="52">
        <f>126405.2</f>
        <v>126405.2</v>
      </c>
      <c r="L704" s="52">
        <f>129537.1-1256.4</f>
        <v>128280.70000000001</v>
      </c>
      <c r="M704" s="300">
        <f t="shared" si="188"/>
        <v>-1256.3999999999942</v>
      </c>
      <c r="N704" s="52">
        <f>126405.2</f>
        <v>126405.2</v>
      </c>
      <c r="O704" s="300">
        <f t="shared" si="208"/>
        <v>0</v>
      </c>
      <c r="P704" s="65">
        <f>126405.2</f>
        <v>126405.2</v>
      </c>
      <c r="Q704" s="65">
        <f>126405.2</f>
        <v>126405.2</v>
      </c>
      <c r="R704" s="333">
        <f t="shared" si="182"/>
        <v>0</v>
      </c>
      <c r="S704" s="32"/>
      <c r="T704" s="32"/>
      <c r="U704" s="32"/>
    </row>
    <row r="705" spans="2:21" s="51" customFormat="1" ht="15" customHeight="1" x14ac:dyDescent="0.2">
      <c r="B705" s="109" t="s">
        <v>229</v>
      </c>
      <c r="C705" s="53" t="s">
        <v>698</v>
      </c>
      <c r="D705" s="53" t="s">
        <v>159</v>
      </c>
      <c r="E705" s="53" t="s">
        <v>72</v>
      </c>
      <c r="F705" s="54" t="s">
        <v>228</v>
      </c>
      <c r="G705" s="53"/>
      <c r="H705" s="52">
        <f>H706</f>
        <v>53841.30000000001</v>
      </c>
      <c r="I705" s="52">
        <f>I706</f>
        <v>53899</v>
      </c>
      <c r="J705" s="300">
        <f t="shared" si="207"/>
        <v>57.699999999989814</v>
      </c>
      <c r="K705" s="52">
        <f>K706</f>
        <v>57247.900000000009</v>
      </c>
      <c r="L705" s="52">
        <f>L706</f>
        <v>53899</v>
      </c>
      <c r="M705" s="300">
        <f t="shared" si="188"/>
        <v>0</v>
      </c>
      <c r="N705" s="52">
        <f>N706</f>
        <v>57247.900000000009</v>
      </c>
      <c r="O705" s="300">
        <f t="shared" si="208"/>
        <v>0</v>
      </c>
      <c r="P705" s="52">
        <f>P706</f>
        <v>57205.80000000001</v>
      </c>
      <c r="Q705" s="52">
        <f>Q706</f>
        <v>57205.80000000001</v>
      </c>
      <c r="R705" s="333">
        <f t="shared" si="182"/>
        <v>0</v>
      </c>
      <c r="S705" s="32"/>
      <c r="T705" s="32"/>
      <c r="U705" s="32"/>
    </row>
    <row r="706" spans="2:21" s="51" customFormat="1" ht="15.75" customHeight="1" x14ac:dyDescent="0.2">
      <c r="B706" s="102" t="s">
        <v>98</v>
      </c>
      <c r="C706" s="53" t="s">
        <v>698</v>
      </c>
      <c r="D706" s="53" t="s">
        <v>159</v>
      </c>
      <c r="E706" s="53" t="s">
        <v>72</v>
      </c>
      <c r="F706" s="54" t="s">
        <v>228</v>
      </c>
      <c r="G706" s="53" t="s">
        <v>81</v>
      </c>
      <c r="H706" s="52">
        <f>63111.8-1830.1-770-4064.7-955.7-1650</f>
        <v>53841.30000000001</v>
      </c>
      <c r="I706" s="52">
        <f>53841.3+57.7</f>
        <v>53899</v>
      </c>
      <c r="J706" s="300">
        <f t="shared" si="207"/>
        <v>57.699999999989814</v>
      </c>
      <c r="K706" s="52">
        <f>63111.8-1830.1-4000-62.6-2.5-1.7+32.6+0.4</f>
        <v>57247.900000000009</v>
      </c>
      <c r="L706" s="52">
        <f>53841.3+57.7</f>
        <v>53899</v>
      </c>
      <c r="M706" s="300">
        <f t="shared" si="188"/>
        <v>0</v>
      </c>
      <c r="N706" s="52">
        <f>63111.8-1830.1-4000-62.6-2.5-1.7+32.6+0.4</f>
        <v>57247.900000000009</v>
      </c>
      <c r="O706" s="300">
        <f t="shared" si="208"/>
        <v>0</v>
      </c>
      <c r="P706" s="52">
        <f>63111.8-1830.1-4000-56.1-2.7-17.1</f>
        <v>57205.80000000001</v>
      </c>
      <c r="Q706" s="52">
        <f>63111.8-1830.1-4000-56.1-2.7-17.1</f>
        <v>57205.80000000001</v>
      </c>
      <c r="R706" s="333">
        <f t="shared" si="182"/>
        <v>0</v>
      </c>
      <c r="S706" s="32"/>
      <c r="T706" s="32"/>
      <c r="U706" s="32"/>
    </row>
    <row r="707" spans="2:21" s="51" customFormat="1" ht="24.75" customHeight="1" x14ac:dyDescent="0.2">
      <c r="B707" s="64" t="s">
        <v>88</v>
      </c>
      <c r="C707" s="53" t="s">
        <v>698</v>
      </c>
      <c r="D707" s="53" t="s">
        <v>159</v>
      </c>
      <c r="E707" s="53" t="s">
        <v>72</v>
      </c>
      <c r="F707" s="54" t="s">
        <v>227</v>
      </c>
      <c r="G707" s="53"/>
      <c r="H707" s="52">
        <f>H708</f>
        <v>1830.1</v>
      </c>
      <c r="I707" s="52">
        <f>I708</f>
        <v>1772.3999999999999</v>
      </c>
      <c r="J707" s="300">
        <f t="shared" si="207"/>
        <v>-57.700000000000045</v>
      </c>
      <c r="K707" s="52">
        <f>K708</f>
        <v>1830.1</v>
      </c>
      <c r="L707" s="52">
        <f>L708</f>
        <v>1772.3999999999999</v>
      </c>
      <c r="M707" s="300">
        <f t="shared" si="188"/>
        <v>0</v>
      </c>
      <c r="N707" s="52">
        <f>N708</f>
        <v>1830.1</v>
      </c>
      <c r="O707" s="300">
        <f t="shared" si="208"/>
        <v>0</v>
      </c>
      <c r="P707" s="52">
        <f>P708</f>
        <v>1830.1</v>
      </c>
      <c r="Q707" s="52">
        <f>Q708</f>
        <v>1830.1</v>
      </c>
      <c r="R707" s="333">
        <f t="shared" si="182"/>
        <v>0</v>
      </c>
      <c r="S707" s="32"/>
      <c r="T707" s="32"/>
      <c r="U707" s="32"/>
    </row>
    <row r="708" spans="2:21" s="51" customFormat="1" ht="15.75" customHeight="1" x14ac:dyDescent="0.2">
      <c r="B708" s="64" t="s">
        <v>82</v>
      </c>
      <c r="C708" s="53" t="s">
        <v>698</v>
      </c>
      <c r="D708" s="53" t="s">
        <v>159</v>
      </c>
      <c r="E708" s="53" t="s">
        <v>72</v>
      </c>
      <c r="F708" s="54" t="s">
        <v>227</v>
      </c>
      <c r="G708" s="53" t="s">
        <v>81</v>
      </c>
      <c r="H708" s="52">
        <v>1830.1</v>
      </c>
      <c r="I708" s="52">
        <f>1830.1-57.7</f>
        <v>1772.3999999999999</v>
      </c>
      <c r="J708" s="300">
        <f t="shared" si="207"/>
        <v>-57.700000000000045</v>
      </c>
      <c r="K708" s="52">
        <v>1830.1</v>
      </c>
      <c r="L708" s="52">
        <f>1830.1-57.7</f>
        <v>1772.3999999999999</v>
      </c>
      <c r="M708" s="300">
        <f t="shared" si="188"/>
        <v>0</v>
      </c>
      <c r="N708" s="52">
        <v>1830.1</v>
      </c>
      <c r="O708" s="300">
        <f t="shared" si="208"/>
        <v>0</v>
      </c>
      <c r="P708" s="52">
        <v>1830.1</v>
      </c>
      <c r="Q708" s="52">
        <v>1830.1</v>
      </c>
      <c r="R708" s="333">
        <f t="shared" si="182"/>
        <v>0</v>
      </c>
      <c r="S708" s="32"/>
      <c r="T708" s="32"/>
      <c r="U708" s="32"/>
    </row>
    <row r="709" spans="2:21" s="51" customFormat="1" ht="23.25" customHeight="1" x14ac:dyDescent="0.2">
      <c r="B709" s="56" t="s">
        <v>139</v>
      </c>
      <c r="C709" s="53" t="s">
        <v>698</v>
      </c>
      <c r="D709" s="53" t="s">
        <v>159</v>
      </c>
      <c r="E709" s="53" t="s">
        <v>72</v>
      </c>
      <c r="F709" s="54" t="s">
        <v>138</v>
      </c>
      <c r="G709" s="53"/>
      <c r="H709" s="52">
        <f t="shared" ref="H709:Q710" si="209">H710</f>
        <v>3397</v>
      </c>
      <c r="I709" s="52">
        <f t="shared" si="209"/>
        <v>3397</v>
      </c>
      <c r="J709" s="300">
        <f t="shared" si="207"/>
        <v>0</v>
      </c>
      <c r="K709" s="52">
        <f t="shared" si="209"/>
        <v>3397</v>
      </c>
      <c r="L709" s="52">
        <f t="shared" si="209"/>
        <v>3325.6</v>
      </c>
      <c r="M709" s="300">
        <f t="shared" si="188"/>
        <v>-71.400000000000091</v>
      </c>
      <c r="N709" s="52">
        <f t="shared" si="209"/>
        <v>3397</v>
      </c>
      <c r="O709" s="300">
        <f t="shared" si="208"/>
        <v>0</v>
      </c>
      <c r="P709" s="52">
        <f t="shared" si="209"/>
        <v>3397</v>
      </c>
      <c r="Q709" s="52">
        <f t="shared" si="209"/>
        <v>3397</v>
      </c>
      <c r="R709" s="333">
        <f t="shared" si="182"/>
        <v>0</v>
      </c>
      <c r="S709" s="32"/>
      <c r="T709" s="32"/>
      <c r="U709" s="32"/>
    </row>
    <row r="710" spans="2:21" s="51" customFormat="1" ht="28.5" customHeight="1" x14ac:dyDescent="0.2">
      <c r="B710" s="102" t="s">
        <v>137</v>
      </c>
      <c r="C710" s="53" t="s">
        <v>698</v>
      </c>
      <c r="D710" s="53" t="s">
        <v>159</v>
      </c>
      <c r="E710" s="53" t="s">
        <v>72</v>
      </c>
      <c r="F710" s="54" t="s">
        <v>136</v>
      </c>
      <c r="G710" s="53"/>
      <c r="H710" s="52">
        <f t="shared" si="209"/>
        <v>3397</v>
      </c>
      <c r="I710" s="52">
        <f t="shared" si="209"/>
        <v>3397</v>
      </c>
      <c r="J710" s="300">
        <f t="shared" si="207"/>
        <v>0</v>
      </c>
      <c r="K710" s="52">
        <f t="shared" si="209"/>
        <v>3397</v>
      </c>
      <c r="L710" s="52">
        <f t="shared" si="209"/>
        <v>3325.6</v>
      </c>
      <c r="M710" s="300">
        <f t="shared" si="188"/>
        <v>-71.400000000000091</v>
      </c>
      <c r="N710" s="52">
        <f t="shared" si="209"/>
        <v>3397</v>
      </c>
      <c r="O710" s="300">
        <f t="shared" si="208"/>
        <v>0</v>
      </c>
      <c r="P710" s="52">
        <f t="shared" si="209"/>
        <v>3397</v>
      </c>
      <c r="Q710" s="52">
        <f t="shared" si="209"/>
        <v>3397</v>
      </c>
      <c r="R710" s="333">
        <f t="shared" ref="R710:R779" si="210">Q710-P710</f>
        <v>0</v>
      </c>
      <c r="S710" s="32"/>
      <c r="T710" s="32"/>
      <c r="U710" s="32"/>
    </row>
    <row r="711" spans="2:21" s="51" customFormat="1" ht="14.25" customHeight="1" x14ac:dyDescent="0.2">
      <c r="B711" s="82" t="s">
        <v>98</v>
      </c>
      <c r="C711" s="53" t="s">
        <v>698</v>
      </c>
      <c r="D711" s="53" t="s">
        <v>159</v>
      </c>
      <c r="E711" s="53" t="s">
        <v>72</v>
      </c>
      <c r="F711" s="54" t="s">
        <v>136</v>
      </c>
      <c r="G711" s="53" t="s">
        <v>81</v>
      </c>
      <c r="H711" s="52">
        <v>3397</v>
      </c>
      <c r="I711" s="52">
        <v>3397</v>
      </c>
      <c r="J711" s="300">
        <f t="shared" si="207"/>
        <v>0</v>
      </c>
      <c r="K711" s="52">
        <v>3397</v>
      </c>
      <c r="L711" s="52">
        <f>3397-71.4</f>
        <v>3325.6</v>
      </c>
      <c r="M711" s="300">
        <f t="shared" si="188"/>
        <v>-71.400000000000091</v>
      </c>
      <c r="N711" s="52">
        <v>3397</v>
      </c>
      <c r="O711" s="300">
        <f t="shared" si="208"/>
        <v>0</v>
      </c>
      <c r="P711" s="52">
        <v>3397</v>
      </c>
      <c r="Q711" s="52">
        <v>3397</v>
      </c>
      <c r="R711" s="333">
        <f t="shared" si="210"/>
        <v>0</v>
      </c>
      <c r="S711" s="32"/>
      <c r="T711" s="32"/>
      <c r="U711" s="32"/>
    </row>
    <row r="712" spans="2:21" s="51" customFormat="1" ht="27.75" customHeight="1" x14ac:dyDescent="0.2">
      <c r="B712" s="56" t="s">
        <v>204</v>
      </c>
      <c r="C712" s="53" t="s">
        <v>698</v>
      </c>
      <c r="D712" s="53" t="s">
        <v>159</v>
      </c>
      <c r="E712" s="53" t="s">
        <v>72</v>
      </c>
      <c r="F712" s="83" t="s">
        <v>203</v>
      </c>
      <c r="G712" s="53"/>
      <c r="H712" s="52">
        <f t="shared" ref="H712:Q713" si="211">H713</f>
        <v>50</v>
      </c>
      <c r="I712" s="52">
        <f t="shared" si="211"/>
        <v>50</v>
      </c>
      <c r="J712" s="300">
        <f t="shared" si="207"/>
        <v>0</v>
      </c>
      <c r="K712" s="52">
        <f t="shared" si="211"/>
        <v>50</v>
      </c>
      <c r="L712" s="52">
        <f t="shared" si="211"/>
        <v>55.5</v>
      </c>
      <c r="M712" s="300">
        <f t="shared" si="188"/>
        <v>5.5</v>
      </c>
      <c r="N712" s="52">
        <f t="shared" si="211"/>
        <v>50</v>
      </c>
      <c r="O712" s="300">
        <f t="shared" si="208"/>
        <v>0</v>
      </c>
      <c r="P712" s="52">
        <f t="shared" si="211"/>
        <v>50</v>
      </c>
      <c r="Q712" s="52">
        <f t="shared" si="211"/>
        <v>50</v>
      </c>
      <c r="R712" s="333">
        <f t="shared" si="210"/>
        <v>0</v>
      </c>
      <c r="S712" s="32"/>
      <c r="T712" s="32"/>
      <c r="U712" s="32"/>
    </row>
    <row r="713" spans="2:21" s="51" customFormat="1" ht="27.75" customHeight="1" x14ac:dyDescent="0.2">
      <c r="B713" s="56" t="s">
        <v>202</v>
      </c>
      <c r="C713" s="53" t="s">
        <v>698</v>
      </c>
      <c r="D713" s="53" t="s">
        <v>159</v>
      </c>
      <c r="E713" s="53" t="s">
        <v>72</v>
      </c>
      <c r="F713" s="83" t="s">
        <v>201</v>
      </c>
      <c r="G713" s="53"/>
      <c r="H713" s="52">
        <f t="shared" si="211"/>
        <v>50</v>
      </c>
      <c r="I713" s="52">
        <f t="shared" si="211"/>
        <v>50</v>
      </c>
      <c r="J713" s="300">
        <f t="shared" si="207"/>
        <v>0</v>
      </c>
      <c r="K713" s="52">
        <f t="shared" si="211"/>
        <v>50</v>
      </c>
      <c r="L713" s="52">
        <f t="shared" si="211"/>
        <v>55.5</v>
      </c>
      <c r="M713" s="300">
        <f t="shared" si="188"/>
        <v>5.5</v>
      </c>
      <c r="N713" s="52">
        <f t="shared" si="211"/>
        <v>50</v>
      </c>
      <c r="O713" s="300">
        <f t="shared" si="208"/>
        <v>0</v>
      </c>
      <c r="P713" s="52">
        <f t="shared" si="211"/>
        <v>50</v>
      </c>
      <c r="Q713" s="52">
        <f t="shared" si="211"/>
        <v>50</v>
      </c>
      <c r="R713" s="333">
        <f t="shared" si="210"/>
        <v>0</v>
      </c>
      <c r="S713" s="32"/>
      <c r="T713" s="32"/>
      <c r="U713" s="32"/>
    </row>
    <row r="714" spans="2:21" s="51" customFormat="1" ht="14.25" customHeight="1" x14ac:dyDescent="0.2">
      <c r="B714" s="102" t="s">
        <v>98</v>
      </c>
      <c r="C714" s="53" t="s">
        <v>698</v>
      </c>
      <c r="D714" s="53" t="s">
        <v>159</v>
      </c>
      <c r="E714" s="53" t="s">
        <v>72</v>
      </c>
      <c r="F714" s="83" t="s">
        <v>201</v>
      </c>
      <c r="G714" s="53" t="s">
        <v>81</v>
      </c>
      <c r="H714" s="52">
        <v>50</v>
      </c>
      <c r="I714" s="52">
        <v>50</v>
      </c>
      <c r="J714" s="300">
        <f t="shared" si="207"/>
        <v>0</v>
      </c>
      <c r="K714" s="52">
        <v>50</v>
      </c>
      <c r="L714" s="52">
        <f>50+5.5</f>
        <v>55.5</v>
      </c>
      <c r="M714" s="300">
        <f t="shared" si="188"/>
        <v>5.5</v>
      </c>
      <c r="N714" s="52">
        <v>50</v>
      </c>
      <c r="O714" s="300">
        <f t="shared" si="208"/>
        <v>0</v>
      </c>
      <c r="P714" s="52">
        <v>50</v>
      </c>
      <c r="Q714" s="52">
        <v>50</v>
      </c>
      <c r="R714" s="333">
        <f t="shared" si="210"/>
        <v>0</v>
      </c>
      <c r="S714" s="32"/>
      <c r="T714" s="32"/>
      <c r="U714" s="32"/>
    </row>
    <row r="715" spans="2:21" s="47" customFormat="1" ht="13.5" customHeight="1" x14ac:dyDescent="0.2">
      <c r="B715" s="183" t="s">
        <v>226</v>
      </c>
      <c r="C715" s="48" t="s">
        <v>698</v>
      </c>
      <c r="D715" s="48" t="s">
        <v>159</v>
      </c>
      <c r="E715" s="48" t="s">
        <v>111</v>
      </c>
      <c r="F715" s="49"/>
      <c r="G715" s="48"/>
      <c r="H715" s="44">
        <f>H716</f>
        <v>22051.9</v>
      </c>
      <c r="I715" s="44">
        <f>I716</f>
        <v>17561.900000000001</v>
      </c>
      <c r="J715" s="300">
        <f t="shared" si="207"/>
        <v>-4490</v>
      </c>
      <c r="K715" s="44">
        <f>K716</f>
        <v>19503.900000000001</v>
      </c>
      <c r="L715" s="44">
        <f>L716</f>
        <v>17561.900000000001</v>
      </c>
      <c r="M715" s="300">
        <f t="shared" si="188"/>
        <v>0</v>
      </c>
      <c r="N715" s="44">
        <f>N716</f>
        <v>19503.900000000001</v>
      </c>
      <c r="O715" s="300">
        <f t="shared" si="208"/>
        <v>0</v>
      </c>
      <c r="P715" s="44">
        <f>P716</f>
        <v>19503.900000000001</v>
      </c>
      <c r="Q715" s="44">
        <f>Q716</f>
        <v>19503.900000000001</v>
      </c>
      <c r="R715" s="333">
        <f t="shared" si="210"/>
        <v>0</v>
      </c>
      <c r="S715" s="43"/>
      <c r="T715" s="43"/>
      <c r="U715" s="43"/>
    </row>
    <row r="716" spans="2:21" s="193" customFormat="1" ht="24.75" customHeight="1" x14ac:dyDescent="0.2">
      <c r="B716" s="64" t="s">
        <v>142</v>
      </c>
      <c r="C716" s="53" t="s">
        <v>698</v>
      </c>
      <c r="D716" s="53" t="s">
        <v>159</v>
      </c>
      <c r="E716" s="53" t="s">
        <v>111</v>
      </c>
      <c r="F716" s="54" t="s">
        <v>141</v>
      </c>
      <c r="G716" s="53"/>
      <c r="H716" s="52">
        <f>H717+H721</f>
        <v>22051.9</v>
      </c>
      <c r="I716" s="52">
        <f>I717+I721</f>
        <v>17561.900000000001</v>
      </c>
      <c r="J716" s="300">
        <f t="shared" si="207"/>
        <v>-4490</v>
      </c>
      <c r="K716" s="52">
        <f>K717+K721</f>
        <v>19503.900000000001</v>
      </c>
      <c r="L716" s="52">
        <f>L717+L721</f>
        <v>17561.900000000001</v>
      </c>
      <c r="M716" s="300">
        <f t="shared" si="188"/>
        <v>0</v>
      </c>
      <c r="N716" s="52">
        <f>N717+N721</f>
        <v>19503.900000000001</v>
      </c>
      <c r="O716" s="300">
        <f t="shared" si="208"/>
        <v>0</v>
      </c>
      <c r="P716" s="52">
        <f>P717+P721</f>
        <v>19503.900000000001</v>
      </c>
      <c r="Q716" s="52">
        <f>Q717+Q721</f>
        <v>19503.900000000001</v>
      </c>
      <c r="R716" s="333">
        <f t="shared" si="210"/>
        <v>0</v>
      </c>
      <c r="S716" s="192"/>
      <c r="T716" s="192"/>
      <c r="U716" s="192"/>
    </row>
    <row r="717" spans="2:21" s="193" customFormat="1" ht="18.75" customHeight="1" x14ac:dyDescent="0.2">
      <c r="B717" s="106" t="s">
        <v>66</v>
      </c>
      <c r="C717" s="53" t="s">
        <v>698</v>
      </c>
      <c r="D717" s="53" t="s">
        <v>159</v>
      </c>
      <c r="E717" s="53" t="s">
        <v>111</v>
      </c>
      <c r="F717" s="54" t="s">
        <v>224</v>
      </c>
      <c r="G717" s="53"/>
      <c r="H717" s="52">
        <f t="shared" ref="H717:Q719" si="212">H718</f>
        <v>1139.2</v>
      </c>
      <c r="I717" s="52">
        <f t="shared" si="212"/>
        <v>1139.2</v>
      </c>
      <c r="J717" s="300">
        <f t="shared" si="207"/>
        <v>0</v>
      </c>
      <c r="K717" s="52">
        <f t="shared" si="212"/>
        <v>1139.2</v>
      </c>
      <c r="L717" s="52">
        <f t="shared" si="212"/>
        <v>1139.2</v>
      </c>
      <c r="M717" s="300">
        <f t="shared" si="188"/>
        <v>0</v>
      </c>
      <c r="N717" s="52">
        <f t="shared" si="212"/>
        <v>1139.2</v>
      </c>
      <c r="O717" s="300">
        <f t="shared" si="208"/>
        <v>0</v>
      </c>
      <c r="P717" s="52">
        <f t="shared" si="212"/>
        <v>1139.2</v>
      </c>
      <c r="Q717" s="52">
        <f t="shared" si="212"/>
        <v>1139.2</v>
      </c>
      <c r="R717" s="333">
        <f t="shared" si="210"/>
        <v>0</v>
      </c>
      <c r="S717" s="192"/>
      <c r="T717" s="192"/>
      <c r="U717" s="192"/>
    </row>
    <row r="718" spans="2:21" s="193" customFormat="1" ht="28.5" customHeight="1" x14ac:dyDescent="0.2">
      <c r="B718" s="75" t="s">
        <v>223</v>
      </c>
      <c r="C718" s="53" t="s">
        <v>698</v>
      </c>
      <c r="D718" s="53" t="s">
        <v>159</v>
      </c>
      <c r="E718" s="53" t="s">
        <v>111</v>
      </c>
      <c r="F718" s="103" t="s">
        <v>222</v>
      </c>
      <c r="G718" s="53"/>
      <c r="H718" s="52">
        <f t="shared" si="212"/>
        <v>1139.2</v>
      </c>
      <c r="I718" s="52">
        <f t="shared" si="212"/>
        <v>1139.2</v>
      </c>
      <c r="J718" s="300">
        <f t="shared" si="207"/>
        <v>0</v>
      </c>
      <c r="K718" s="52">
        <f t="shared" si="212"/>
        <v>1139.2</v>
      </c>
      <c r="L718" s="52">
        <f t="shared" si="212"/>
        <v>1139.2</v>
      </c>
      <c r="M718" s="300">
        <f t="shared" si="188"/>
        <v>0</v>
      </c>
      <c r="N718" s="52">
        <f t="shared" si="212"/>
        <v>1139.2</v>
      </c>
      <c r="O718" s="300">
        <f t="shared" si="208"/>
        <v>0</v>
      </c>
      <c r="P718" s="52">
        <f t="shared" si="212"/>
        <v>1139.2</v>
      </c>
      <c r="Q718" s="52">
        <f t="shared" si="212"/>
        <v>1139.2</v>
      </c>
      <c r="R718" s="333">
        <f t="shared" si="210"/>
        <v>0</v>
      </c>
      <c r="S718" s="192"/>
      <c r="T718" s="192"/>
      <c r="U718" s="192"/>
    </row>
    <row r="719" spans="2:21" s="193" customFormat="1" ht="27" customHeight="1" x14ac:dyDescent="0.2">
      <c r="B719" s="75" t="s">
        <v>221</v>
      </c>
      <c r="C719" s="53" t="s">
        <v>698</v>
      </c>
      <c r="D719" s="53" t="s">
        <v>159</v>
      </c>
      <c r="E719" s="53" t="s">
        <v>111</v>
      </c>
      <c r="F719" s="103" t="s">
        <v>220</v>
      </c>
      <c r="G719" s="53"/>
      <c r="H719" s="52">
        <f t="shared" si="212"/>
        <v>1139.2</v>
      </c>
      <c r="I719" s="52">
        <f t="shared" si="212"/>
        <v>1139.2</v>
      </c>
      <c r="J719" s="300">
        <f t="shared" si="207"/>
        <v>0</v>
      </c>
      <c r="K719" s="52">
        <f t="shared" si="212"/>
        <v>1139.2</v>
      </c>
      <c r="L719" s="52">
        <f t="shared" si="212"/>
        <v>1139.2</v>
      </c>
      <c r="M719" s="300">
        <f t="shared" ref="M719:M788" si="213">L719-I719</f>
        <v>0</v>
      </c>
      <c r="N719" s="52">
        <f t="shared" si="212"/>
        <v>1139.2</v>
      </c>
      <c r="O719" s="300">
        <f t="shared" si="208"/>
        <v>0</v>
      </c>
      <c r="P719" s="52">
        <f t="shared" si="212"/>
        <v>1139.2</v>
      </c>
      <c r="Q719" s="52">
        <f t="shared" si="212"/>
        <v>1139.2</v>
      </c>
      <c r="R719" s="333">
        <f t="shared" si="210"/>
        <v>0</v>
      </c>
      <c r="S719" s="192"/>
      <c r="T719" s="192"/>
      <c r="U719" s="192"/>
    </row>
    <row r="720" spans="2:21" s="193" customFormat="1" ht="14.25" customHeight="1" x14ac:dyDescent="0.2">
      <c r="B720" s="97" t="s">
        <v>98</v>
      </c>
      <c r="C720" s="53" t="s">
        <v>698</v>
      </c>
      <c r="D720" s="53" t="s">
        <v>159</v>
      </c>
      <c r="E720" s="53" t="s">
        <v>111</v>
      </c>
      <c r="F720" s="103" t="s">
        <v>220</v>
      </c>
      <c r="G720" s="53" t="s">
        <v>81</v>
      </c>
      <c r="H720" s="104">
        <f>569.6+569.6</f>
        <v>1139.2</v>
      </c>
      <c r="I720" s="104">
        <f>569.6+569.6</f>
        <v>1139.2</v>
      </c>
      <c r="J720" s="300">
        <f t="shared" si="207"/>
        <v>0</v>
      </c>
      <c r="K720" s="104">
        <f>569.6+569.6</f>
        <v>1139.2</v>
      </c>
      <c r="L720" s="104">
        <f>569.6+569.6</f>
        <v>1139.2</v>
      </c>
      <c r="M720" s="300">
        <f t="shared" si="213"/>
        <v>0</v>
      </c>
      <c r="N720" s="104">
        <f>569.6+569.6</f>
        <v>1139.2</v>
      </c>
      <c r="O720" s="300">
        <f t="shared" si="208"/>
        <v>0</v>
      </c>
      <c r="P720" s="104">
        <f>569.6+569.6</f>
        <v>1139.2</v>
      </c>
      <c r="Q720" s="104">
        <f>569.6+569.6</f>
        <v>1139.2</v>
      </c>
      <c r="R720" s="333">
        <f t="shared" si="210"/>
        <v>0</v>
      </c>
      <c r="S720" s="192"/>
      <c r="T720" s="192"/>
      <c r="U720" s="192"/>
    </row>
    <row r="721" spans="2:21" s="193" customFormat="1" ht="14.25" customHeight="1" x14ac:dyDescent="0.2">
      <c r="B721" s="77" t="s">
        <v>52</v>
      </c>
      <c r="C721" s="53" t="s">
        <v>698</v>
      </c>
      <c r="D721" s="53" t="s">
        <v>159</v>
      </c>
      <c r="E721" s="53" t="s">
        <v>111</v>
      </c>
      <c r="F721" s="103" t="s">
        <v>140</v>
      </c>
      <c r="G721" s="53"/>
      <c r="H721" s="104">
        <f>H729+H722+H732</f>
        <v>20912.7</v>
      </c>
      <c r="I721" s="104">
        <f t="shared" ref="I721:Q721" si="214">I729+I722+I732</f>
        <v>16422.7</v>
      </c>
      <c r="J721" s="300">
        <f t="shared" si="207"/>
        <v>-4490</v>
      </c>
      <c r="K721" s="104">
        <f t="shared" si="214"/>
        <v>18364.7</v>
      </c>
      <c r="L721" s="104">
        <f t="shared" si="214"/>
        <v>16422.7</v>
      </c>
      <c r="M721" s="300">
        <f t="shared" si="213"/>
        <v>0</v>
      </c>
      <c r="N721" s="104">
        <f t="shared" si="214"/>
        <v>18364.7</v>
      </c>
      <c r="O721" s="300">
        <f t="shared" si="208"/>
        <v>0</v>
      </c>
      <c r="P721" s="104">
        <f t="shared" si="214"/>
        <v>18364.7</v>
      </c>
      <c r="Q721" s="104">
        <f t="shared" si="214"/>
        <v>18364.7</v>
      </c>
      <c r="R721" s="333">
        <f t="shared" si="210"/>
        <v>0</v>
      </c>
      <c r="S721" s="192"/>
      <c r="T721" s="192"/>
      <c r="U721" s="192"/>
    </row>
    <row r="722" spans="2:21" s="193" customFormat="1" ht="27.75" customHeight="1" x14ac:dyDescent="0.2">
      <c r="B722" s="56" t="s">
        <v>219</v>
      </c>
      <c r="C722" s="53" t="s">
        <v>698</v>
      </c>
      <c r="D722" s="53" t="s">
        <v>159</v>
      </c>
      <c r="E722" s="53" t="s">
        <v>111</v>
      </c>
      <c r="F722" s="103" t="s">
        <v>218</v>
      </c>
      <c r="G722" s="53"/>
      <c r="H722" s="104">
        <f>H723+H725+H727</f>
        <v>20862.7</v>
      </c>
      <c r="I722" s="104">
        <f t="shared" ref="I722:Q722" si="215">I723+I725+I727</f>
        <v>16362.7</v>
      </c>
      <c r="J722" s="300">
        <f t="shared" si="207"/>
        <v>-4500</v>
      </c>
      <c r="K722" s="104">
        <f t="shared" si="215"/>
        <v>18314.7</v>
      </c>
      <c r="L722" s="104">
        <f t="shared" si="215"/>
        <v>16362.7</v>
      </c>
      <c r="M722" s="300">
        <f t="shared" si="213"/>
        <v>0</v>
      </c>
      <c r="N722" s="104">
        <f t="shared" si="215"/>
        <v>18314.7</v>
      </c>
      <c r="O722" s="300">
        <f t="shared" si="208"/>
        <v>0</v>
      </c>
      <c r="P722" s="104">
        <f t="shared" si="215"/>
        <v>18314.7</v>
      </c>
      <c r="Q722" s="104">
        <f t="shared" si="215"/>
        <v>18314.7</v>
      </c>
      <c r="R722" s="333">
        <f t="shared" si="210"/>
        <v>0</v>
      </c>
      <c r="S722" s="192"/>
      <c r="T722" s="192"/>
      <c r="U722" s="192"/>
    </row>
    <row r="723" spans="2:21" s="193" customFormat="1" ht="14.25" customHeight="1" x14ac:dyDescent="0.2">
      <c r="B723" s="56" t="s">
        <v>683</v>
      </c>
      <c r="C723" s="53" t="s">
        <v>698</v>
      </c>
      <c r="D723" s="53" t="s">
        <v>159</v>
      </c>
      <c r="E723" s="53" t="s">
        <v>111</v>
      </c>
      <c r="F723" s="74" t="s">
        <v>216</v>
      </c>
      <c r="G723" s="73"/>
      <c r="H723" s="52">
        <f>H724</f>
        <v>17562.7</v>
      </c>
      <c r="I723" s="52">
        <f>I724</f>
        <v>13005</v>
      </c>
      <c r="J723" s="300">
        <f t="shared" si="207"/>
        <v>-4557.7000000000007</v>
      </c>
      <c r="K723" s="52">
        <f>K724</f>
        <v>18314.7</v>
      </c>
      <c r="L723" s="52">
        <f>L724</f>
        <v>13005</v>
      </c>
      <c r="M723" s="300">
        <f t="shared" si="213"/>
        <v>0</v>
      </c>
      <c r="N723" s="52">
        <f>N724</f>
        <v>18314.7</v>
      </c>
      <c r="O723" s="300">
        <f t="shared" si="208"/>
        <v>0</v>
      </c>
      <c r="P723" s="52">
        <f>P724</f>
        <v>18314.7</v>
      </c>
      <c r="Q723" s="52">
        <f>Q724</f>
        <v>18314.7</v>
      </c>
      <c r="R723" s="333">
        <f t="shared" si="210"/>
        <v>0</v>
      </c>
      <c r="S723" s="192"/>
      <c r="T723" s="192"/>
      <c r="U723" s="192"/>
    </row>
    <row r="724" spans="2:21" s="193" customFormat="1" ht="14.25" customHeight="1" x14ac:dyDescent="0.2">
      <c r="B724" s="102" t="s">
        <v>98</v>
      </c>
      <c r="C724" s="53" t="s">
        <v>698</v>
      </c>
      <c r="D724" s="53" t="s">
        <v>159</v>
      </c>
      <c r="E724" s="53" t="s">
        <v>111</v>
      </c>
      <c r="F724" s="74" t="s">
        <v>216</v>
      </c>
      <c r="G724" s="73" t="s">
        <v>81</v>
      </c>
      <c r="H724" s="52">
        <f>18314.7-280-472</f>
        <v>17562.7</v>
      </c>
      <c r="I724" s="52">
        <f>17562.7-57.7-4500</f>
        <v>13005</v>
      </c>
      <c r="J724" s="300">
        <f t="shared" si="207"/>
        <v>-4557.7000000000007</v>
      </c>
      <c r="K724" s="52">
        <f>18314.7</f>
        <v>18314.7</v>
      </c>
      <c r="L724" s="52">
        <f>17562.7-57.7-4500</f>
        <v>13005</v>
      </c>
      <c r="M724" s="300">
        <f t="shared" si="213"/>
        <v>0</v>
      </c>
      <c r="N724" s="52">
        <f>18314.7</f>
        <v>18314.7</v>
      </c>
      <c r="O724" s="300">
        <f t="shared" si="208"/>
        <v>0</v>
      </c>
      <c r="P724" s="52">
        <f>18314.7</f>
        <v>18314.7</v>
      </c>
      <c r="Q724" s="52">
        <f>18314.7</f>
        <v>18314.7</v>
      </c>
      <c r="R724" s="333">
        <f t="shared" si="210"/>
        <v>0</v>
      </c>
      <c r="S724" s="192"/>
      <c r="T724" s="192"/>
      <c r="U724" s="192"/>
    </row>
    <row r="725" spans="2:21" s="193" customFormat="1" ht="28.5" customHeight="1" x14ac:dyDescent="0.2">
      <c r="B725" s="56" t="s">
        <v>215</v>
      </c>
      <c r="C725" s="53" t="s">
        <v>698</v>
      </c>
      <c r="D725" s="53" t="s">
        <v>159</v>
      </c>
      <c r="E725" s="53" t="s">
        <v>111</v>
      </c>
      <c r="F725" s="74" t="s">
        <v>214</v>
      </c>
      <c r="G725" s="73"/>
      <c r="H725" s="52">
        <f>H726</f>
        <v>3300</v>
      </c>
      <c r="I725" s="52">
        <f>I726</f>
        <v>3300</v>
      </c>
      <c r="J725" s="300">
        <f t="shared" si="207"/>
        <v>0</v>
      </c>
      <c r="K725" s="52">
        <f>K726</f>
        <v>0</v>
      </c>
      <c r="L725" s="52">
        <f>L726</f>
        <v>3300</v>
      </c>
      <c r="M725" s="300">
        <f t="shared" si="213"/>
        <v>0</v>
      </c>
      <c r="N725" s="52">
        <f>N726</f>
        <v>0</v>
      </c>
      <c r="O725" s="300">
        <f t="shared" si="208"/>
        <v>0</v>
      </c>
      <c r="P725" s="52">
        <f>P726</f>
        <v>0</v>
      </c>
      <c r="Q725" s="52">
        <f>Q726</f>
        <v>0</v>
      </c>
      <c r="R725" s="333">
        <f t="shared" si="210"/>
        <v>0</v>
      </c>
      <c r="S725" s="192"/>
      <c r="T725" s="192"/>
      <c r="U725" s="192"/>
    </row>
    <row r="726" spans="2:21" s="193" customFormat="1" ht="19.5" customHeight="1" x14ac:dyDescent="0.2">
      <c r="B726" s="102" t="s">
        <v>98</v>
      </c>
      <c r="C726" s="53" t="s">
        <v>698</v>
      </c>
      <c r="D726" s="53" t="s">
        <v>159</v>
      </c>
      <c r="E726" s="53" t="s">
        <v>111</v>
      </c>
      <c r="F726" s="74" t="s">
        <v>214</v>
      </c>
      <c r="G726" s="73" t="s">
        <v>81</v>
      </c>
      <c r="H726" s="52">
        <v>3300</v>
      </c>
      <c r="I726" s="52">
        <v>3300</v>
      </c>
      <c r="J726" s="300">
        <f t="shared" si="207"/>
        <v>0</v>
      </c>
      <c r="K726" s="52">
        <v>0</v>
      </c>
      <c r="L726" s="52">
        <v>3300</v>
      </c>
      <c r="M726" s="300">
        <f t="shared" si="213"/>
        <v>0</v>
      </c>
      <c r="N726" s="52">
        <v>0</v>
      </c>
      <c r="O726" s="300">
        <f t="shared" si="208"/>
        <v>0</v>
      </c>
      <c r="P726" s="65">
        <v>0</v>
      </c>
      <c r="Q726" s="65">
        <v>0</v>
      </c>
      <c r="R726" s="333">
        <f t="shared" si="210"/>
        <v>0</v>
      </c>
      <c r="S726" s="192"/>
      <c r="T726" s="192"/>
      <c r="U726" s="192"/>
    </row>
    <row r="727" spans="2:21" s="193" customFormat="1" ht="27" customHeight="1" x14ac:dyDescent="0.2">
      <c r="B727" s="75" t="s">
        <v>88</v>
      </c>
      <c r="C727" s="53" t="s">
        <v>698</v>
      </c>
      <c r="D727" s="53" t="s">
        <v>159</v>
      </c>
      <c r="E727" s="53" t="s">
        <v>111</v>
      </c>
      <c r="F727" s="54" t="s">
        <v>227</v>
      </c>
      <c r="G727" s="53"/>
      <c r="H727" s="52">
        <f>H728</f>
        <v>0</v>
      </c>
      <c r="I727" s="52">
        <f t="shared" ref="I727:Q727" si="216">I728</f>
        <v>57.7</v>
      </c>
      <c r="J727" s="300">
        <f t="shared" si="207"/>
        <v>57.7</v>
      </c>
      <c r="K727" s="52">
        <f t="shared" si="216"/>
        <v>0</v>
      </c>
      <c r="L727" s="52">
        <f t="shared" si="216"/>
        <v>57.7</v>
      </c>
      <c r="M727" s="300">
        <f t="shared" si="213"/>
        <v>0</v>
      </c>
      <c r="N727" s="52">
        <f t="shared" si="216"/>
        <v>0</v>
      </c>
      <c r="O727" s="300">
        <f t="shared" si="208"/>
        <v>0</v>
      </c>
      <c r="P727" s="52">
        <f t="shared" si="216"/>
        <v>0</v>
      </c>
      <c r="Q727" s="52">
        <f t="shared" si="216"/>
        <v>0</v>
      </c>
      <c r="R727" s="333">
        <f t="shared" si="210"/>
        <v>0</v>
      </c>
      <c r="S727" s="192"/>
      <c r="T727" s="192"/>
      <c r="U727" s="192"/>
    </row>
    <row r="728" spans="2:21" s="193" customFormat="1" ht="19.5" customHeight="1" x14ac:dyDescent="0.2">
      <c r="B728" s="75" t="s">
        <v>82</v>
      </c>
      <c r="C728" s="53" t="s">
        <v>698</v>
      </c>
      <c r="D728" s="53" t="s">
        <v>159</v>
      </c>
      <c r="E728" s="53" t="s">
        <v>111</v>
      </c>
      <c r="F728" s="54" t="s">
        <v>227</v>
      </c>
      <c r="G728" s="53" t="s">
        <v>81</v>
      </c>
      <c r="H728" s="52">
        <v>0</v>
      </c>
      <c r="I728" s="52">
        <v>57.7</v>
      </c>
      <c r="J728" s="300">
        <f t="shared" si="207"/>
        <v>57.7</v>
      </c>
      <c r="K728" s="52">
        <v>0</v>
      </c>
      <c r="L728" s="52">
        <v>57.7</v>
      </c>
      <c r="M728" s="300">
        <f t="shared" si="213"/>
        <v>0</v>
      </c>
      <c r="N728" s="52">
        <v>0</v>
      </c>
      <c r="O728" s="300">
        <f t="shared" si="208"/>
        <v>0</v>
      </c>
      <c r="P728" s="52">
        <v>0</v>
      </c>
      <c r="Q728" s="52">
        <v>0</v>
      </c>
      <c r="R728" s="333">
        <f t="shared" si="210"/>
        <v>0</v>
      </c>
      <c r="S728" s="192"/>
      <c r="T728" s="192"/>
      <c r="U728" s="192"/>
    </row>
    <row r="729" spans="2:21" s="193" customFormat="1" ht="27.75" customHeight="1" x14ac:dyDescent="0.2">
      <c r="B729" s="56" t="s">
        <v>204</v>
      </c>
      <c r="C729" s="53" t="s">
        <v>698</v>
      </c>
      <c r="D729" s="53" t="s">
        <v>159</v>
      </c>
      <c r="E729" s="53" t="s">
        <v>111</v>
      </c>
      <c r="F729" s="103" t="s">
        <v>203</v>
      </c>
      <c r="G729" s="53"/>
      <c r="H729" s="104">
        <f t="shared" ref="H729:Q730" si="217">H730</f>
        <v>50</v>
      </c>
      <c r="I729" s="104">
        <f t="shared" si="217"/>
        <v>50</v>
      </c>
      <c r="J729" s="300">
        <f t="shared" si="207"/>
        <v>0</v>
      </c>
      <c r="K729" s="104">
        <f t="shared" si="217"/>
        <v>50</v>
      </c>
      <c r="L729" s="104">
        <f t="shared" si="217"/>
        <v>50</v>
      </c>
      <c r="M729" s="300">
        <f t="shared" si="213"/>
        <v>0</v>
      </c>
      <c r="N729" s="104">
        <f t="shared" si="217"/>
        <v>50</v>
      </c>
      <c r="O729" s="300">
        <f t="shared" si="208"/>
        <v>0</v>
      </c>
      <c r="P729" s="104">
        <f t="shared" si="217"/>
        <v>50</v>
      </c>
      <c r="Q729" s="104">
        <f t="shared" si="217"/>
        <v>50</v>
      </c>
      <c r="R729" s="333">
        <f t="shared" si="210"/>
        <v>0</v>
      </c>
      <c r="S729" s="192"/>
      <c r="T729" s="192"/>
      <c r="U729" s="192"/>
    </row>
    <row r="730" spans="2:21" s="193" customFormat="1" ht="28.5" customHeight="1" x14ac:dyDescent="0.2">
      <c r="B730" s="56" t="s">
        <v>202</v>
      </c>
      <c r="C730" s="53" t="s">
        <v>698</v>
      </c>
      <c r="D730" s="53" t="s">
        <v>159</v>
      </c>
      <c r="E730" s="53" t="s">
        <v>111</v>
      </c>
      <c r="F730" s="103" t="s">
        <v>201</v>
      </c>
      <c r="G730" s="53"/>
      <c r="H730" s="104">
        <f t="shared" si="217"/>
        <v>50</v>
      </c>
      <c r="I730" s="104">
        <f t="shared" si="217"/>
        <v>50</v>
      </c>
      <c r="J730" s="300">
        <f t="shared" si="207"/>
        <v>0</v>
      </c>
      <c r="K730" s="104">
        <f t="shared" si="217"/>
        <v>50</v>
      </c>
      <c r="L730" s="104">
        <f t="shared" si="217"/>
        <v>50</v>
      </c>
      <c r="M730" s="300">
        <f t="shared" si="213"/>
        <v>0</v>
      </c>
      <c r="N730" s="104">
        <f t="shared" si="217"/>
        <v>50</v>
      </c>
      <c r="O730" s="300">
        <f t="shared" si="208"/>
        <v>0</v>
      </c>
      <c r="P730" s="104">
        <f t="shared" si="217"/>
        <v>50</v>
      </c>
      <c r="Q730" s="104">
        <f t="shared" si="217"/>
        <v>50</v>
      </c>
      <c r="R730" s="333">
        <f t="shared" si="210"/>
        <v>0</v>
      </c>
      <c r="S730" s="192"/>
      <c r="T730" s="192"/>
      <c r="U730" s="192"/>
    </row>
    <row r="731" spans="2:21" s="193" customFormat="1" ht="14.25" customHeight="1" x14ac:dyDescent="0.2">
      <c r="B731" s="97" t="s">
        <v>98</v>
      </c>
      <c r="C731" s="53" t="s">
        <v>698</v>
      </c>
      <c r="D731" s="53" t="s">
        <v>159</v>
      </c>
      <c r="E731" s="53" t="s">
        <v>111</v>
      </c>
      <c r="F731" s="103" t="s">
        <v>201</v>
      </c>
      <c r="G731" s="53" t="s">
        <v>81</v>
      </c>
      <c r="H731" s="52">
        <v>50</v>
      </c>
      <c r="I731" s="52">
        <v>50</v>
      </c>
      <c r="J731" s="300">
        <f t="shared" si="207"/>
        <v>0</v>
      </c>
      <c r="K731" s="52">
        <v>50</v>
      </c>
      <c r="L731" s="52">
        <v>50</v>
      </c>
      <c r="M731" s="300">
        <f t="shared" si="213"/>
        <v>0</v>
      </c>
      <c r="N731" s="52">
        <v>50</v>
      </c>
      <c r="O731" s="300">
        <f t="shared" si="208"/>
        <v>0</v>
      </c>
      <c r="P731" s="52">
        <v>50</v>
      </c>
      <c r="Q731" s="52">
        <v>50</v>
      </c>
      <c r="R731" s="333">
        <f t="shared" si="210"/>
        <v>0</v>
      </c>
      <c r="S731" s="192"/>
      <c r="T731" s="192"/>
      <c r="U731" s="192"/>
    </row>
    <row r="732" spans="2:21" s="193" customFormat="1" ht="26.25" customHeight="1" x14ac:dyDescent="0.2">
      <c r="B732" s="56" t="s">
        <v>198</v>
      </c>
      <c r="C732" s="53" t="s">
        <v>698</v>
      </c>
      <c r="D732" s="53" t="s">
        <v>159</v>
      </c>
      <c r="E732" s="53" t="s">
        <v>111</v>
      </c>
      <c r="F732" s="103" t="s">
        <v>197</v>
      </c>
      <c r="G732" s="53"/>
      <c r="H732" s="52">
        <f>H733</f>
        <v>0</v>
      </c>
      <c r="I732" s="52">
        <f t="shared" ref="I732:Q733" si="218">I733</f>
        <v>10</v>
      </c>
      <c r="J732" s="300">
        <f t="shared" si="207"/>
        <v>10</v>
      </c>
      <c r="K732" s="52">
        <f t="shared" si="218"/>
        <v>0</v>
      </c>
      <c r="L732" s="52">
        <f t="shared" si="218"/>
        <v>10</v>
      </c>
      <c r="M732" s="300">
        <f t="shared" si="213"/>
        <v>0</v>
      </c>
      <c r="N732" s="52">
        <f t="shared" si="218"/>
        <v>0</v>
      </c>
      <c r="O732" s="300">
        <f t="shared" si="208"/>
        <v>0</v>
      </c>
      <c r="P732" s="52">
        <f t="shared" si="218"/>
        <v>0</v>
      </c>
      <c r="Q732" s="52">
        <f t="shared" si="218"/>
        <v>0</v>
      </c>
      <c r="R732" s="333">
        <f t="shared" si="210"/>
        <v>0</v>
      </c>
      <c r="S732" s="192"/>
      <c r="T732" s="192"/>
      <c r="U732" s="192"/>
    </row>
    <row r="733" spans="2:21" s="193" customFormat="1" ht="29.25" customHeight="1" x14ac:dyDescent="0.2">
      <c r="B733" s="56" t="s">
        <v>194</v>
      </c>
      <c r="C733" s="53" t="s">
        <v>698</v>
      </c>
      <c r="D733" s="53" t="s">
        <v>159</v>
      </c>
      <c r="E733" s="53" t="s">
        <v>111</v>
      </c>
      <c r="F733" s="74" t="s">
        <v>193</v>
      </c>
      <c r="G733" s="73"/>
      <c r="H733" s="52">
        <f>H734</f>
        <v>0</v>
      </c>
      <c r="I733" s="52">
        <f t="shared" si="218"/>
        <v>10</v>
      </c>
      <c r="J733" s="300">
        <f t="shared" si="207"/>
        <v>10</v>
      </c>
      <c r="K733" s="52">
        <f t="shared" si="218"/>
        <v>0</v>
      </c>
      <c r="L733" s="52">
        <f t="shared" si="218"/>
        <v>10</v>
      </c>
      <c r="M733" s="300">
        <f t="shared" si="213"/>
        <v>0</v>
      </c>
      <c r="N733" s="52">
        <f t="shared" si="218"/>
        <v>0</v>
      </c>
      <c r="O733" s="300">
        <f t="shared" si="208"/>
        <v>0</v>
      </c>
      <c r="P733" s="52">
        <f t="shared" si="218"/>
        <v>0</v>
      </c>
      <c r="Q733" s="52">
        <f t="shared" si="218"/>
        <v>0</v>
      </c>
      <c r="R733" s="333">
        <f t="shared" si="210"/>
        <v>0</v>
      </c>
      <c r="S733" s="192"/>
      <c r="T733" s="192"/>
      <c r="U733" s="192"/>
    </row>
    <row r="734" spans="2:21" s="193" customFormat="1" ht="14.25" customHeight="1" x14ac:dyDescent="0.2">
      <c r="B734" s="97" t="s">
        <v>98</v>
      </c>
      <c r="C734" s="53" t="s">
        <v>698</v>
      </c>
      <c r="D734" s="53" t="s">
        <v>159</v>
      </c>
      <c r="E734" s="53" t="s">
        <v>111</v>
      </c>
      <c r="F734" s="74" t="s">
        <v>193</v>
      </c>
      <c r="G734" s="73" t="s">
        <v>81</v>
      </c>
      <c r="H734" s="52">
        <v>0</v>
      </c>
      <c r="I734" s="52">
        <v>10</v>
      </c>
      <c r="J734" s="300">
        <f t="shared" si="207"/>
        <v>10</v>
      </c>
      <c r="K734" s="52">
        <v>0</v>
      </c>
      <c r="L734" s="52">
        <v>10</v>
      </c>
      <c r="M734" s="300">
        <f t="shared" si="213"/>
        <v>0</v>
      </c>
      <c r="N734" s="52">
        <v>0</v>
      </c>
      <c r="O734" s="300">
        <f t="shared" si="208"/>
        <v>0</v>
      </c>
      <c r="P734" s="52">
        <v>0</v>
      </c>
      <c r="Q734" s="52">
        <v>0</v>
      </c>
      <c r="R734" s="333">
        <f t="shared" si="210"/>
        <v>0</v>
      </c>
      <c r="S734" s="192"/>
      <c r="T734" s="192"/>
      <c r="U734" s="192"/>
    </row>
    <row r="735" spans="2:21" s="43" customFormat="1" ht="13.5" customHeight="1" x14ac:dyDescent="0.2">
      <c r="B735" s="181" t="s">
        <v>205</v>
      </c>
      <c r="C735" s="48" t="s">
        <v>698</v>
      </c>
      <c r="D735" s="48" t="s">
        <v>159</v>
      </c>
      <c r="E735" s="48" t="s">
        <v>160</v>
      </c>
      <c r="F735" s="48"/>
      <c r="G735" s="48"/>
      <c r="H735" s="44">
        <f>H736</f>
        <v>5613.5</v>
      </c>
      <c r="I735" s="44">
        <f t="shared" ref="I735:Q735" si="219">I736</f>
        <v>5100.8999999999996</v>
      </c>
      <c r="J735" s="300">
        <f t="shared" si="207"/>
        <v>-512.60000000000036</v>
      </c>
      <c r="K735" s="44">
        <f t="shared" si="219"/>
        <v>5585.5</v>
      </c>
      <c r="L735" s="44">
        <f t="shared" si="219"/>
        <v>5672</v>
      </c>
      <c r="M735" s="300">
        <f t="shared" si="213"/>
        <v>571.10000000000036</v>
      </c>
      <c r="N735" s="44">
        <f t="shared" si="219"/>
        <v>5585.5</v>
      </c>
      <c r="O735" s="300">
        <f t="shared" si="208"/>
        <v>0</v>
      </c>
      <c r="P735" s="44">
        <f t="shared" si="219"/>
        <v>5585.5</v>
      </c>
      <c r="Q735" s="44">
        <f t="shared" si="219"/>
        <v>5585.5</v>
      </c>
      <c r="R735" s="333">
        <f t="shared" si="210"/>
        <v>0</v>
      </c>
    </row>
    <row r="736" spans="2:21" s="51" customFormat="1" ht="25.5" x14ac:dyDescent="0.2">
      <c r="B736" s="64" t="s">
        <v>142</v>
      </c>
      <c r="C736" s="53" t="s">
        <v>698</v>
      </c>
      <c r="D736" s="53" t="s">
        <v>159</v>
      </c>
      <c r="E736" s="53" t="s">
        <v>160</v>
      </c>
      <c r="F736" s="54" t="s">
        <v>141</v>
      </c>
      <c r="G736" s="53"/>
      <c r="H736" s="52">
        <f>H737</f>
        <v>5613.5</v>
      </c>
      <c r="I736" s="52">
        <f>I737</f>
        <v>5100.8999999999996</v>
      </c>
      <c r="J736" s="300">
        <f t="shared" si="207"/>
        <v>-512.60000000000036</v>
      </c>
      <c r="K736" s="52">
        <f>K737</f>
        <v>5585.5</v>
      </c>
      <c r="L736" s="52">
        <f>L737</f>
        <v>5672</v>
      </c>
      <c r="M736" s="300">
        <f t="shared" si="213"/>
        <v>571.10000000000036</v>
      </c>
      <c r="N736" s="52">
        <f>N737</f>
        <v>5585.5</v>
      </c>
      <c r="O736" s="300">
        <f t="shared" si="208"/>
        <v>0</v>
      </c>
      <c r="P736" s="52">
        <f>P737</f>
        <v>5585.5</v>
      </c>
      <c r="Q736" s="52">
        <f>Q737</f>
        <v>5585.5</v>
      </c>
      <c r="R736" s="333">
        <f t="shared" si="210"/>
        <v>0</v>
      </c>
      <c r="S736" s="32"/>
      <c r="T736" s="32"/>
      <c r="U736" s="32"/>
    </row>
    <row r="737" spans="2:21" s="51" customFormat="1" x14ac:dyDescent="0.2">
      <c r="B737" s="77" t="s">
        <v>52</v>
      </c>
      <c r="C737" s="53" t="s">
        <v>698</v>
      </c>
      <c r="D737" s="53" t="s">
        <v>159</v>
      </c>
      <c r="E737" s="53" t="s">
        <v>160</v>
      </c>
      <c r="F737" s="103" t="s">
        <v>140</v>
      </c>
      <c r="G737" s="53"/>
      <c r="H737" s="104">
        <f>H738+H744</f>
        <v>5613.5</v>
      </c>
      <c r="I737" s="104">
        <f>I738+I744</f>
        <v>5100.8999999999996</v>
      </c>
      <c r="J737" s="300">
        <f t="shared" si="207"/>
        <v>-512.60000000000036</v>
      </c>
      <c r="K737" s="104">
        <f>K738+K744</f>
        <v>5585.5</v>
      </c>
      <c r="L737" s="104">
        <f>L738+L744</f>
        <v>5672</v>
      </c>
      <c r="M737" s="300">
        <f t="shared" si="213"/>
        <v>571.10000000000036</v>
      </c>
      <c r="N737" s="104">
        <f>N738+N744</f>
        <v>5585.5</v>
      </c>
      <c r="O737" s="300">
        <f t="shared" si="208"/>
        <v>0</v>
      </c>
      <c r="P737" s="104">
        <f>P738+P744</f>
        <v>5585.5</v>
      </c>
      <c r="Q737" s="104">
        <f>Q738+Q744</f>
        <v>5585.5</v>
      </c>
      <c r="R737" s="333">
        <f t="shared" si="210"/>
        <v>0</v>
      </c>
      <c r="S737" s="32"/>
      <c r="T737" s="32"/>
      <c r="U737" s="32"/>
    </row>
    <row r="738" spans="2:21" s="51" customFormat="1" ht="29.25" customHeight="1" x14ac:dyDescent="0.2">
      <c r="B738" s="56" t="s">
        <v>204</v>
      </c>
      <c r="C738" s="53" t="s">
        <v>698</v>
      </c>
      <c r="D738" s="53" t="s">
        <v>159</v>
      </c>
      <c r="E738" s="53" t="s">
        <v>160</v>
      </c>
      <c r="F738" s="103" t="s">
        <v>203</v>
      </c>
      <c r="G738" s="53"/>
      <c r="H738" s="104">
        <f>H739+H742</f>
        <v>782.5</v>
      </c>
      <c r="I738" s="104">
        <f>I739+I742</f>
        <v>782.5</v>
      </c>
      <c r="J738" s="300">
        <f t="shared" si="207"/>
        <v>0</v>
      </c>
      <c r="K738" s="104">
        <f>K739+K742</f>
        <v>782.5</v>
      </c>
      <c r="L738" s="104">
        <f>L739+L742</f>
        <v>777</v>
      </c>
      <c r="M738" s="300">
        <f t="shared" si="213"/>
        <v>-5.5</v>
      </c>
      <c r="N738" s="104">
        <f>N739+N742</f>
        <v>782.5</v>
      </c>
      <c r="O738" s="300">
        <f t="shared" si="208"/>
        <v>0</v>
      </c>
      <c r="P738" s="104">
        <f>P739+P742</f>
        <v>782.5</v>
      </c>
      <c r="Q738" s="104">
        <f>Q739+Q742</f>
        <v>782.5</v>
      </c>
      <c r="R738" s="333">
        <f t="shared" si="210"/>
        <v>0</v>
      </c>
      <c r="S738" s="32"/>
      <c r="T738" s="32"/>
      <c r="U738" s="32"/>
    </row>
    <row r="739" spans="2:21" s="51" customFormat="1" ht="25.5" x14ac:dyDescent="0.2">
      <c r="B739" s="56" t="s">
        <v>202</v>
      </c>
      <c r="C739" s="53" t="s">
        <v>698</v>
      </c>
      <c r="D739" s="53" t="s">
        <v>159</v>
      </c>
      <c r="E739" s="53" t="s">
        <v>160</v>
      </c>
      <c r="F739" s="103" t="s">
        <v>201</v>
      </c>
      <c r="G739" s="53"/>
      <c r="H739" s="104">
        <f>H740+H741</f>
        <v>282.5</v>
      </c>
      <c r="I739" s="104">
        <f>I740+I741</f>
        <v>282.5</v>
      </c>
      <c r="J739" s="300">
        <f t="shared" si="207"/>
        <v>0</v>
      </c>
      <c r="K739" s="104">
        <f>K740+K741</f>
        <v>282.5</v>
      </c>
      <c r="L739" s="104">
        <f>L740+L741</f>
        <v>277</v>
      </c>
      <c r="M739" s="300">
        <f t="shared" si="213"/>
        <v>-5.5</v>
      </c>
      <c r="N739" s="104">
        <f>N740+N741</f>
        <v>282.5</v>
      </c>
      <c r="O739" s="300">
        <f t="shared" si="208"/>
        <v>0</v>
      </c>
      <c r="P739" s="104">
        <f>P740+P741</f>
        <v>282.5</v>
      </c>
      <c r="Q739" s="104">
        <f>Q740+Q741</f>
        <v>282.5</v>
      </c>
      <c r="R739" s="333">
        <f t="shared" si="210"/>
        <v>0</v>
      </c>
      <c r="S739" s="32"/>
      <c r="T739" s="32"/>
      <c r="U739" s="32"/>
    </row>
    <row r="740" spans="2:21" s="51" customFormat="1" ht="17.25" customHeight="1" x14ac:dyDescent="0.2">
      <c r="B740" s="99" t="s">
        <v>84</v>
      </c>
      <c r="C740" s="53" t="s">
        <v>698</v>
      </c>
      <c r="D740" s="53" t="s">
        <v>159</v>
      </c>
      <c r="E740" s="53" t="s">
        <v>160</v>
      </c>
      <c r="F740" s="103" t="s">
        <v>201</v>
      </c>
      <c r="G740" s="53" t="s">
        <v>83</v>
      </c>
      <c r="H740" s="104">
        <v>62</v>
      </c>
      <c r="I740" s="104">
        <v>62</v>
      </c>
      <c r="J740" s="300">
        <f t="shared" si="207"/>
        <v>0</v>
      </c>
      <c r="K740" s="104">
        <v>62</v>
      </c>
      <c r="L740" s="104">
        <v>62</v>
      </c>
      <c r="M740" s="300">
        <f t="shared" si="213"/>
        <v>0</v>
      </c>
      <c r="N740" s="104">
        <v>62</v>
      </c>
      <c r="O740" s="300">
        <f t="shared" si="208"/>
        <v>0</v>
      </c>
      <c r="P740" s="104">
        <v>62</v>
      </c>
      <c r="Q740" s="104">
        <v>62</v>
      </c>
      <c r="R740" s="333">
        <f t="shared" si="210"/>
        <v>0</v>
      </c>
      <c r="S740" s="32"/>
      <c r="T740" s="32"/>
      <c r="U740" s="32"/>
    </row>
    <row r="741" spans="2:21" s="51" customFormat="1" ht="29.25" customHeight="1" x14ac:dyDescent="0.2">
      <c r="B741" s="99" t="s">
        <v>73</v>
      </c>
      <c r="C741" s="53" t="s">
        <v>698</v>
      </c>
      <c r="D741" s="53" t="s">
        <v>159</v>
      </c>
      <c r="E741" s="53" t="s">
        <v>160</v>
      </c>
      <c r="F741" s="103" t="s">
        <v>201</v>
      </c>
      <c r="G741" s="53" t="s">
        <v>70</v>
      </c>
      <c r="H741" s="52">
        <v>220.5</v>
      </c>
      <c r="I741" s="52">
        <v>220.5</v>
      </c>
      <c r="J741" s="300">
        <f t="shared" si="207"/>
        <v>0</v>
      </c>
      <c r="K741" s="52">
        <v>220.5</v>
      </c>
      <c r="L741" s="52">
        <f>220.5-5.5</f>
        <v>215</v>
      </c>
      <c r="M741" s="300">
        <f t="shared" si="213"/>
        <v>-5.5</v>
      </c>
      <c r="N741" s="52">
        <v>220.5</v>
      </c>
      <c r="O741" s="300">
        <f t="shared" si="208"/>
        <v>0</v>
      </c>
      <c r="P741" s="52">
        <v>220.5</v>
      </c>
      <c r="Q741" s="52">
        <v>220.5</v>
      </c>
      <c r="R741" s="333">
        <f t="shared" si="210"/>
        <v>0</v>
      </c>
      <c r="S741" s="32"/>
      <c r="T741" s="32"/>
      <c r="U741" s="32"/>
    </row>
    <row r="742" spans="2:21" s="193" customFormat="1" ht="14.25" customHeight="1" x14ac:dyDescent="0.2">
      <c r="B742" s="64" t="s">
        <v>200</v>
      </c>
      <c r="C742" s="53" t="s">
        <v>698</v>
      </c>
      <c r="D742" s="53" t="s">
        <v>159</v>
      </c>
      <c r="E742" s="53" t="s">
        <v>160</v>
      </c>
      <c r="F742" s="54" t="s">
        <v>199</v>
      </c>
      <c r="G742" s="101"/>
      <c r="H742" s="100">
        <f>H743</f>
        <v>500</v>
      </c>
      <c r="I742" s="100">
        <f>I743</f>
        <v>500</v>
      </c>
      <c r="J742" s="300">
        <f t="shared" si="207"/>
        <v>0</v>
      </c>
      <c r="K742" s="100">
        <f>K743</f>
        <v>500</v>
      </c>
      <c r="L742" s="100">
        <f>L743</f>
        <v>500</v>
      </c>
      <c r="M742" s="300">
        <f t="shared" si="213"/>
        <v>0</v>
      </c>
      <c r="N742" s="100">
        <f>N743</f>
        <v>500</v>
      </c>
      <c r="O742" s="300">
        <f t="shared" si="208"/>
        <v>0</v>
      </c>
      <c r="P742" s="100">
        <f>P743</f>
        <v>500</v>
      </c>
      <c r="Q742" s="100">
        <f>Q743</f>
        <v>500</v>
      </c>
      <c r="R742" s="333">
        <f t="shared" si="210"/>
        <v>0</v>
      </c>
      <c r="S742" s="192"/>
      <c r="T742" s="192"/>
      <c r="U742" s="192"/>
    </row>
    <row r="743" spans="2:21" s="193" customFormat="1" ht="14.25" customHeight="1" x14ac:dyDescent="0.2">
      <c r="B743" s="102" t="s">
        <v>98</v>
      </c>
      <c r="C743" s="53" t="s">
        <v>698</v>
      </c>
      <c r="D743" s="53" t="s">
        <v>159</v>
      </c>
      <c r="E743" s="53" t="s">
        <v>160</v>
      </c>
      <c r="F743" s="54" t="s">
        <v>199</v>
      </c>
      <c r="G743" s="101" t="s">
        <v>81</v>
      </c>
      <c r="H743" s="100">
        <v>500</v>
      </c>
      <c r="I743" s="100">
        <v>500</v>
      </c>
      <c r="J743" s="300">
        <f t="shared" si="207"/>
        <v>0</v>
      </c>
      <c r="K743" s="100">
        <v>500</v>
      </c>
      <c r="L743" s="100">
        <v>500</v>
      </c>
      <c r="M743" s="300">
        <f t="shared" si="213"/>
        <v>0</v>
      </c>
      <c r="N743" s="100">
        <v>500</v>
      </c>
      <c r="O743" s="300">
        <f t="shared" si="208"/>
        <v>0</v>
      </c>
      <c r="P743" s="100">
        <v>500</v>
      </c>
      <c r="Q743" s="100">
        <v>500</v>
      </c>
      <c r="R743" s="333">
        <f t="shared" si="210"/>
        <v>0</v>
      </c>
      <c r="S743" s="192"/>
      <c r="T743" s="192"/>
      <c r="U743" s="192"/>
    </row>
    <row r="744" spans="2:21" s="51" customFormat="1" ht="25.5" x14ac:dyDescent="0.2">
      <c r="B744" s="56" t="s">
        <v>198</v>
      </c>
      <c r="C744" s="53" t="s">
        <v>698</v>
      </c>
      <c r="D744" s="53" t="s">
        <v>159</v>
      </c>
      <c r="E744" s="53" t="s">
        <v>160</v>
      </c>
      <c r="F744" s="74" t="s">
        <v>197</v>
      </c>
      <c r="G744" s="73"/>
      <c r="H744" s="52">
        <f>H745+H748</f>
        <v>4831</v>
      </c>
      <c r="I744" s="52">
        <f>I745+I748</f>
        <v>4318.3999999999996</v>
      </c>
      <c r="J744" s="300">
        <f t="shared" si="207"/>
        <v>-512.60000000000036</v>
      </c>
      <c r="K744" s="52">
        <f>K745+K748</f>
        <v>4803</v>
      </c>
      <c r="L744" s="52">
        <f>L745+L748</f>
        <v>4895</v>
      </c>
      <c r="M744" s="300">
        <f t="shared" si="213"/>
        <v>576.60000000000036</v>
      </c>
      <c r="N744" s="52">
        <f>N745+N748</f>
        <v>4803</v>
      </c>
      <c r="O744" s="300">
        <f t="shared" si="208"/>
        <v>0</v>
      </c>
      <c r="P744" s="52">
        <f>P745+P748</f>
        <v>4803</v>
      </c>
      <c r="Q744" s="52">
        <f>Q745+Q748</f>
        <v>4803</v>
      </c>
      <c r="R744" s="333">
        <f t="shared" si="210"/>
        <v>0</v>
      </c>
      <c r="S744" s="32"/>
      <c r="T744" s="32"/>
      <c r="U744" s="32"/>
    </row>
    <row r="745" spans="2:21" s="51" customFormat="1" x14ac:dyDescent="0.2">
      <c r="B745" s="56" t="s">
        <v>196</v>
      </c>
      <c r="C745" s="53" t="s">
        <v>698</v>
      </c>
      <c r="D745" s="53" t="s">
        <v>159</v>
      </c>
      <c r="E745" s="53" t="s">
        <v>160</v>
      </c>
      <c r="F745" s="74" t="s">
        <v>195</v>
      </c>
      <c r="G745" s="73"/>
      <c r="H745" s="52">
        <f>H746+H747</f>
        <v>4631</v>
      </c>
      <c r="I745" s="52">
        <f>I746+I747</f>
        <v>4138.3999999999996</v>
      </c>
      <c r="J745" s="300">
        <f t="shared" si="207"/>
        <v>-492.60000000000036</v>
      </c>
      <c r="K745" s="52">
        <f>K746+K747</f>
        <v>4553</v>
      </c>
      <c r="L745" s="52">
        <f>L746+L747</f>
        <v>4715</v>
      </c>
      <c r="M745" s="300">
        <f t="shared" si="213"/>
        <v>576.60000000000036</v>
      </c>
      <c r="N745" s="52">
        <f>N746+N747</f>
        <v>4553</v>
      </c>
      <c r="O745" s="300">
        <f t="shared" si="208"/>
        <v>0</v>
      </c>
      <c r="P745" s="52">
        <f>P746+P747</f>
        <v>4553</v>
      </c>
      <c r="Q745" s="52">
        <f>Q746+Q747</f>
        <v>4553</v>
      </c>
      <c r="R745" s="333">
        <f t="shared" si="210"/>
        <v>0</v>
      </c>
      <c r="S745" s="32"/>
      <c r="T745" s="32"/>
      <c r="U745" s="32"/>
    </row>
    <row r="746" spans="2:21" s="51" customFormat="1" ht="16.5" customHeight="1" x14ac:dyDescent="0.2">
      <c r="B746" s="99" t="s">
        <v>84</v>
      </c>
      <c r="C746" s="53" t="s">
        <v>698</v>
      </c>
      <c r="D746" s="53" t="s">
        <v>159</v>
      </c>
      <c r="E746" s="53" t="s">
        <v>160</v>
      </c>
      <c r="F746" s="74" t="s">
        <v>195</v>
      </c>
      <c r="G746" s="73" t="s">
        <v>83</v>
      </c>
      <c r="H746" s="52">
        <f>2358.4+1812.6+22+78</f>
        <v>4271</v>
      </c>
      <c r="I746" s="52">
        <f>4271+228.3-720.9</f>
        <v>3778.4</v>
      </c>
      <c r="J746" s="300">
        <f t="shared" si="207"/>
        <v>-492.59999999999991</v>
      </c>
      <c r="K746" s="52">
        <f>2358.4+1812.6+22</f>
        <v>4193</v>
      </c>
      <c r="L746" s="52">
        <f>3778.4+576.6</f>
        <v>4355</v>
      </c>
      <c r="M746" s="300">
        <f t="shared" si="213"/>
        <v>576.59999999999991</v>
      </c>
      <c r="N746" s="52">
        <f>2358.4+1812.6+22</f>
        <v>4193</v>
      </c>
      <c r="O746" s="300">
        <f t="shared" si="208"/>
        <v>0</v>
      </c>
      <c r="P746" s="52">
        <f>2358.4+1812.6+22</f>
        <v>4193</v>
      </c>
      <c r="Q746" s="52">
        <f>2358.4+1812.6+22</f>
        <v>4193</v>
      </c>
      <c r="R746" s="333">
        <f t="shared" si="210"/>
        <v>0</v>
      </c>
      <c r="S746" s="39"/>
      <c r="T746" s="32"/>
      <c r="U746" s="32"/>
    </row>
    <row r="747" spans="2:21" s="51" customFormat="1" ht="25.5" x14ac:dyDescent="0.2">
      <c r="B747" s="56" t="s">
        <v>73</v>
      </c>
      <c r="C747" s="53" t="s">
        <v>698</v>
      </c>
      <c r="D747" s="53" t="s">
        <v>159</v>
      </c>
      <c r="E747" s="53" t="s">
        <v>160</v>
      </c>
      <c r="F747" s="74" t="s">
        <v>195</v>
      </c>
      <c r="G747" s="73" t="s">
        <v>70</v>
      </c>
      <c r="H747" s="52">
        <v>360</v>
      </c>
      <c r="I747" s="52">
        <v>360</v>
      </c>
      <c r="J747" s="300">
        <f t="shared" si="207"/>
        <v>0</v>
      </c>
      <c r="K747" s="52">
        <v>360</v>
      </c>
      <c r="L747" s="52">
        <v>360</v>
      </c>
      <c r="M747" s="300">
        <f t="shared" si="213"/>
        <v>0</v>
      </c>
      <c r="N747" s="52">
        <v>360</v>
      </c>
      <c r="O747" s="300">
        <f t="shared" si="208"/>
        <v>0</v>
      </c>
      <c r="P747" s="65">
        <v>360</v>
      </c>
      <c r="Q747" s="65">
        <v>360</v>
      </c>
      <c r="R747" s="333">
        <f t="shared" si="210"/>
        <v>0</v>
      </c>
      <c r="S747" s="32"/>
      <c r="T747" s="32"/>
      <c r="U747" s="32"/>
    </row>
    <row r="748" spans="2:21" s="51" customFormat="1" ht="27" customHeight="1" x14ac:dyDescent="0.2">
      <c r="B748" s="56" t="s">
        <v>194</v>
      </c>
      <c r="C748" s="53" t="s">
        <v>698</v>
      </c>
      <c r="D748" s="53" t="s">
        <v>159</v>
      </c>
      <c r="E748" s="53" t="s">
        <v>160</v>
      </c>
      <c r="F748" s="74" t="s">
        <v>193</v>
      </c>
      <c r="G748" s="73"/>
      <c r="H748" s="52">
        <f>H749</f>
        <v>200</v>
      </c>
      <c r="I748" s="52">
        <f>I749</f>
        <v>180</v>
      </c>
      <c r="J748" s="300">
        <f t="shared" si="207"/>
        <v>-20</v>
      </c>
      <c r="K748" s="52">
        <f>K749</f>
        <v>250</v>
      </c>
      <c r="L748" s="52">
        <f>L749</f>
        <v>180</v>
      </c>
      <c r="M748" s="300">
        <f t="shared" si="213"/>
        <v>0</v>
      </c>
      <c r="N748" s="52">
        <f>N749</f>
        <v>250</v>
      </c>
      <c r="O748" s="300">
        <f t="shared" si="208"/>
        <v>0</v>
      </c>
      <c r="P748" s="52">
        <f>P749</f>
        <v>250</v>
      </c>
      <c r="Q748" s="52">
        <f>Q749</f>
        <v>250</v>
      </c>
      <c r="R748" s="333">
        <f t="shared" si="210"/>
        <v>0</v>
      </c>
      <c r="S748" s="32"/>
      <c r="T748" s="32"/>
      <c r="U748" s="32"/>
    </row>
    <row r="749" spans="2:21" s="51" customFormat="1" ht="25.5" x14ac:dyDescent="0.2">
      <c r="B749" s="56" t="s">
        <v>73</v>
      </c>
      <c r="C749" s="53" t="s">
        <v>698</v>
      </c>
      <c r="D749" s="53" t="s">
        <v>159</v>
      </c>
      <c r="E749" s="53" t="s">
        <v>160</v>
      </c>
      <c r="F749" s="74" t="s">
        <v>193</v>
      </c>
      <c r="G749" s="73" t="s">
        <v>70</v>
      </c>
      <c r="H749" s="52">
        <f>250-50</f>
        <v>200</v>
      </c>
      <c r="I749" s="52">
        <f>200-20</f>
        <v>180</v>
      </c>
      <c r="J749" s="300">
        <f t="shared" si="207"/>
        <v>-20</v>
      </c>
      <c r="K749" s="52">
        <v>250</v>
      </c>
      <c r="L749" s="52">
        <f>200-20</f>
        <v>180</v>
      </c>
      <c r="M749" s="300">
        <f t="shared" si="213"/>
        <v>0</v>
      </c>
      <c r="N749" s="52">
        <v>250</v>
      </c>
      <c r="O749" s="300">
        <f t="shared" si="208"/>
        <v>0</v>
      </c>
      <c r="P749" s="65">
        <v>250</v>
      </c>
      <c r="Q749" s="65">
        <v>250</v>
      </c>
      <c r="R749" s="333">
        <f t="shared" si="210"/>
        <v>0</v>
      </c>
      <c r="S749" s="32"/>
      <c r="T749" s="32"/>
      <c r="U749" s="32"/>
    </row>
    <row r="750" spans="2:21" s="32" customFormat="1" x14ac:dyDescent="0.2">
      <c r="B750" s="59" t="s">
        <v>686</v>
      </c>
      <c r="C750" s="48" t="s">
        <v>698</v>
      </c>
      <c r="D750" s="48" t="s">
        <v>97</v>
      </c>
      <c r="E750" s="48"/>
      <c r="F750" s="48"/>
      <c r="G750" s="48"/>
      <c r="H750" s="44">
        <f>H751+H763</f>
        <v>2035.3</v>
      </c>
      <c r="I750" s="44">
        <f>I751+I763+I757</f>
        <v>2035.3</v>
      </c>
      <c r="J750" s="44">
        <f t="shared" ref="J750:Q750" si="220">J751+J763+J757</f>
        <v>0</v>
      </c>
      <c r="K750" s="44">
        <f t="shared" si="220"/>
        <v>1461.6</v>
      </c>
      <c r="L750" s="44">
        <f t="shared" si="220"/>
        <v>2106.6999999999998</v>
      </c>
      <c r="M750" s="300">
        <f t="shared" si="213"/>
        <v>71.399999999999864</v>
      </c>
      <c r="N750" s="44">
        <f t="shared" si="220"/>
        <v>1461.6</v>
      </c>
      <c r="O750" s="44">
        <f t="shared" si="220"/>
        <v>0</v>
      </c>
      <c r="P750" s="44">
        <f t="shared" si="220"/>
        <v>1461.6</v>
      </c>
      <c r="Q750" s="44">
        <f t="shared" si="220"/>
        <v>1461.6</v>
      </c>
      <c r="R750" s="333">
        <f t="shared" si="210"/>
        <v>0</v>
      </c>
    </row>
    <row r="751" spans="2:21" s="32" customFormat="1" x14ac:dyDescent="0.2">
      <c r="B751" s="59" t="s">
        <v>152</v>
      </c>
      <c r="C751" s="48" t="s">
        <v>698</v>
      </c>
      <c r="D751" s="48" t="s">
        <v>97</v>
      </c>
      <c r="E751" s="48" t="s">
        <v>111</v>
      </c>
      <c r="F751" s="48"/>
      <c r="G751" s="48"/>
      <c r="H751" s="44">
        <f t="shared" ref="H751:Q755" si="221">H752</f>
        <v>1461.6</v>
      </c>
      <c r="I751" s="44">
        <f t="shared" si="221"/>
        <v>1461.6</v>
      </c>
      <c r="J751" s="300">
        <f t="shared" si="207"/>
        <v>0</v>
      </c>
      <c r="K751" s="44">
        <f t="shared" si="221"/>
        <v>1461.6</v>
      </c>
      <c r="L751" s="44">
        <f t="shared" si="221"/>
        <v>1461.6</v>
      </c>
      <c r="M751" s="300">
        <f t="shared" si="213"/>
        <v>0</v>
      </c>
      <c r="N751" s="44">
        <f t="shared" si="221"/>
        <v>1461.6</v>
      </c>
      <c r="O751" s="300">
        <f t="shared" si="208"/>
        <v>0</v>
      </c>
      <c r="P751" s="44">
        <f t="shared" si="221"/>
        <v>1461.6</v>
      </c>
      <c r="Q751" s="44">
        <f t="shared" si="221"/>
        <v>1461.6</v>
      </c>
      <c r="R751" s="333">
        <f t="shared" si="210"/>
        <v>0</v>
      </c>
    </row>
    <row r="752" spans="2:21" s="51" customFormat="1" ht="27.75" customHeight="1" x14ac:dyDescent="0.2">
      <c r="B752" s="64" t="s">
        <v>142</v>
      </c>
      <c r="C752" s="53" t="s">
        <v>698</v>
      </c>
      <c r="D752" s="53" t="s">
        <v>97</v>
      </c>
      <c r="E752" s="53" t="s">
        <v>111</v>
      </c>
      <c r="F752" s="54" t="s">
        <v>141</v>
      </c>
      <c r="G752" s="53"/>
      <c r="H752" s="52">
        <f t="shared" si="221"/>
        <v>1461.6</v>
      </c>
      <c r="I752" s="52">
        <f t="shared" si="221"/>
        <v>1461.6</v>
      </c>
      <c r="J752" s="300">
        <f t="shared" si="207"/>
        <v>0</v>
      </c>
      <c r="K752" s="52">
        <f t="shared" si="221"/>
        <v>1461.6</v>
      </c>
      <c r="L752" s="52">
        <f t="shared" si="221"/>
        <v>1461.6</v>
      </c>
      <c r="M752" s="300">
        <f t="shared" si="213"/>
        <v>0</v>
      </c>
      <c r="N752" s="52">
        <f t="shared" si="221"/>
        <v>1461.6</v>
      </c>
      <c r="O752" s="300">
        <f t="shared" si="208"/>
        <v>0</v>
      </c>
      <c r="P752" s="52">
        <f t="shared" si="221"/>
        <v>1461.6</v>
      </c>
      <c r="Q752" s="52">
        <f t="shared" si="221"/>
        <v>1461.6</v>
      </c>
      <c r="R752" s="333">
        <f t="shared" si="210"/>
        <v>0</v>
      </c>
      <c r="S752" s="32"/>
      <c r="T752" s="32"/>
      <c r="U752" s="32"/>
    </row>
    <row r="753" spans="2:21" s="51" customFormat="1" ht="15" customHeight="1" x14ac:dyDescent="0.2">
      <c r="B753" s="56" t="s">
        <v>52</v>
      </c>
      <c r="C753" s="53" t="s">
        <v>698</v>
      </c>
      <c r="D753" s="53" t="s">
        <v>97</v>
      </c>
      <c r="E753" s="53" t="s">
        <v>111</v>
      </c>
      <c r="F753" s="54" t="s">
        <v>140</v>
      </c>
      <c r="G753" s="53"/>
      <c r="H753" s="52">
        <f t="shared" si="221"/>
        <v>1461.6</v>
      </c>
      <c r="I753" s="52">
        <f t="shared" si="221"/>
        <v>1461.6</v>
      </c>
      <c r="J753" s="300">
        <f t="shared" si="207"/>
        <v>0</v>
      </c>
      <c r="K753" s="52">
        <f t="shared" si="221"/>
        <v>1461.6</v>
      </c>
      <c r="L753" s="52">
        <f t="shared" si="221"/>
        <v>1461.6</v>
      </c>
      <c r="M753" s="300">
        <f t="shared" si="213"/>
        <v>0</v>
      </c>
      <c r="N753" s="52">
        <f t="shared" si="221"/>
        <v>1461.6</v>
      </c>
      <c r="O753" s="300">
        <f t="shared" si="208"/>
        <v>0</v>
      </c>
      <c r="P753" s="52">
        <f t="shared" si="221"/>
        <v>1461.6</v>
      </c>
      <c r="Q753" s="52">
        <f t="shared" si="221"/>
        <v>1461.6</v>
      </c>
      <c r="R753" s="333">
        <f t="shared" si="210"/>
        <v>0</v>
      </c>
      <c r="S753" s="32"/>
      <c r="T753" s="32"/>
      <c r="U753" s="32"/>
    </row>
    <row r="754" spans="2:21" s="51" customFormat="1" ht="27" customHeight="1" x14ac:dyDescent="0.2">
      <c r="B754" s="84" t="s">
        <v>139</v>
      </c>
      <c r="C754" s="53" t="s">
        <v>698</v>
      </c>
      <c r="D754" s="53" t="s">
        <v>97</v>
      </c>
      <c r="E754" s="53" t="s">
        <v>111</v>
      </c>
      <c r="F754" s="83" t="s">
        <v>138</v>
      </c>
      <c r="G754" s="53"/>
      <c r="H754" s="52">
        <f t="shared" si="221"/>
        <v>1461.6</v>
      </c>
      <c r="I754" s="52">
        <f t="shared" si="221"/>
        <v>1461.6</v>
      </c>
      <c r="J754" s="300">
        <f t="shared" si="207"/>
        <v>0</v>
      </c>
      <c r="K754" s="52">
        <f t="shared" si="221"/>
        <v>1461.6</v>
      </c>
      <c r="L754" s="52">
        <f t="shared" si="221"/>
        <v>1461.6</v>
      </c>
      <c r="M754" s="300">
        <f t="shared" si="213"/>
        <v>0</v>
      </c>
      <c r="N754" s="52">
        <f t="shared" si="221"/>
        <v>1461.6</v>
      </c>
      <c r="O754" s="300">
        <f t="shared" si="208"/>
        <v>0</v>
      </c>
      <c r="P754" s="52">
        <f t="shared" si="221"/>
        <v>1461.6</v>
      </c>
      <c r="Q754" s="52">
        <f t="shared" si="221"/>
        <v>1461.6</v>
      </c>
      <c r="R754" s="333">
        <f t="shared" si="210"/>
        <v>0</v>
      </c>
      <c r="S754" s="32"/>
      <c r="T754" s="32"/>
      <c r="U754" s="32"/>
    </row>
    <row r="755" spans="2:21" s="51" customFormat="1" ht="27.75" customHeight="1" x14ac:dyDescent="0.2">
      <c r="B755" s="102" t="s">
        <v>137</v>
      </c>
      <c r="C755" s="53" t="s">
        <v>698</v>
      </c>
      <c r="D755" s="53" t="s">
        <v>97</v>
      </c>
      <c r="E755" s="53" t="s">
        <v>111</v>
      </c>
      <c r="F755" s="54" t="s">
        <v>136</v>
      </c>
      <c r="G755" s="53"/>
      <c r="H755" s="52">
        <f t="shared" si="221"/>
        <v>1461.6</v>
      </c>
      <c r="I755" s="52">
        <f t="shared" si="221"/>
        <v>1461.6</v>
      </c>
      <c r="J755" s="300">
        <f t="shared" si="207"/>
        <v>0</v>
      </c>
      <c r="K755" s="52">
        <f t="shared" si="221"/>
        <v>1461.6</v>
      </c>
      <c r="L755" s="52">
        <f t="shared" si="221"/>
        <v>1461.6</v>
      </c>
      <c r="M755" s="300">
        <f t="shared" si="213"/>
        <v>0</v>
      </c>
      <c r="N755" s="52">
        <f t="shared" si="221"/>
        <v>1461.6</v>
      </c>
      <c r="O755" s="300">
        <f t="shared" si="208"/>
        <v>0</v>
      </c>
      <c r="P755" s="52">
        <f t="shared" si="221"/>
        <v>1461.6</v>
      </c>
      <c r="Q755" s="52">
        <f t="shared" si="221"/>
        <v>1461.6</v>
      </c>
      <c r="R755" s="333">
        <f t="shared" si="210"/>
        <v>0</v>
      </c>
      <c r="S755" s="32"/>
      <c r="T755" s="32"/>
      <c r="U755" s="32"/>
    </row>
    <row r="756" spans="2:21" s="51" customFormat="1" ht="15" customHeight="1" x14ac:dyDescent="0.2">
      <c r="B756" s="64" t="s">
        <v>129</v>
      </c>
      <c r="C756" s="53" t="s">
        <v>698</v>
      </c>
      <c r="D756" s="53" t="s">
        <v>97</v>
      </c>
      <c r="E756" s="53" t="s">
        <v>111</v>
      </c>
      <c r="F756" s="54" t="s">
        <v>136</v>
      </c>
      <c r="G756" s="53" t="s">
        <v>127</v>
      </c>
      <c r="H756" s="52">
        <v>1461.6</v>
      </c>
      <c r="I756" s="52">
        <v>1461.6</v>
      </c>
      <c r="J756" s="300">
        <f t="shared" si="207"/>
        <v>0</v>
      </c>
      <c r="K756" s="52">
        <v>1461.6</v>
      </c>
      <c r="L756" s="52">
        <v>1461.6</v>
      </c>
      <c r="M756" s="300">
        <f t="shared" si="213"/>
        <v>0</v>
      </c>
      <c r="N756" s="52">
        <v>1461.6</v>
      </c>
      <c r="O756" s="300">
        <f t="shared" si="208"/>
        <v>0</v>
      </c>
      <c r="P756" s="52">
        <v>1461.6</v>
      </c>
      <c r="Q756" s="52">
        <v>1461.6</v>
      </c>
      <c r="R756" s="333">
        <f t="shared" si="210"/>
        <v>0</v>
      </c>
      <c r="S756" s="32"/>
      <c r="T756" s="32"/>
      <c r="U756" s="32"/>
    </row>
    <row r="757" spans="2:21" s="51" customFormat="1" ht="15" customHeight="1" x14ac:dyDescent="0.2">
      <c r="B757" s="406" t="s">
        <v>1125</v>
      </c>
      <c r="C757" s="48" t="s">
        <v>698</v>
      </c>
      <c r="D757" s="48" t="s">
        <v>97</v>
      </c>
      <c r="E757" s="48" t="s">
        <v>108</v>
      </c>
      <c r="F757" s="54"/>
      <c r="G757" s="53"/>
      <c r="H757" s="52"/>
      <c r="I757" s="44">
        <f>I758</f>
        <v>0</v>
      </c>
      <c r="J757" s="44">
        <f t="shared" ref="J757:Q757" si="222">J758</f>
        <v>0</v>
      </c>
      <c r="K757" s="44">
        <f t="shared" si="222"/>
        <v>0</v>
      </c>
      <c r="L757" s="44">
        <f t="shared" si="222"/>
        <v>71.400000000000006</v>
      </c>
      <c r="M757" s="300">
        <f t="shared" si="213"/>
        <v>71.400000000000006</v>
      </c>
      <c r="N757" s="44">
        <f t="shared" si="222"/>
        <v>0</v>
      </c>
      <c r="O757" s="44">
        <f t="shared" si="222"/>
        <v>0</v>
      </c>
      <c r="P757" s="44">
        <f t="shared" si="222"/>
        <v>0</v>
      </c>
      <c r="Q757" s="44">
        <f t="shared" si="222"/>
        <v>0</v>
      </c>
      <c r="R757" s="333"/>
      <c r="S757" s="32"/>
      <c r="T757" s="32"/>
      <c r="U757" s="32"/>
    </row>
    <row r="758" spans="2:21" s="51" customFormat="1" ht="27" customHeight="1" x14ac:dyDescent="0.2">
      <c r="B758" s="64" t="s">
        <v>142</v>
      </c>
      <c r="C758" s="53" t="s">
        <v>698</v>
      </c>
      <c r="D758" s="53" t="s">
        <v>97</v>
      </c>
      <c r="E758" s="53" t="s">
        <v>108</v>
      </c>
      <c r="F758" s="54" t="s">
        <v>141</v>
      </c>
      <c r="G758" s="53"/>
      <c r="H758" s="52"/>
      <c r="I758" s="52">
        <f>I759</f>
        <v>0</v>
      </c>
      <c r="J758" s="52">
        <f t="shared" ref="J758:Q758" si="223">J759</f>
        <v>0</v>
      </c>
      <c r="K758" s="52">
        <f t="shared" si="223"/>
        <v>0</v>
      </c>
      <c r="L758" s="52">
        <f t="shared" si="223"/>
        <v>71.400000000000006</v>
      </c>
      <c r="M758" s="300">
        <f t="shared" si="213"/>
        <v>71.400000000000006</v>
      </c>
      <c r="N758" s="52">
        <f t="shared" si="223"/>
        <v>0</v>
      </c>
      <c r="O758" s="52">
        <f t="shared" si="223"/>
        <v>0</v>
      </c>
      <c r="P758" s="52">
        <f t="shared" si="223"/>
        <v>0</v>
      </c>
      <c r="Q758" s="52">
        <f t="shared" si="223"/>
        <v>0</v>
      </c>
      <c r="R758" s="333"/>
      <c r="S758" s="32"/>
      <c r="T758" s="32"/>
      <c r="U758" s="32"/>
    </row>
    <row r="759" spans="2:21" s="51" customFormat="1" ht="15" customHeight="1" x14ac:dyDescent="0.2">
      <c r="B759" s="56" t="s">
        <v>52</v>
      </c>
      <c r="C759" s="53" t="s">
        <v>698</v>
      </c>
      <c r="D759" s="53" t="s">
        <v>97</v>
      </c>
      <c r="E759" s="53" t="s">
        <v>108</v>
      </c>
      <c r="F759" s="54" t="s">
        <v>140</v>
      </c>
      <c r="G759" s="53"/>
      <c r="H759" s="52"/>
      <c r="I759" s="52">
        <f>I760</f>
        <v>0</v>
      </c>
      <c r="J759" s="52">
        <f t="shared" ref="J759:Q759" si="224">J760</f>
        <v>0</v>
      </c>
      <c r="K759" s="52">
        <f t="shared" si="224"/>
        <v>0</v>
      </c>
      <c r="L759" s="52">
        <f t="shared" si="224"/>
        <v>71.400000000000006</v>
      </c>
      <c r="M759" s="300">
        <f t="shared" si="213"/>
        <v>71.400000000000006</v>
      </c>
      <c r="N759" s="52">
        <f t="shared" si="224"/>
        <v>0</v>
      </c>
      <c r="O759" s="52">
        <f t="shared" si="224"/>
        <v>0</v>
      </c>
      <c r="P759" s="52">
        <f t="shared" si="224"/>
        <v>0</v>
      </c>
      <c r="Q759" s="52">
        <f t="shared" si="224"/>
        <v>0</v>
      </c>
      <c r="R759" s="333"/>
      <c r="S759" s="32"/>
      <c r="T759" s="32"/>
      <c r="U759" s="32"/>
    </row>
    <row r="760" spans="2:21" s="51" customFormat="1" ht="24.75" customHeight="1" x14ac:dyDescent="0.2">
      <c r="B760" s="56" t="s">
        <v>139</v>
      </c>
      <c r="C760" s="53" t="s">
        <v>698</v>
      </c>
      <c r="D760" s="53" t="s">
        <v>97</v>
      </c>
      <c r="E760" s="53" t="s">
        <v>108</v>
      </c>
      <c r="F760" s="54" t="s">
        <v>138</v>
      </c>
      <c r="G760" s="53"/>
      <c r="H760" s="52"/>
      <c r="I760" s="52">
        <f>I761</f>
        <v>0</v>
      </c>
      <c r="J760" s="52">
        <f t="shared" ref="J760:Q760" si="225">J761</f>
        <v>0</v>
      </c>
      <c r="K760" s="52">
        <f t="shared" si="225"/>
        <v>0</v>
      </c>
      <c r="L760" s="52">
        <f t="shared" si="225"/>
        <v>71.400000000000006</v>
      </c>
      <c r="M760" s="300">
        <f t="shared" si="213"/>
        <v>71.400000000000006</v>
      </c>
      <c r="N760" s="52">
        <f t="shared" si="225"/>
        <v>0</v>
      </c>
      <c r="O760" s="52">
        <f t="shared" si="225"/>
        <v>0</v>
      </c>
      <c r="P760" s="52">
        <f t="shared" si="225"/>
        <v>0</v>
      </c>
      <c r="Q760" s="52">
        <f t="shared" si="225"/>
        <v>0</v>
      </c>
      <c r="R760" s="333"/>
      <c r="S760" s="32"/>
      <c r="T760" s="32"/>
      <c r="U760" s="32"/>
    </row>
    <row r="761" spans="2:21" s="51" customFormat="1" ht="26.25" customHeight="1" x14ac:dyDescent="0.2">
      <c r="B761" s="64" t="s">
        <v>137</v>
      </c>
      <c r="C761" s="53" t="s">
        <v>698</v>
      </c>
      <c r="D761" s="53" t="s">
        <v>97</v>
      </c>
      <c r="E761" s="53" t="s">
        <v>108</v>
      </c>
      <c r="F761" s="54" t="s">
        <v>136</v>
      </c>
      <c r="G761" s="53"/>
      <c r="H761" s="52"/>
      <c r="I761" s="52">
        <f>I762</f>
        <v>0</v>
      </c>
      <c r="J761" s="52">
        <f t="shared" ref="J761:Q761" si="226">J762</f>
        <v>0</v>
      </c>
      <c r="K761" s="52">
        <f t="shared" si="226"/>
        <v>0</v>
      </c>
      <c r="L761" s="52">
        <f t="shared" si="226"/>
        <v>71.400000000000006</v>
      </c>
      <c r="M761" s="300">
        <f t="shared" si="213"/>
        <v>71.400000000000006</v>
      </c>
      <c r="N761" s="52">
        <f t="shared" si="226"/>
        <v>0</v>
      </c>
      <c r="O761" s="52">
        <f t="shared" si="226"/>
        <v>0</v>
      </c>
      <c r="P761" s="52">
        <f t="shared" si="226"/>
        <v>0</v>
      </c>
      <c r="Q761" s="52">
        <f t="shared" si="226"/>
        <v>0</v>
      </c>
      <c r="R761" s="333"/>
      <c r="S761" s="32"/>
      <c r="T761" s="32"/>
      <c r="U761" s="32"/>
    </row>
    <row r="762" spans="2:21" s="51" customFormat="1" ht="15" customHeight="1" x14ac:dyDescent="0.2">
      <c r="B762" s="95" t="s">
        <v>98</v>
      </c>
      <c r="C762" s="53" t="s">
        <v>698</v>
      </c>
      <c r="D762" s="53" t="s">
        <v>97</v>
      </c>
      <c r="E762" s="53" t="s">
        <v>108</v>
      </c>
      <c r="F762" s="54" t="s">
        <v>136</v>
      </c>
      <c r="G762" s="53" t="s">
        <v>81</v>
      </c>
      <c r="H762" s="52"/>
      <c r="I762" s="52">
        <v>0</v>
      </c>
      <c r="J762" s="300"/>
      <c r="K762" s="52"/>
      <c r="L762" s="52">
        <v>71.400000000000006</v>
      </c>
      <c r="M762" s="300">
        <f t="shared" si="213"/>
        <v>71.400000000000006</v>
      </c>
      <c r="N762" s="52">
        <v>0</v>
      </c>
      <c r="O762" s="300"/>
      <c r="P762" s="52"/>
      <c r="Q762" s="52">
        <v>0</v>
      </c>
      <c r="R762" s="333"/>
      <c r="S762" s="32"/>
      <c r="T762" s="32"/>
      <c r="U762" s="32"/>
    </row>
    <row r="763" spans="2:21" s="51" customFormat="1" x14ac:dyDescent="0.2">
      <c r="B763" s="80" t="s">
        <v>107</v>
      </c>
      <c r="C763" s="48" t="s">
        <v>698</v>
      </c>
      <c r="D763" s="71" t="s">
        <v>97</v>
      </c>
      <c r="E763" s="71" t="s">
        <v>96</v>
      </c>
      <c r="F763" s="54"/>
      <c r="G763" s="53"/>
      <c r="H763" s="44">
        <f t="shared" ref="H763:Q767" si="227">H764</f>
        <v>573.70000000000005</v>
      </c>
      <c r="I763" s="44">
        <f t="shared" si="227"/>
        <v>573.70000000000005</v>
      </c>
      <c r="J763" s="300">
        <f t="shared" si="207"/>
        <v>0</v>
      </c>
      <c r="K763" s="44">
        <f t="shared" si="227"/>
        <v>0</v>
      </c>
      <c r="L763" s="44">
        <f t="shared" si="227"/>
        <v>573.70000000000005</v>
      </c>
      <c r="M763" s="300">
        <f t="shared" si="213"/>
        <v>0</v>
      </c>
      <c r="N763" s="44">
        <f t="shared" si="227"/>
        <v>0</v>
      </c>
      <c r="O763" s="300">
        <f t="shared" si="208"/>
        <v>0</v>
      </c>
      <c r="P763" s="44">
        <f t="shared" si="227"/>
        <v>0</v>
      </c>
      <c r="Q763" s="44">
        <f t="shared" si="227"/>
        <v>0</v>
      </c>
      <c r="R763" s="333">
        <f t="shared" si="210"/>
        <v>0</v>
      </c>
      <c r="S763" s="32"/>
      <c r="T763" s="32"/>
      <c r="U763" s="32"/>
    </row>
    <row r="764" spans="2:21" s="51" customFormat="1" ht="25.5" x14ac:dyDescent="0.2">
      <c r="B764" s="112" t="s">
        <v>147</v>
      </c>
      <c r="C764" s="53" t="s">
        <v>698</v>
      </c>
      <c r="D764" s="78" t="s">
        <v>97</v>
      </c>
      <c r="E764" s="78" t="s">
        <v>96</v>
      </c>
      <c r="F764" s="78" t="s">
        <v>105</v>
      </c>
      <c r="G764" s="78"/>
      <c r="H764" s="52">
        <f t="shared" si="227"/>
        <v>573.70000000000005</v>
      </c>
      <c r="I764" s="52">
        <f t="shared" si="227"/>
        <v>573.70000000000005</v>
      </c>
      <c r="J764" s="300">
        <f t="shared" si="207"/>
        <v>0</v>
      </c>
      <c r="K764" s="52">
        <f t="shared" si="227"/>
        <v>0</v>
      </c>
      <c r="L764" s="52">
        <f t="shared" si="227"/>
        <v>573.70000000000005</v>
      </c>
      <c r="M764" s="300">
        <f t="shared" si="213"/>
        <v>0</v>
      </c>
      <c r="N764" s="52">
        <f t="shared" si="227"/>
        <v>0</v>
      </c>
      <c r="O764" s="300">
        <f t="shared" si="208"/>
        <v>0</v>
      </c>
      <c r="P764" s="52">
        <f t="shared" si="227"/>
        <v>0</v>
      </c>
      <c r="Q764" s="52">
        <f t="shared" si="227"/>
        <v>0</v>
      </c>
      <c r="R764" s="333">
        <f t="shared" si="210"/>
        <v>0</v>
      </c>
      <c r="S764" s="32"/>
      <c r="T764" s="32"/>
      <c r="U764" s="32"/>
    </row>
    <row r="765" spans="2:21" s="51" customFormat="1" x14ac:dyDescent="0.2">
      <c r="B765" s="194" t="s">
        <v>52</v>
      </c>
      <c r="C765" s="53" t="s">
        <v>698</v>
      </c>
      <c r="D765" s="53" t="s">
        <v>97</v>
      </c>
      <c r="E765" s="53" t="s">
        <v>96</v>
      </c>
      <c r="F765" s="74" t="s">
        <v>104</v>
      </c>
      <c r="G765" s="53"/>
      <c r="H765" s="52">
        <f t="shared" si="227"/>
        <v>573.70000000000005</v>
      </c>
      <c r="I765" s="52">
        <f t="shared" si="227"/>
        <v>573.70000000000005</v>
      </c>
      <c r="J765" s="300">
        <f t="shared" si="207"/>
        <v>0</v>
      </c>
      <c r="K765" s="52">
        <f t="shared" si="227"/>
        <v>0</v>
      </c>
      <c r="L765" s="52">
        <f t="shared" si="227"/>
        <v>573.70000000000005</v>
      </c>
      <c r="M765" s="300">
        <f t="shared" si="213"/>
        <v>0</v>
      </c>
      <c r="N765" s="52">
        <f t="shared" si="227"/>
        <v>0</v>
      </c>
      <c r="O765" s="300">
        <f t="shared" si="208"/>
        <v>0</v>
      </c>
      <c r="P765" s="52">
        <f t="shared" si="227"/>
        <v>0</v>
      </c>
      <c r="Q765" s="52">
        <f t="shared" si="227"/>
        <v>0</v>
      </c>
      <c r="R765" s="333">
        <f t="shared" si="210"/>
        <v>0</v>
      </c>
      <c r="S765" s="32"/>
      <c r="T765" s="32"/>
      <c r="U765" s="32"/>
    </row>
    <row r="766" spans="2:21" s="51" customFormat="1" ht="25.5" x14ac:dyDescent="0.2">
      <c r="B766" s="194" t="s">
        <v>103</v>
      </c>
      <c r="C766" s="53" t="s">
        <v>698</v>
      </c>
      <c r="D766" s="53" t="s">
        <v>97</v>
      </c>
      <c r="E766" s="53" t="s">
        <v>96</v>
      </c>
      <c r="F766" s="74" t="s">
        <v>102</v>
      </c>
      <c r="G766" s="53"/>
      <c r="H766" s="52">
        <f t="shared" si="227"/>
        <v>573.70000000000005</v>
      </c>
      <c r="I766" s="52">
        <f t="shared" si="227"/>
        <v>573.70000000000005</v>
      </c>
      <c r="J766" s="300">
        <f t="shared" si="207"/>
        <v>0</v>
      </c>
      <c r="K766" s="52">
        <f t="shared" si="227"/>
        <v>0</v>
      </c>
      <c r="L766" s="52">
        <f t="shared" si="227"/>
        <v>573.70000000000005</v>
      </c>
      <c r="M766" s="300">
        <f t="shared" si="213"/>
        <v>0</v>
      </c>
      <c r="N766" s="52">
        <f t="shared" si="227"/>
        <v>0</v>
      </c>
      <c r="O766" s="300">
        <f t="shared" si="208"/>
        <v>0</v>
      </c>
      <c r="P766" s="52">
        <f t="shared" si="227"/>
        <v>0</v>
      </c>
      <c r="Q766" s="52">
        <f t="shared" si="227"/>
        <v>0</v>
      </c>
      <c r="R766" s="333">
        <f t="shared" si="210"/>
        <v>0</v>
      </c>
      <c r="S766" s="32"/>
      <c r="T766" s="32"/>
      <c r="U766" s="32"/>
    </row>
    <row r="767" spans="2:21" s="51" customFormat="1" ht="25.5" x14ac:dyDescent="0.2">
      <c r="B767" s="76" t="s">
        <v>101</v>
      </c>
      <c r="C767" s="53" t="s">
        <v>698</v>
      </c>
      <c r="D767" s="53" t="s">
        <v>97</v>
      </c>
      <c r="E767" s="53" t="s">
        <v>96</v>
      </c>
      <c r="F767" s="74" t="s">
        <v>95</v>
      </c>
      <c r="G767" s="53"/>
      <c r="H767" s="52">
        <f t="shared" si="227"/>
        <v>573.70000000000005</v>
      </c>
      <c r="I767" s="52">
        <f t="shared" si="227"/>
        <v>573.70000000000005</v>
      </c>
      <c r="J767" s="300">
        <f t="shared" si="207"/>
        <v>0</v>
      </c>
      <c r="K767" s="52">
        <f t="shared" si="227"/>
        <v>0</v>
      </c>
      <c r="L767" s="52">
        <f t="shared" si="227"/>
        <v>573.70000000000005</v>
      </c>
      <c r="M767" s="300">
        <f t="shared" si="213"/>
        <v>0</v>
      </c>
      <c r="N767" s="52">
        <f t="shared" si="227"/>
        <v>0</v>
      </c>
      <c r="O767" s="300">
        <f t="shared" si="208"/>
        <v>0</v>
      </c>
      <c r="P767" s="52">
        <f t="shared" si="227"/>
        <v>0</v>
      </c>
      <c r="Q767" s="52">
        <f t="shared" si="227"/>
        <v>0</v>
      </c>
      <c r="R767" s="333">
        <f t="shared" si="210"/>
        <v>0</v>
      </c>
      <c r="S767" s="32"/>
      <c r="T767" s="32"/>
      <c r="U767" s="32"/>
    </row>
    <row r="768" spans="2:21" s="51" customFormat="1" x14ac:dyDescent="0.2">
      <c r="B768" s="64" t="s">
        <v>82</v>
      </c>
      <c r="C768" s="53" t="s">
        <v>698</v>
      </c>
      <c r="D768" s="53" t="s">
        <v>97</v>
      </c>
      <c r="E768" s="53" t="s">
        <v>96</v>
      </c>
      <c r="F768" s="74" t="s">
        <v>95</v>
      </c>
      <c r="G768" s="53" t="s">
        <v>81</v>
      </c>
      <c r="H768" s="52">
        <v>573.70000000000005</v>
      </c>
      <c r="I768" s="52">
        <v>573.70000000000005</v>
      </c>
      <c r="J768" s="300">
        <f t="shared" si="207"/>
        <v>0</v>
      </c>
      <c r="K768" s="52">
        <v>0</v>
      </c>
      <c r="L768" s="52">
        <v>573.70000000000005</v>
      </c>
      <c r="M768" s="300">
        <f t="shared" si="213"/>
        <v>0</v>
      </c>
      <c r="N768" s="52">
        <v>0</v>
      </c>
      <c r="O768" s="300">
        <f t="shared" si="208"/>
        <v>0</v>
      </c>
      <c r="P768" s="52">
        <v>0</v>
      </c>
      <c r="Q768" s="52">
        <v>0</v>
      </c>
      <c r="R768" s="333">
        <f t="shared" si="210"/>
        <v>0</v>
      </c>
      <c r="S768" s="32"/>
      <c r="T768" s="32"/>
      <c r="U768" s="32"/>
    </row>
    <row r="769" spans="2:21" s="51" customFormat="1" x14ac:dyDescent="0.2">
      <c r="B769" s="183" t="s">
        <v>688</v>
      </c>
      <c r="C769" s="48" t="s">
        <v>698</v>
      </c>
      <c r="D769" s="48" t="s">
        <v>60</v>
      </c>
      <c r="E769" s="48"/>
      <c r="F769" s="54"/>
      <c r="G769" s="53"/>
      <c r="H769" s="44">
        <f t="shared" ref="H769:Q774" si="228">H770</f>
        <v>60</v>
      </c>
      <c r="I769" s="44">
        <f t="shared" si="228"/>
        <v>60</v>
      </c>
      <c r="J769" s="300">
        <f t="shared" si="207"/>
        <v>0</v>
      </c>
      <c r="K769" s="44">
        <f t="shared" si="228"/>
        <v>0</v>
      </c>
      <c r="L769" s="44">
        <f t="shared" si="228"/>
        <v>60</v>
      </c>
      <c r="M769" s="300">
        <f t="shared" si="213"/>
        <v>0</v>
      </c>
      <c r="N769" s="44">
        <f t="shared" si="228"/>
        <v>0</v>
      </c>
      <c r="O769" s="300">
        <f t="shared" si="208"/>
        <v>0</v>
      </c>
      <c r="P769" s="44">
        <f t="shared" si="228"/>
        <v>0</v>
      </c>
      <c r="Q769" s="44">
        <f t="shared" si="228"/>
        <v>0</v>
      </c>
      <c r="R769" s="333">
        <f t="shared" si="210"/>
        <v>0</v>
      </c>
      <c r="S769" s="32"/>
      <c r="T769" s="32"/>
      <c r="U769" s="32"/>
    </row>
    <row r="770" spans="2:21" s="51" customFormat="1" x14ac:dyDescent="0.2">
      <c r="B770" s="183" t="s">
        <v>93</v>
      </c>
      <c r="C770" s="48" t="s">
        <v>698</v>
      </c>
      <c r="D770" s="48" t="s">
        <v>60</v>
      </c>
      <c r="E770" s="48" t="s">
        <v>45</v>
      </c>
      <c r="F770" s="54"/>
      <c r="G770" s="53"/>
      <c r="H770" s="44">
        <f t="shared" si="228"/>
        <v>60</v>
      </c>
      <c r="I770" s="44">
        <f t="shared" si="228"/>
        <v>60</v>
      </c>
      <c r="J770" s="300">
        <f t="shared" si="207"/>
        <v>0</v>
      </c>
      <c r="K770" s="44">
        <f t="shared" si="228"/>
        <v>0</v>
      </c>
      <c r="L770" s="44">
        <f t="shared" si="228"/>
        <v>60</v>
      </c>
      <c r="M770" s="300">
        <f t="shared" si="213"/>
        <v>0</v>
      </c>
      <c r="N770" s="44">
        <f t="shared" si="228"/>
        <v>0</v>
      </c>
      <c r="O770" s="300">
        <f t="shared" si="208"/>
        <v>0</v>
      </c>
      <c r="P770" s="44">
        <f t="shared" si="228"/>
        <v>0</v>
      </c>
      <c r="Q770" s="44">
        <f t="shared" si="228"/>
        <v>0</v>
      </c>
      <c r="R770" s="333">
        <f t="shared" si="210"/>
        <v>0</v>
      </c>
      <c r="S770" s="32"/>
      <c r="T770" s="32"/>
      <c r="U770" s="32"/>
    </row>
    <row r="771" spans="2:21" s="51" customFormat="1" ht="38.25" customHeight="1" x14ac:dyDescent="0.2">
      <c r="B771" s="64" t="s">
        <v>68</v>
      </c>
      <c r="C771" s="53" t="s">
        <v>698</v>
      </c>
      <c r="D771" s="53" t="s">
        <v>60</v>
      </c>
      <c r="E771" s="53" t="s">
        <v>45</v>
      </c>
      <c r="F771" s="54" t="s">
        <v>67</v>
      </c>
      <c r="G771" s="53"/>
      <c r="H771" s="52">
        <f>H772</f>
        <v>60</v>
      </c>
      <c r="I771" s="52">
        <f>I772</f>
        <v>60</v>
      </c>
      <c r="J771" s="300">
        <f t="shared" si="207"/>
        <v>0</v>
      </c>
      <c r="K771" s="52">
        <f t="shared" si="228"/>
        <v>0</v>
      </c>
      <c r="L771" s="52">
        <f>L772</f>
        <v>60</v>
      </c>
      <c r="M771" s="300">
        <f t="shared" si="213"/>
        <v>0</v>
      </c>
      <c r="N771" s="52">
        <f t="shared" si="228"/>
        <v>0</v>
      </c>
      <c r="O771" s="300">
        <f t="shared" si="208"/>
        <v>0</v>
      </c>
      <c r="P771" s="52">
        <f t="shared" si="228"/>
        <v>0</v>
      </c>
      <c r="Q771" s="52">
        <f t="shared" si="228"/>
        <v>0</v>
      </c>
      <c r="R771" s="333">
        <f t="shared" si="210"/>
        <v>0</v>
      </c>
      <c r="S771" s="32"/>
      <c r="T771" s="32"/>
      <c r="U771" s="32"/>
    </row>
    <row r="772" spans="2:21" s="51" customFormat="1" ht="15" customHeight="1" x14ac:dyDescent="0.2">
      <c r="B772" s="77" t="s">
        <v>52</v>
      </c>
      <c r="C772" s="53" t="s">
        <v>698</v>
      </c>
      <c r="D772" s="53" t="s">
        <v>60</v>
      </c>
      <c r="E772" s="53" t="s">
        <v>45</v>
      </c>
      <c r="F772" s="54" t="s">
        <v>92</v>
      </c>
      <c r="G772" s="53"/>
      <c r="H772" s="52">
        <f>H773</f>
        <v>60</v>
      </c>
      <c r="I772" s="52">
        <f>I773</f>
        <v>60</v>
      </c>
      <c r="J772" s="300">
        <f t="shared" si="207"/>
        <v>0</v>
      </c>
      <c r="K772" s="52">
        <f>K773</f>
        <v>0</v>
      </c>
      <c r="L772" s="52">
        <f>L773</f>
        <v>60</v>
      </c>
      <c r="M772" s="300">
        <f t="shared" si="213"/>
        <v>0</v>
      </c>
      <c r="N772" s="52">
        <f>N773</f>
        <v>0</v>
      </c>
      <c r="O772" s="300">
        <f t="shared" si="208"/>
        <v>0</v>
      </c>
      <c r="P772" s="52">
        <f>P773</f>
        <v>0</v>
      </c>
      <c r="Q772" s="52">
        <f>Q773</f>
        <v>0</v>
      </c>
      <c r="R772" s="333">
        <f t="shared" si="210"/>
        <v>0</v>
      </c>
      <c r="S772" s="32"/>
      <c r="T772" s="32"/>
      <c r="U772" s="32"/>
    </row>
    <row r="773" spans="2:21" s="51" customFormat="1" ht="25.5" x14ac:dyDescent="0.2">
      <c r="B773" s="56" t="s">
        <v>700</v>
      </c>
      <c r="C773" s="53" t="s">
        <v>698</v>
      </c>
      <c r="D773" s="53" t="s">
        <v>60</v>
      </c>
      <c r="E773" s="53" t="s">
        <v>45</v>
      </c>
      <c r="F773" s="54" t="s">
        <v>90</v>
      </c>
      <c r="G773" s="53"/>
      <c r="H773" s="52">
        <f t="shared" si="228"/>
        <v>60</v>
      </c>
      <c r="I773" s="52">
        <f t="shared" si="228"/>
        <v>60</v>
      </c>
      <c r="J773" s="300">
        <f t="shared" si="207"/>
        <v>0</v>
      </c>
      <c r="K773" s="52">
        <f t="shared" si="228"/>
        <v>0</v>
      </c>
      <c r="L773" s="52">
        <f t="shared" si="228"/>
        <v>60</v>
      </c>
      <c r="M773" s="300">
        <f t="shared" si="213"/>
        <v>0</v>
      </c>
      <c r="N773" s="52">
        <f t="shared" si="228"/>
        <v>0</v>
      </c>
      <c r="O773" s="300">
        <f t="shared" si="208"/>
        <v>0</v>
      </c>
      <c r="P773" s="52">
        <f t="shared" si="228"/>
        <v>0</v>
      </c>
      <c r="Q773" s="52">
        <f t="shared" si="228"/>
        <v>0</v>
      </c>
      <c r="R773" s="333">
        <f t="shared" si="210"/>
        <v>0</v>
      </c>
      <c r="S773" s="32"/>
      <c r="T773" s="32"/>
      <c r="U773" s="32"/>
    </row>
    <row r="774" spans="2:21" s="51" customFormat="1" x14ac:dyDescent="0.2">
      <c r="B774" s="81" t="s">
        <v>85</v>
      </c>
      <c r="C774" s="53" t="s">
        <v>698</v>
      </c>
      <c r="D774" s="53" t="s">
        <v>60</v>
      </c>
      <c r="E774" s="53" t="s">
        <v>45</v>
      </c>
      <c r="F774" s="54" t="s">
        <v>80</v>
      </c>
      <c r="G774" s="53"/>
      <c r="H774" s="52">
        <f t="shared" si="228"/>
        <v>60</v>
      </c>
      <c r="I774" s="52">
        <f t="shared" si="228"/>
        <v>60</v>
      </c>
      <c r="J774" s="300">
        <f t="shared" ref="J774:J846" si="229">I774-H774</f>
        <v>0</v>
      </c>
      <c r="K774" s="52">
        <f t="shared" si="228"/>
        <v>0</v>
      </c>
      <c r="L774" s="52">
        <f t="shared" si="228"/>
        <v>60</v>
      </c>
      <c r="M774" s="300">
        <f t="shared" si="213"/>
        <v>0</v>
      </c>
      <c r="N774" s="52">
        <f t="shared" si="228"/>
        <v>0</v>
      </c>
      <c r="O774" s="300">
        <f t="shared" ref="O774:O846" si="230">N774-K774</f>
        <v>0</v>
      </c>
      <c r="P774" s="52">
        <f t="shared" si="228"/>
        <v>0</v>
      </c>
      <c r="Q774" s="52">
        <f t="shared" si="228"/>
        <v>0</v>
      </c>
      <c r="R774" s="333">
        <f t="shared" si="210"/>
        <v>0</v>
      </c>
      <c r="S774" s="32"/>
      <c r="T774" s="32"/>
      <c r="U774" s="32"/>
    </row>
    <row r="775" spans="2:21" s="51" customFormat="1" x14ac:dyDescent="0.2">
      <c r="B775" s="64" t="s">
        <v>82</v>
      </c>
      <c r="C775" s="53" t="s">
        <v>698</v>
      </c>
      <c r="D775" s="53" t="s">
        <v>60</v>
      </c>
      <c r="E775" s="53" t="s">
        <v>45</v>
      </c>
      <c r="F775" s="54" t="s">
        <v>80</v>
      </c>
      <c r="G775" s="53" t="s">
        <v>81</v>
      </c>
      <c r="H775" s="52">
        <v>60</v>
      </c>
      <c r="I775" s="52">
        <v>60</v>
      </c>
      <c r="J775" s="300">
        <f t="shared" si="229"/>
        <v>0</v>
      </c>
      <c r="K775" s="52">
        <v>0</v>
      </c>
      <c r="L775" s="52">
        <v>60</v>
      </c>
      <c r="M775" s="300">
        <f t="shared" si="213"/>
        <v>0</v>
      </c>
      <c r="N775" s="52">
        <v>0</v>
      </c>
      <c r="O775" s="300">
        <f t="shared" si="230"/>
        <v>0</v>
      </c>
      <c r="P775" s="52">
        <v>0</v>
      </c>
      <c r="Q775" s="52">
        <v>0</v>
      </c>
      <c r="R775" s="333">
        <f t="shared" si="210"/>
        <v>0</v>
      </c>
      <c r="S775" s="32"/>
      <c r="T775" s="32"/>
      <c r="U775" s="32"/>
    </row>
    <row r="776" spans="2:21" s="51" customFormat="1" ht="29.25" customHeight="1" x14ac:dyDescent="0.2">
      <c r="B776" s="195" t="s">
        <v>701</v>
      </c>
      <c r="C776" s="48" t="s">
        <v>681</v>
      </c>
      <c r="D776" s="53"/>
      <c r="E776" s="53"/>
      <c r="F776" s="54"/>
      <c r="G776" s="53"/>
      <c r="H776" s="44">
        <f>H777+H788+H795+H808+H830+H845</f>
        <v>25181.9</v>
      </c>
      <c r="I776" s="44">
        <f>I777+I788+I795+I808+I830+I845</f>
        <v>27236.9</v>
      </c>
      <c r="J776" s="300">
        <f t="shared" si="229"/>
        <v>2055</v>
      </c>
      <c r="K776" s="44">
        <f>K777+K788+K795+K808+K830+K845</f>
        <v>21227</v>
      </c>
      <c r="L776" s="44">
        <f>L777+L788+L795+L808+L830+L845</f>
        <v>29159.9</v>
      </c>
      <c r="M776" s="300">
        <f t="shared" si="213"/>
        <v>1923</v>
      </c>
      <c r="N776" s="44">
        <f>N777+N788+N795+N808+N830+N845</f>
        <v>20326</v>
      </c>
      <c r="O776" s="300">
        <f t="shared" si="230"/>
        <v>-901</v>
      </c>
      <c r="P776" s="44">
        <f>P777+P788+P795+P808+P830+P845</f>
        <v>21919</v>
      </c>
      <c r="Q776" s="44">
        <f>Q777+Q788+Q795+Q808+Q830+Q845</f>
        <v>20976</v>
      </c>
      <c r="R776" s="333">
        <f t="shared" si="210"/>
        <v>-943</v>
      </c>
      <c r="S776" s="32"/>
      <c r="T776" s="32"/>
      <c r="U776" s="32"/>
    </row>
    <row r="777" spans="2:21" s="51" customFormat="1" ht="14.25" x14ac:dyDescent="0.2">
      <c r="B777" s="196" t="s">
        <v>670</v>
      </c>
      <c r="C777" s="48" t="s">
        <v>681</v>
      </c>
      <c r="D777" s="48" t="s">
        <v>45</v>
      </c>
      <c r="E777" s="48"/>
      <c r="F777" s="54"/>
      <c r="G777" s="53"/>
      <c r="H777" s="44">
        <f>H778</f>
        <v>9261.4</v>
      </c>
      <c r="I777" s="44">
        <f>I778</f>
        <v>9261.4</v>
      </c>
      <c r="J777" s="300">
        <f t="shared" si="229"/>
        <v>0</v>
      </c>
      <c r="K777" s="44">
        <f>K778</f>
        <v>9597</v>
      </c>
      <c r="L777" s="44">
        <f>L778</f>
        <v>8847.7000000000007</v>
      </c>
      <c r="M777" s="300">
        <f t="shared" si="213"/>
        <v>-413.69999999999891</v>
      </c>
      <c r="N777" s="44">
        <f>N778</f>
        <v>9597</v>
      </c>
      <c r="O777" s="300">
        <f t="shared" si="230"/>
        <v>0</v>
      </c>
      <c r="P777" s="44">
        <f>P778</f>
        <v>9597</v>
      </c>
      <c r="Q777" s="44">
        <f>Q778</f>
        <v>9597</v>
      </c>
      <c r="R777" s="333">
        <f t="shared" si="210"/>
        <v>0</v>
      </c>
      <c r="S777" s="32"/>
      <c r="T777" s="32"/>
      <c r="U777" s="32"/>
    </row>
    <row r="778" spans="2:21" s="51" customFormat="1" ht="39" customHeight="1" x14ac:dyDescent="0.2">
      <c r="B778" s="50" t="s">
        <v>649</v>
      </c>
      <c r="C778" s="48" t="s">
        <v>681</v>
      </c>
      <c r="D778" s="48" t="s">
        <v>45</v>
      </c>
      <c r="E778" s="48" t="s">
        <v>108</v>
      </c>
      <c r="F778" s="54"/>
      <c r="G778" s="53"/>
      <c r="H778" s="44">
        <f t="shared" ref="H778:Q780" si="231">H779</f>
        <v>9261.4</v>
      </c>
      <c r="I778" s="44">
        <f t="shared" si="231"/>
        <v>9261.4</v>
      </c>
      <c r="J778" s="300">
        <f t="shared" si="229"/>
        <v>0</v>
      </c>
      <c r="K778" s="44">
        <f t="shared" si="231"/>
        <v>9597</v>
      </c>
      <c r="L778" s="44">
        <f t="shared" si="231"/>
        <v>8847.7000000000007</v>
      </c>
      <c r="M778" s="300">
        <f t="shared" si="213"/>
        <v>-413.69999999999891</v>
      </c>
      <c r="N778" s="44">
        <f t="shared" si="231"/>
        <v>9597</v>
      </c>
      <c r="O778" s="300">
        <f t="shared" si="230"/>
        <v>0</v>
      </c>
      <c r="P778" s="44">
        <f t="shared" si="231"/>
        <v>9597</v>
      </c>
      <c r="Q778" s="44">
        <f t="shared" si="231"/>
        <v>9597</v>
      </c>
      <c r="R778" s="333">
        <f t="shared" si="210"/>
        <v>0</v>
      </c>
      <c r="S778" s="32"/>
      <c r="T778" s="32"/>
      <c r="U778" s="32"/>
    </row>
    <row r="779" spans="2:21" s="51" customFormat="1" ht="25.5" x14ac:dyDescent="0.2">
      <c r="B779" s="56" t="s">
        <v>536</v>
      </c>
      <c r="C779" s="55" t="s">
        <v>681</v>
      </c>
      <c r="D779" s="55" t="s">
        <v>45</v>
      </c>
      <c r="E779" s="55" t="s">
        <v>108</v>
      </c>
      <c r="F779" s="55" t="s">
        <v>535</v>
      </c>
      <c r="G779" s="78"/>
      <c r="H779" s="52">
        <f t="shared" si="231"/>
        <v>9261.4</v>
      </c>
      <c r="I779" s="52">
        <f t="shared" si="231"/>
        <v>9261.4</v>
      </c>
      <c r="J779" s="300">
        <f t="shared" si="229"/>
        <v>0</v>
      </c>
      <c r="K779" s="52">
        <f t="shared" si="231"/>
        <v>9597</v>
      </c>
      <c r="L779" s="52">
        <f t="shared" si="231"/>
        <v>8847.7000000000007</v>
      </c>
      <c r="M779" s="300">
        <f t="shared" si="213"/>
        <v>-413.69999999999891</v>
      </c>
      <c r="N779" s="52">
        <f t="shared" si="231"/>
        <v>9597</v>
      </c>
      <c r="O779" s="300">
        <f t="shared" si="230"/>
        <v>0</v>
      </c>
      <c r="P779" s="52">
        <f t="shared" si="231"/>
        <v>9597</v>
      </c>
      <c r="Q779" s="52">
        <f t="shared" si="231"/>
        <v>9597</v>
      </c>
      <c r="R779" s="333">
        <f t="shared" si="210"/>
        <v>0</v>
      </c>
      <c r="S779" s="32"/>
      <c r="T779" s="32"/>
      <c r="U779" s="32"/>
    </row>
    <row r="780" spans="2:21" s="51" customFormat="1" x14ac:dyDescent="0.2">
      <c r="B780" s="139" t="s">
        <v>52</v>
      </c>
      <c r="C780" s="55" t="s">
        <v>681</v>
      </c>
      <c r="D780" s="55" t="s">
        <v>45</v>
      </c>
      <c r="E780" s="55" t="s">
        <v>108</v>
      </c>
      <c r="F780" s="128" t="s">
        <v>534</v>
      </c>
      <c r="G780" s="78"/>
      <c r="H780" s="52">
        <f t="shared" si="231"/>
        <v>9261.4</v>
      </c>
      <c r="I780" s="52">
        <f t="shared" si="231"/>
        <v>9261.4</v>
      </c>
      <c r="J780" s="300">
        <f t="shared" si="229"/>
        <v>0</v>
      </c>
      <c r="K780" s="52">
        <f t="shared" si="231"/>
        <v>9597</v>
      </c>
      <c r="L780" s="52">
        <f t="shared" si="231"/>
        <v>8847.7000000000007</v>
      </c>
      <c r="M780" s="300">
        <f t="shared" si="213"/>
        <v>-413.69999999999891</v>
      </c>
      <c r="N780" s="52">
        <f t="shared" si="231"/>
        <v>9597</v>
      </c>
      <c r="O780" s="300">
        <f t="shared" si="230"/>
        <v>0</v>
      </c>
      <c r="P780" s="52">
        <f t="shared" si="231"/>
        <v>9597</v>
      </c>
      <c r="Q780" s="52">
        <f t="shared" si="231"/>
        <v>9597</v>
      </c>
      <c r="R780" s="333">
        <f t="shared" ref="R780:R852" si="232">Q780-P780</f>
        <v>0</v>
      </c>
      <c r="S780" s="32"/>
      <c r="T780" s="32"/>
      <c r="U780" s="32"/>
    </row>
    <row r="781" spans="2:21" s="51" customFormat="1" ht="25.5" x14ac:dyDescent="0.2">
      <c r="B781" s="139" t="s">
        <v>533</v>
      </c>
      <c r="C781" s="55" t="s">
        <v>681</v>
      </c>
      <c r="D781" s="55" t="s">
        <v>45</v>
      </c>
      <c r="E781" s="55" t="s">
        <v>108</v>
      </c>
      <c r="F781" s="128" t="s">
        <v>532</v>
      </c>
      <c r="G781" s="78"/>
      <c r="H781" s="52">
        <f>H782+H786</f>
        <v>9261.4</v>
      </c>
      <c r="I781" s="52">
        <f>I782+I786</f>
        <v>9261.4</v>
      </c>
      <c r="J781" s="300">
        <f t="shared" si="229"/>
        <v>0</v>
      </c>
      <c r="K781" s="52">
        <f>K782+K786</f>
        <v>9597</v>
      </c>
      <c r="L781" s="52">
        <f>L782+L786</f>
        <v>8847.7000000000007</v>
      </c>
      <c r="M781" s="300">
        <f t="shared" si="213"/>
        <v>-413.69999999999891</v>
      </c>
      <c r="N781" s="52">
        <f>N782+N786</f>
        <v>9597</v>
      </c>
      <c r="O781" s="300">
        <f t="shared" si="230"/>
        <v>0</v>
      </c>
      <c r="P781" s="52">
        <f>P782+P786</f>
        <v>9597</v>
      </c>
      <c r="Q781" s="52">
        <f>Q782+Q786</f>
        <v>9597</v>
      </c>
      <c r="R781" s="333">
        <f t="shared" si="232"/>
        <v>0</v>
      </c>
      <c r="S781" s="32"/>
      <c r="T781" s="32"/>
      <c r="U781" s="32"/>
    </row>
    <row r="782" spans="2:21" s="51" customFormat="1" x14ac:dyDescent="0.2">
      <c r="B782" s="56" t="s">
        <v>414</v>
      </c>
      <c r="C782" s="53" t="s">
        <v>681</v>
      </c>
      <c r="D782" s="53" t="s">
        <v>45</v>
      </c>
      <c r="E782" s="53" t="s">
        <v>108</v>
      </c>
      <c r="F782" s="54" t="s">
        <v>644</v>
      </c>
      <c r="G782" s="78"/>
      <c r="H782" s="52">
        <f>H784+H785+H783</f>
        <v>7270</v>
      </c>
      <c r="I782" s="52">
        <f>I784+I785+I783</f>
        <v>7270</v>
      </c>
      <c r="J782" s="300">
        <f t="shared" si="229"/>
        <v>0</v>
      </c>
      <c r="K782" s="52">
        <f>K784+K785+K783</f>
        <v>7660.6</v>
      </c>
      <c r="L782" s="52">
        <f>L784+L785+L783</f>
        <v>6856.3</v>
      </c>
      <c r="M782" s="300">
        <f t="shared" si="213"/>
        <v>-413.69999999999982</v>
      </c>
      <c r="N782" s="52">
        <f>N784+N785+N783</f>
        <v>7660.6</v>
      </c>
      <c r="O782" s="300">
        <f t="shared" si="230"/>
        <v>0</v>
      </c>
      <c r="P782" s="52">
        <f>P784+P785+P783</f>
        <v>7660.6</v>
      </c>
      <c r="Q782" s="52">
        <f>Q784+Q785+Q783</f>
        <v>7660.6</v>
      </c>
      <c r="R782" s="333">
        <f t="shared" si="232"/>
        <v>0</v>
      </c>
      <c r="S782" s="32"/>
      <c r="T782" s="32"/>
      <c r="U782" s="32"/>
    </row>
    <row r="783" spans="2:21" s="51" customFormat="1" ht="15" customHeight="1" x14ac:dyDescent="0.2">
      <c r="B783" s="56" t="s">
        <v>84</v>
      </c>
      <c r="C783" s="53" t="s">
        <v>681</v>
      </c>
      <c r="D783" s="53" t="s">
        <v>45</v>
      </c>
      <c r="E783" s="53" t="s">
        <v>108</v>
      </c>
      <c r="F783" s="54" t="s">
        <v>644</v>
      </c>
      <c r="G783" s="78" t="s">
        <v>83</v>
      </c>
      <c r="H783" s="52">
        <f>3997.8+13.8-452.2-19.4</f>
        <v>3540.0000000000005</v>
      </c>
      <c r="I783" s="52">
        <f>3997.8+13.8-452.2-19.4</f>
        <v>3540.0000000000005</v>
      </c>
      <c r="J783" s="300">
        <f t="shared" si="229"/>
        <v>0</v>
      </c>
      <c r="K783" s="52">
        <f>3997.8+13.8</f>
        <v>4011.6000000000004</v>
      </c>
      <c r="L783" s="52">
        <f>3540-213.7-200</f>
        <v>3126.3</v>
      </c>
      <c r="M783" s="300">
        <f t="shared" si="213"/>
        <v>-413.70000000000027</v>
      </c>
      <c r="N783" s="52">
        <f>3997.8+13.8</f>
        <v>4011.6000000000004</v>
      </c>
      <c r="O783" s="300">
        <f t="shared" si="230"/>
        <v>0</v>
      </c>
      <c r="P783" s="52">
        <f>3997.8+13.8</f>
        <v>4011.6000000000004</v>
      </c>
      <c r="Q783" s="52">
        <f>3997.8+13.8</f>
        <v>4011.6000000000004</v>
      </c>
      <c r="R783" s="333">
        <f t="shared" si="232"/>
        <v>0</v>
      </c>
      <c r="S783" s="32"/>
      <c r="T783" s="32"/>
      <c r="U783" s="32"/>
    </row>
    <row r="784" spans="2:21" s="51" customFormat="1" ht="25.5" x14ac:dyDescent="0.2">
      <c r="B784" s="56" t="s">
        <v>73</v>
      </c>
      <c r="C784" s="53" t="s">
        <v>681</v>
      </c>
      <c r="D784" s="53" t="s">
        <v>45</v>
      </c>
      <c r="E784" s="53" t="s">
        <v>108</v>
      </c>
      <c r="F784" s="54" t="s">
        <v>644</v>
      </c>
      <c r="G784" s="78" t="s">
        <v>70</v>
      </c>
      <c r="H784" s="52">
        <v>3730</v>
      </c>
      <c r="I784" s="52">
        <v>3730</v>
      </c>
      <c r="J784" s="300">
        <f t="shared" si="229"/>
        <v>0</v>
      </c>
      <c r="K784" s="52">
        <v>3649</v>
      </c>
      <c r="L784" s="52">
        <v>3730</v>
      </c>
      <c r="M784" s="300">
        <f t="shared" si="213"/>
        <v>0</v>
      </c>
      <c r="N784" s="52">
        <v>3649</v>
      </c>
      <c r="O784" s="300">
        <f t="shared" si="230"/>
        <v>0</v>
      </c>
      <c r="P784" s="52">
        <v>3649</v>
      </c>
      <c r="Q784" s="52">
        <v>3649</v>
      </c>
      <c r="R784" s="333">
        <f t="shared" si="232"/>
        <v>0</v>
      </c>
      <c r="S784" s="32"/>
      <c r="T784" s="32"/>
      <c r="U784" s="32"/>
    </row>
    <row r="785" spans="2:21" s="51" customFormat="1" hidden="1" x14ac:dyDescent="0.2">
      <c r="B785" s="56" t="s">
        <v>413</v>
      </c>
      <c r="C785" s="53" t="s">
        <v>669</v>
      </c>
      <c r="D785" s="53" t="s">
        <v>45</v>
      </c>
      <c r="E785" s="53" t="s">
        <v>108</v>
      </c>
      <c r="F785" s="54" t="s">
        <v>644</v>
      </c>
      <c r="G785" s="78" t="s">
        <v>320</v>
      </c>
      <c r="H785" s="52">
        <v>0</v>
      </c>
      <c r="I785" s="52">
        <v>0</v>
      </c>
      <c r="J785" s="300">
        <f t="shared" si="229"/>
        <v>0</v>
      </c>
      <c r="K785" s="52">
        <v>0</v>
      </c>
      <c r="L785" s="52">
        <v>0</v>
      </c>
      <c r="M785" s="300">
        <f t="shared" si="213"/>
        <v>0</v>
      </c>
      <c r="N785" s="52">
        <v>0</v>
      </c>
      <c r="O785" s="300">
        <f t="shared" si="230"/>
        <v>0</v>
      </c>
      <c r="P785" s="52">
        <v>0</v>
      </c>
      <c r="Q785" s="52">
        <v>0</v>
      </c>
      <c r="R785" s="333">
        <f t="shared" si="232"/>
        <v>0</v>
      </c>
      <c r="S785" s="32"/>
      <c r="T785" s="32"/>
      <c r="U785" s="32"/>
    </row>
    <row r="786" spans="2:21" s="51" customFormat="1" ht="25.5" x14ac:dyDescent="0.2">
      <c r="B786" s="69" t="s">
        <v>88</v>
      </c>
      <c r="C786" s="53" t="s">
        <v>681</v>
      </c>
      <c r="D786" s="53" t="s">
        <v>45</v>
      </c>
      <c r="E786" s="53" t="s">
        <v>108</v>
      </c>
      <c r="F786" s="54" t="s">
        <v>643</v>
      </c>
      <c r="G786" s="78"/>
      <c r="H786" s="52">
        <f>H787</f>
        <v>1991.4</v>
      </c>
      <c r="I786" s="52">
        <f>I787</f>
        <v>1991.4</v>
      </c>
      <c r="J786" s="300">
        <f t="shared" si="229"/>
        <v>0</v>
      </c>
      <c r="K786" s="52">
        <f>K787</f>
        <v>1936.4</v>
      </c>
      <c r="L786" s="52">
        <f>L787</f>
        <v>1991.4</v>
      </c>
      <c r="M786" s="300">
        <f t="shared" si="213"/>
        <v>0</v>
      </c>
      <c r="N786" s="52">
        <f>N787</f>
        <v>1936.4</v>
      </c>
      <c r="O786" s="300">
        <f t="shared" si="230"/>
        <v>0</v>
      </c>
      <c r="P786" s="52">
        <f>P787</f>
        <v>1936.4</v>
      </c>
      <c r="Q786" s="52">
        <f>Q787</f>
        <v>1936.4</v>
      </c>
      <c r="R786" s="333">
        <f t="shared" si="232"/>
        <v>0</v>
      </c>
      <c r="S786" s="32"/>
      <c r="T786" s="32"/>
      <c r="U786" s="32"/>
    </row>
    <row r="787" spans="2:21" s="51" customFormat="1" ht="18.75" customHeight="1" x14ac:dyDescent="0.2">
      <c r="B787" s="69" t="s">
        <v>84</v>
      </c>
      <c r="C787" s="53" t="s">
        <v>681</v>
      </c>
      <c r="D787" s="53" t="s">
        <v>45</v>
      </c>
      <c r="E787" s="53" t="s">
        <v>108</v>
      </c>
      <c r="F787" s="54" t="s">
        <v>643</v>
      </c>
      <c r="G787" s="78" t="s">
        <v>83</v>
      </c>
      <c r="H787" s="52">
        <f>1936.4+55</f>
        <v>1991.4</v>
      </c>
      <c r="I787" s="52">
        <f>1936.4+55</f>
        <v>1991.4</v>
      </c>
      <c r="J787" s="300">
        <f t="shared" si="229"/>
        <v>0</v>
      </c>
      <c r="K787" s="52">
        <v>1936.4</v>
      </c>
      <c r="L787" s="52">
        <f>1936.4+55</f>
        <v>1991.4</v>
      </c>
      <c r="M787" s="300">
        <f t="shared" si="213"/>
        <v>0</v>
      </c>
      <c r="N787" s="52">
        <v>1936.4</v>
      </c>
      <c r="O787" s="300">
        <f t="shared" si="230"/>
        <v>0</v>
      </c>
      <c r="P787" s="52">
        <v>1936.4</v>
      </c>
      <c r="Q787" s="52">
        <v>1936.4</v>
      </c>
      <c r="R787" s="333">
        <f t="shared" si="232"/>
        <v>0</v>
      </c>
      <c r="S787" s="32"/>
      <c r="T787" s="32"/>
      <c r="U787" s="32"/>
    </row>
    <row r="788" spans="2:21" s="51" customFormat="1" x14ac:dyDescent="0.2">
      <c r="B788" s="407" t="s">
        <v>538</v>
      </c>
      <c r="C788" s="408">
        <v>163</v>
      </c>
      <c r="D788" s="409">
        <v>2</v>
      </c>
      <c r="E788" s="409"/>
      <c r="F788" s="54"/>
      <c r="G788" s="78"/>
      <c r="H788" s="44">
        <f t="shared" ref="H788:Q793" si="233">H789</f>
        <v>471.59999999999997</v>
      </c>
      <c r="I788" s="44">
        <f t="shared" si="233"/>
        <v>471.59999999999997</v>
      </c>
      <c r="J788" s="300">
        <f t="shared" si="229"/>
        <v>0</v>
      </c>
      <c r="K788" s="44">
        <f t="shared" si="233"/>
        <v>514.5</v>
      </c>
      <c r="L788" s="44">
        <f t="shared" si="233"/>
        <v>471.59999999999997</v>
      </c>
      <c r="M788" s="300">
        <f t="shared" si="213"/>
        <v>0</v>
      </c>
      <c r="N788" s="44">
        <f t="shared" si="233"/>
        <v>514.5</v>
      </c>
      <c r="O788" s="300">
        <f t="shared" si="230"/>
        <v>0</v>
      </c>
      <c r="P788" s="44">
        <f t="shared" si="233"/>
        <v>532.4</v>
      </c>
      <c r="Q788" s="44">
        <f t="shared" si="233"/>
        <v>532.4</v>
      </c>
      <c r="R788" s="333">
        <f t="shared" si="232"/>
        <v>0</v>
      </c>
      <c r="S788" s="32"/>
      <c r="T788" s="32"/>
      <c r="U788" s="32"/>
    </row>
    <row r="789" spans="2:21" s="51" customFormat="1" x14ac:dyDescent="0.2">
      <c r="B789" s="407" t="s">
        <v>537</v>
      </c>
      <c r="C789" s="408">
        <v>163</v>
      </c>
      <c r="D789" s="409">
        <v>2</v>
      </c>
      <c r="E789" s="409">
        <v>3</v>
      </c>
      <c r="F789" s="54"/>
      <c r="G789" s="78"/>
      <c r="H789" s="44">
        <f t="shared" si="233"/>
        <v>471.59999999999997</v>
      </c>
      <c r="I789" s="44">
        <f t="shared" si="233"/>
        <v>471.59999999999997</v>
      </c>
      <c r="J789" s="300">
        <f t="shared" si="229"/>
        <v>0</v>
      </c>
      <c r="K789" s="44">
        <f t="shared" si="233"/>
        <v>514.5</v>
      </c>
      <c r="L789" s="44">
        <f t="shared" si="233"/>
        <v>471.59999999999997</v>
      </c>
      <c r="M789" s="300">
        <f t="shared" ref="M789:M854" si="234">L789-I789</f>
        <v>0</v>
      </c>
      <c r="N789" s="44">
        <f t="shared" si="233"/>
        <v>514.5</v>
      </c>
      <c r="O789" s="300">
        <f t="shared" si="230"/>
        <v>0</v>
      </c>
      <c r="P789" s="44">
        <f t="shared" si="233"/>
        <v>532.4</v>
      </c>
      <c r="Q789" s="44">
        <f t="shared" si="233"/>
        <v>532.4</v>
      </c>
      <c r="R789" s="333">
        <f t="shared" si="232"/>
        <v>0</v>
      </c>
      <c r="S789" s="32"/>
      <c r="T789" s="32"/>
      <c r="U789" s="32"/>
    </row>
    <row r="790" spans="2:21" s="51" customFormat="1" ht="25.5" x14ac:dyDescent="0.2">
      <c r="B790" s="56" t="s">
        <v>536</v>
      </c>
      <c r="C790" s="55" t="s">
        <v>681</v>
      </c>
      <c r="D790" s="55" t="s">
        <v>72</v>
      </c>
      <c r="E790" s="55" t="s">
        <v>111</v>
      </c>
      <c r="F790" s="55" t="s">
        <v>535</v>
      </c>
      <c r="G790" s="53"/>
      <c r="H790" s="52">
        <f t="shared" si="233"/>
        <v>471.59999999999997</v>
      </c>
      <c r="I790" s="52">
        <f t="shared" si="233"/>
        <v>471.59999999999997</v>
      </c>
      <c r="J790" s="300">
        <f t="shared" si="229"/>
        <v>0</v>
      </c>
      <c r="K790" s="52">
        <f t="shared" si="233"/>
        <v>514.5</v>
      </c>
      <c r="L790" s="52">
        <f t="shared" si="233"/>
        <v>471.59999999999997</v>
      </c>
      <c r="M790" s="300">
        <f t="shared" si="234"/>
        <v>0</v>
      </c>
      <c r="N790" s="52">
        <f t="shared" si="233"/>
        <v>514.5</v>
      </c>
      <c r="O790" s="300">
        <f t="shared" si="230"/>
        <v>0</v>
      </c>
      <c r="P790" s="52">
        <f t="shared" si="233"/>
        <v>532.4</v>
      </c>
      <c r="Q790" s="52">
        <f t="shared" si="233"/>
        <v>532.4</v>
      </c>
      <c r="R790" s="333">
        <f t="shared" si="232"/>
        <v>0</v>
      </c>
      <c r="S790" s="32"/>
      <c r="T790" s="32"/>
      <c r="U790" s="32"/>
    </row>
    <row r="791" spans="2:21" s="51" customFormat="1" x14ac:dyDescent="0.2">
      <c r="B791" s="77" t="s">
        <v>52</v>
      </c>
      <c r="C791" s="55" t="s">
        <v>681</v>
      </c>
      <c r="D791" s="55" t="s">
        <v>72</v>
      </c>
      <c r="E791" s="55" t="s">
        <v>111</v>
      </c>
      <c r="F791" s="128" t="s">
        <v>534</v>
      </c>
      <c r="G791" s="53"/>
      <c r="H791" s="52">
        <f t="shared" si="233"/>
        <v>471.59999999999997</v>
      </c>
      <c r="I791" s="52">
        <f t="shared" si="233"/>
        <v>471.59999999999997</v>
      </c>
      <c r="J791" s="300">
        <f t="shared" si="229"/>
        <v>0</v>
      </c>
      <c r="K791" s="52">
        <f t="shared" si="233"/>
        <v>514.5</v>
      </c>
      <c r="L791" s="52">
        <f t="shared" si="233"/>
        <v>471.59999999999997</v>
      </c>
      <c r="M791" s="300">
        <f t="shared" si="234"/>
        <v>0</v>
      </c>
      <c r="N791" s="52">
        <f t="shared" si="233"/>
        <v>514.5</v>
      </c>
      <c r="O791" s="300">
        <f t="shared" si="230"/>
        <v>0</v>
      </c>
      <c r="P791" s="52">
        <f t="shared" si="233"/>
        <v>532.4</v>
      </c>
      <c r="Q791" s="52">
        <f t="shared" si="233"/>
        <v>532.4</v>
      </c>
      <c r="R791" s="333">
        <f t="shared" si="232"/>
        <v>0</v>
      </c>
      <c r="S791" s="32"/>
      <c r="T791" s="32"/>
      <c r="U791" s="32"/>
    </row>
    <row r="792" spans="2:21" s="51" customFormat="1" ht="25.5" x14ac:dyDescent="0.2">
      <c r="B792" s="139" t="s">
        <v>533</v>
      </c>
      <c r="C792" s="55" t="s">
        <v>681</v>
      </c>
      <c r="D792" s="55" t="s">
        <v>72</v>
      </c>
      <c r="E792" s="55" t="s">
        <v>111</v>
      </c>
      <c r="F792" s="128" t="s">
        <v>532</v>
      </c>
      <c r="G792" s="53"/>
      <c r="H792" s="52">
        <f t="shared" si="233"/>
        <v>471.59999999999997</v>
      </c>
      <c r="I792" s="52">
        <f t="shared" si="233"/>
        <v>471.59999999999997</v>
      </c>
      <c r="J792" s="300">
        <f t="shared" si="229"/>
        <v>0</v>
      </c>
      <c r="K792" s="52">
        <f t="shared" si="233"/>
        <v>514.5</v>
      </c>
      <c r="L792" s="52">
        <f t="shared" si="233"/>
        <v>471.59999999999997</v>
      </c>
      <c r="M792" s="300">
        <f t="shared" si="234"/>
        <v>0</v>
      </c>
      <c r="N792" s="52">
        <f t="shared" si="233"/>
        <v>514.5</v>
      </c>
      <c r="O792" s="300">
        <f t="shared" si="230"/>
        <v>0</v>
      </c>
      <c r="P792" s="52">
        <f t="shared" si="233"/>
        <v>532.4</v>
      </c>
      <c r="Q792" s="52">
        <f t="shared" si="233"/>
        <v>532.4</v>
      </c>
      <c r="R792" s="333">
        <f t="shared" si="232"/>
        <v>0</v>
      </c>
      <c r="S792" s="32"/>
      <c r="T792" s="32"/>
      <c r="U792" s="32"/>
    </row>
    <row r="793" spans="2:21" s="51" customFormat="1" ht="25.5" x14ac:dyDescent="0.2">
      <c r="B793" s="56" t="s">
        <v>531</v>
      </c>
      <c r="C793" s="53" t="s">
        <v>681</v>
      </c>
      <c r="D793" s="53" t="s">
        <v>72</v>
      </c>
      <c r="E793" s="53" t="s">
        <v>111</v>
      </c>
      <c r="F793" s="54" t="s">
        <v>530</v>
      </c>
      <c r="G793" s="53"/>
      <c r="H793" s="52">
        <f t="shared" si="233"/>
        <v>471.59999999999997</v>
      </c>
      <c r="I793" s="52">
        <f t="shared" si="233"/>
        <v>471.59999999999997</v>
      </c>
      <c r="J793" s="300">
        <f t="shared" si="229"/>
        <v>0</v>
      </c>
      <c r="K793" s="52">
        <f t="shared" si="233"/>
        <v>514.5</v>
      </c>
      <c r="L793" s="52">
        <f t="shared" si="233"/>
        <v>471.59999999999997</v>
      </c>
      <c r="M793" s="300">
        <f t="shared" si="234"/>
        <v>0</v>
      </c>
      <c r="N793" s="52">
        <f t="shared" si="233"/>
        <v>514.5</v>
      </c>
      <c r="O793" s="300">
        <f t="shared" si="230"/>
        <v>0</v>
      </c>
      <c r="P793" s="52">
        <f t="shared" si="233"/>
        <v>532.4</v>
      </c>
      <c r="Q793" s="52">
        <f t="shared" si="233"/>
        <v>532.4</v>
      </c>
      <c r="R793" s="333">
        <f t="shared" si="232"/>
        <v>0</v>
      </c>
      <c r="S793" s="32"/>
      <c r="T793" s="32"/>
      <c r="U793" s="32"/>
    </row>
    <row r="794" spans="2:21" s="51" customFormat="1" ht="15" customHeight="1" x14ac:dyDescent="0.2">
      <c r="B794" s="56" t="s">
        <v>84</v>
      </c>
      <c r="C794" s="53" t="s">
        <v>681</v>
      </c>
      <c r="D794" s="53" t="s">
        <v>72</v>
      </c>
      <c r="E794" s="53" t="s">
        <v>111</v>
      </c>
      <c r="F794" s="54" t="s">
        <v>530</v>
      </c>
      <c r="G794" s="53" t="s">
        <v>83</v>
      </c>
      <c r="H794" s="52">
        <f>452.2+19.4</f>
        <v>471.59999999999997</v>
      </c>
      <c r="I794" s="52">
        <f>452.2+19.4</f>
        <v>471.59999999999997</v>
      </c>
      <c r="J794" s="300">
        <f t="shared" si="229"/>
        <v>0</v>
      </c>
      <c r="K794" s="52">
        <f>495.5+19</f>
        <v>514.5</v>
      </c>
      <c r="L794" s="52">
        <f>452.2+19.4</f>
        <v>471.59999999999997</v>
      </c>
      <c r="M794" s="300">
        <f t="shared" si="234"/>
        <v>0</v>
      </c>
      <c r="N794" s="52">
        <f>495.5+19</f>
        <v>514.5</v>
      </c>
      <c r="O794" s="300">
        <f t="shared" si="230"/>
        <v>0</v>
      </c>
      <c r="P794" s="52">
        <f>513.5+18.9</f>
        <v>532.4</v>
      </c>
      <c r="Q794" s="52">
        <f>513.5+18.9</f>
        <v>532.4</v>
      </c>
      <c r="R794" s="333">
        <f t="shared" si="232"/>
        <v>0</v>
      </c>
      <c r="S794" s="32"/>
      <c r="T794" s="32"/>
      <c r="U794" s="32"/>
    </row>
    <row r="795" spans="2:21" s="51" customFormat="1" ht="25.5" x14ac:dyDescent="0.2">
      <c r="B795" s="46" t="s">
        <v>529</v>
      </c>
      <c r="C795" s="408">
        <v>163</v>
      </c>
      <c r="D795" s="409">
        <v>3</v>
      </c>
      <c r="E795" s="410"/>
      <c r="F795" s="54"/>
      <c r="G795" s="53"/>
      <c r="H795" s="44">
        <f t="shared" ref="H795:Q796" si="235">H796</f>
        <v>5767</v>
      </c>
      <c r="I795" s="44">
        <f t="shared" si="235"/>
        <v>5767</v>
      </c>
      <c r="J795" s="300">
        <f t="shared" si="229"/>
        <v>0</v>
      </c>
      <c r="K795" s="44">
        <f t="shared" si="235"/>
        <v>3385</v>
      </c>
      <c r="L795" s="44">
        <f t="shared" si="235"/>
        <v>5767</v>
      </c>
      <c r="M795" s="300">
        <f t="shared" si="234"/>
        <v>0</v>
      </c>
      <c r="N795" s="44">
        <f t="shared" si="235"/>
        <v>3385</v>
      </c>
      <c r="O795" s="300">
        <f t="shared" si="230"/>
        <v>0</v>
      </c>
      <c r="P795" s="44">
        <f t="shared" si="235"/>
        <v>4388.8</v>
      </c>
      <c r="Q795" s="44">
        <f t="shared" si="235"/>
        <v>4388.8</v>
      </c>
      <c r="R795" s="333">
        <f t="shared" si="232"/>
        <v>0</v>
      </c>
      <c r="S795" s="32"/>
      <c r="T795" s="32"/>
      <c r="U795" s="32"/>
    </row>
    <row r="796" spans="2:21" s="51" customFormat="1" ht="33" customHeight="1" x14ac:dyDescent="0.2">
      <c r="B796" s="138" t="s">
        <v>516</v>
      </c>
      <c r="C796" s="48" t="s">
        <v>681</v>
      </c>
      <c r="D796" s="409">
        <v>3</v>
      </c>
      <c r="E796" s="409">
        <v>10</v>
      </c>
      <c r="F796" s="49"/>
      <c r="G796" s="48"/>
      <c r="H796" s="44">
        <f t="shared" si="235"/>
        <v>5767</v>
      </c>
      <c r="I796" s="44">
        <f t="shared" si="235"/>
        <v>5767</v>
      </c>
      <c r="J796" s="300">
        <f t="shared" si="229"/>
        <v>0</v>
      </c>
      <c r="K796" s="44">
        <f t="shared" si="235"/>
        <v>3385</v>
      </c>
      <c r="L796" s="44">
        <f t="shared" si="235"/>
        <v>5767</v>
      </c>
      <c r="M796" s="300">
        <f t="shared" si="234"/>
        <v>0</v>
      </c>
      <c r="N796" s="44">
        <f t="shared" si="235"/>
        <v>3385</v>
      </c>
      <c r="O796" s="300">
        <f t="shared" si="230"/>
        <v>0</v>
      </c>
      <c r="P796" s="44">
        <f t="shared" si="235"/>
        <v>4388.8</v>
      </c>
      <c r="Q796" s="44">
        <f t="shared" si="235"/>
        <v>4388.8</v>
      </c>
      <c r="R796" s="333">
        <f t="shared" si="232"/>
        <v>0</v>
      </c>
      <c r="S796" s="32"/>
      <c r="T796" s="32"/>
      <c r="U796" s="32"/>
    </row>
    <row r="797" spans="2:21" s="51" customFormat="1" ht="31.5" customHeight="1" x14ac:dyDescent="0.2">
      <c r="B797" s="69" t="s">
        <v>453</v>
      </c>
      <c r="C797" s="53" t="s">
        <v>681</v>
      </c>
      <c r="D797" s="410">
        <v>3</v>
      </c>
      <c r="E797" s="410">
        <v>10</v>
      </c>
      <c r="F797" s="54" t="s">
        <v>452</v>
      </c>
      <c r="G797" s="53"/>
      <c r="H797" s="52">
        <f>H798+H804</f>
        <v>5767</v>
      </c>
      <c r="I797" s="52">
        <f>I798+I804</f>
        <v>5767</v>
      </c>
      <c r="J797" s="300">
        <f t="shared" si="229"/>
        <v>0</v>
      </c>
      <c r="K797" s="52">
        <f>K798+K804</f>
        <v>3385</v>
      </c>
      <c r="L797" s="52">
        <f>L798+L804</f>
        <v>5767</v>
      </c>
      <c r="M797" s="300">
        <f t="shared" si="234"/>
        <v>0</v>
      </c>
      <c r="N797" s="52">
        <f>N798+N804</f>
        <v>3385</v>
      </c>
      <c r="O797" s="300">
        <f t="shared" si="230"/>
        <v>0</v>
      </c>
      <c r="P797" s="52">
        <f>P798+P804</f>
        <v>4388.8</v>
      </c>
      <c r="Q797" s="52">
        <f>Q798+Q804</f>
        <v>4388.8</v>
      </c>
      <c r="R797" s="333">
        <f t="shared" si="232"/>
        <v>0</v>
      </c>
      <c r="S797" s="32"/>
      <c r="T797" s="32"/>
      <c r="U797" s="32"/>
    </row>
    <row r="798" spans="2:21" s="51" customFormat="1" x14ac:dyDescent="0.2">
      <c r="B798" s="62" t="s">
        <v>66</v>
      </c>
      <c r="C798" s="53" t="s">
        <v>681</v>
      </c>
      <c r="D798" s="410">
        <v>3</v>
      </c>
      <c r="E798" s="410">
        <v>10</v>
      </c>
      <c r="F798" s="54" t="s">
        <v>504</v>
      </c>
      <c r="G798" s="53"/>
      <c r="H798" s="52">
        <f>H799</f>
        <v>4367</v>
      </c>
      <c r="I798" s="52">
        <f>I799</f>
        <v>4367</v>
      </c>
      <c r="J798" s="300">
        <f t="shared" si="229"/>
        <v>0</v>
      </c>
      <c r="K798" s="52">
        <f>K799</f>
        <v>1985</v>
      </c>
      <c r="L798" s="52">
        <f>L799</f>
        <v>4367</v>
      </c>
      <c r="M798" s="300">
        <f t="shared" si="234"/>
        <v>0</v>
      </c>
      <c r="N798" s="52">
        <f>N799</f>
        <v>1985</v>
      </c>
      <c r="O798" s="300">
        <f t="shared" si="230"/>
        <v>0</v>
      </c>
      <c r="P798" s="52">
        <f>P799</f>
        <v>2988.8</v>
      </c>
      <c r="Q798" s="52">
        <f>Q799</f>
        <v>2988.8</v>
      </c>
      <c r="R798" s="333">
        <f t="shared" si="232"/>
        <v>0</v>
      </c>
      <c r="S798" s="32"/>
      <c r="T798" s="32"/>
      <c r="U798" s="32"/>
    </row>
    <row r="799" spans="2:21" s="51" customFormat="1" ht="25.5" x14ac:dyDescent="0.2">
      <c r="B799" s="66" t="s">
        <v>515</v>
      </c>
      <c r="C799" s="53" t="s">
        <v>681</v>
      </c>
      <c r="D799" s="410">
        <v>3</v>
      </c>
      <c r="E799" s="410">
        <v>10</v>
      </c>
      <c r="F799" s="54" t="s">
        <v>514</v>
      </c>
      <c r="G799" s="60"/>
      <c r="H799" s="52">
        <f>H800+H802</f>
        <v>4367</v>
      </c>
      <c r="I799" s="52">
        <f>I800+I802</f>
        <v>4367</v>
      </c>
      <c r="J799" s="300">
        <f t="shared" si="229"/>
        <v>0</v>
      </c>
      <c r="K799" s="52">
        <f>K800+K802</f>
        <v>1985</v>
      </c>
      <c r="L799" s="52">
        <f>L800+L802</f>
        <v>4367</v>
      </c>
      <c r="M799" s="300">
        <f t="shared" si="234"/>
        <v>0</v>
      </c>
      <c r="N799" s="52">
        <f>N800+N802</f>
        <v>1985</v>
      </c>
      <c r="O799" s="300">
        <f t="shared" si="230"/>
        <v>0</v>
      </c>
      <c r="P799" s="52">
        <f>P800+P802</f>
        <v>2988.8</v>
      </c>
      <c r="Q799" s="52">
        <f>Q800+Q802</f>
        <v>2988.8</v>
      </c>
      <c r="R799" s="333">
        <f t="shared" si="232"/>
        <v>0</v>
      </c>
      <c r="S799" s="32"/>
      <c r="T799" s="32"/>
      <c r="U799" s="32"/>
    </row>
    <row r="800" spans="2:21" s="51" customFormat="1" ht="25.5" x14ac:dyDescent="0.2">
      <c r="B800" s="66" t="s">
        <v>513</v>
      </c>
      <c r="C800" s="53" t="s">
        <v>681</v>
      </c>
      <c r="D800" s="410">
        <v>3</v>
      </c>
      <c r="E800" s="410">
        <v>10</v>
      </c>
      <c r="F800" s="54" t="s">
        <v>512</v>
      </c>
      <c r="G800" s="60"/>
      <c r="H800" s="52">
        <f>H801</f>
        <v>4367</v>
      </c>
      <c r="I800" s="52">
        <f>I801</f>
        <v>4367</v>
      </c>
      <c r="J800" s="300">
        <f t="shared" si="229"/>
        <v>0</v>
      </c>
      <c r="K800" s="52">
        <f>K801</f>
        <v>1985</v>
      </c>
      <c r="L800" s="52">
        <f>L801</f>
        <v>4367</v>
      </c>
      <c r="M800" s="300">
        <f t="shared" si="234"/>
        <v>0</v>
      </c>
      <c r="N800" s="52">
        <f>N801</f>
        <v>1985</v>
      </c>
      <c r="O800" s="300">
        <f t="shared" si="230"/>
        <v>0</v>
      </c>
      <c r="P800" s="52">
        <f>P801</f>
        <v>2988.8</v>
      </c>
      <c r="Q800" s="52">
        <f>Q801</f>
        <v>2988.8</v>
      </c>
      <c r="R800" s="333">
        <f t="shared" si="232"/>
        <v>0</v>
      </c>
      <c r="S800" s="32"/>
      <c r="T800" s="32"/>
      <c r="U800" s="32"/>
    </row>
    <row r="801" spans="2:21" s="51" customFormat="1" ht="25.5" x14ac:dyDescent="0.2">
      <c r="B801" s="66" t="s">
        <v>73</v>
      </c>
      <c r="C801" s="53" t="s">
        <v>681</v>
      </c>
      <c r="D801" s="410">
        <v>3</v>
      </c>
      <c r="E801" s="410">
        <v>10</v>
      </c>
      <c r="F801" s="54" t="s">
        <v>512</v>
      </c>
      <c r="G801" s="60" t="s">
        <v>70</v>
      </c>
      <c r="H801" s="52">
        <f>2183.5+2183.5</f>
        <v>4367</v>
      </c>
      <c r="I801" s="52">
        <f>2183.5+2183.5</f>
        <v>4367</v>
      </c>
      <c r="J801" s="300">
        <f t="shared" si="229"/>
        <v>0</v>
      </c>
      <c r="K801" s="52">
        <f>992.5+992.5</f>
        <v>1985</v>
      </c>
      <c r="L801" s="52">
        <f>2183.5+2183.5</f>
        <v>4367</v>
      </c>
      <c r="M801" s="300">
        <f t="shared" si="234"/>
        <v>0</v>
      </c>
      <c r="N801" s="52">
        <f>992.5+992.5</f>
        <v>1985</v>
      </c>
      <c r="O801" s="300">
        <f t="shared" si="230"/>
        <v>0</v>
      </c>
      <c r="P801" s="52">
        <v>2988.8</v>
      </c>
      <c r="Q801" s="52">
        <v>2988.8</v>
      </c>
      <c r="R801" s="333">
        <f t="shared" si="232"/>
        <v>0</v>
      </c>
      <c r="S801" s="32"/>
      <c r="T801" s="32"/>
      <c r="U801" s="32"/>
    </row>
    <row r="802" spans="2:21" s="51" customFormat="1" hidden="1" x14ac:dyDescent="0.2">
      <c r="B802" s="56" t="s">
        <v>508</v>
      </c>
      <c r="C802" s="53" t="s">
        <v>681</v>
      </c>
      <c r="D802" s="410">
        <v>3</v>
      </c>
      <c r="E802" s="410">
        <v>10</v>
      </c>
      <c r="F802" s="54" t="s">
        <v>511</v>
      </c>
      <c r="G802" s="60"/>
      <c r="H802" s="52">
        <f>H803</f>
        <v>0</v>
      </c>
      <c r="I802" s="52">
        <f>I803</f>
        <v>0</v>
      </c>
      <c r="J802" s="300">
        <f t="shared" si="229"/>
        <v>0</v>
      </c>
      <c r="K802" s="52">
        <f>K803</f>
        <v>0</v>
      </c>
      <c r="L802" s="52">
        <f>L803</f>
        <v>0</v>
      </c>
      <c r="M802" s="300">
        <f t="shared" si="234"/>
        <v>0</v>
      </c>
      <c r="N802" s="52">
        <f>N803</f>
        <v>0</v>
      </c>
      <c r="O802" s="300">
        <f t="shared" si="230"/>
        <v>0</v>
      </c>
      <c r="P802" s="52">
        <f>P803</f>
        <v>0</v>
      </c>
      <c r="Q802" s="52">
        <f>Q803</f>
        <v>0</v>
      </c>
      <c r="R802" s="333">
        <f t="shared" si="232"/>
        <v>0</v>
      </c>
      <c r="S802" s="32"/>
      <c r="T802" s="32"/>
      <c r="U802" s="32"/>
    </row>
    <row r="803" spans="2:21" s="51" customFormat="1" ht="25.5" hidden="1" x14ac:dyDescent="0.2">
      <c r="B803" s="66" t="s">
        <v>73</v>
      </c>
      <c r="C803" s="53" t="s">
        <v>681</v>
      </c>
      <c r="D803" s="410">
        <v>3</v>
      </c>
      <c r="E803" s="410">
        <v>10</v>
      </c>
      <c r="F803" s="54" t="s">
        <v>511</v>
      </c>
      <c r="G803" s="60" t="s">
        <v>70</v>
      </c>
      <c r="H803" s="52">
        <v>0</v>
      </c>
      <c r="I803" s="52">
        <v>0</v>
      </c>
      <c r="J803" s="300">
        <f t="shared" si="229"/>
        <v>0</v>
      </c>
      <c r="K803" s="52">
        <v>0</v>
      </c>
      <c r="L803" s="52">
        <v>0</v>
      </c>
      <c r="M803" s="300">
        <f t="shared" si="234"/>
        <v>0</v>
      </c>
      <c r="N803" s="52">
        <v>0</v>
      </c>
      <c r="O803" s="300">
        <f t="shared" si="230"/>
        <v>0</v>
      </c>
      <c r="P803" s="52">
        <v>0</v>
      </c>
      <c r="Q803" s="52">
        <v>0</v>
      </c>
      <c r="R803" s="333">
        <f t="shared" si="232"/>
        <v>0</v>
      </c>
      <c r="S803" s="32"/>
      <c r="T803" s="32"/>
      <c r="U803" s="32"/>
    </row>
    <row r="804" spans="2:21" s="51" customFormat="1" x14ac:dyDescent="0.2">
      <c r="B804" s="66" t="s">
        <v>52</v>
      </c>
      <c r="C804" s="53" t="s">
        <v>681</v>
      </c>
      <c r="D804" s="410">
        <v>3</v>
      </c>
      <c r="E804" s="410">
        <v>10</v>
      </c>
      <c r="F804" s="54" t="s">
        <v>451</v>
      </c>
      <c r="G804" s="60"/>
      <c r="H804" s="52">
        <f t="shared" ref="H804:Q806" si="236">H805</f>
        <v>1400</v>
      </c>
      <c r="I804" s="52">
        <f t="shared" si="236"/>
        <v>1400</v>
      </c>
      <c r="J804" s="300">
        <f t="shared" si="229"/>
        <v>0</v>
      </c>
      <c r="K804" s="52">
        <f t="shared" si="236"/>
        <v>1400</v>
      </c>
      <c r="L804" s="52">
        <f t="shared" si="236"/>
        <v>1400</v>
      </c>
      <c r="M804" s="300">
        <f t="shared" si="234"/>
        <v>0</v>
      </c>
      <c r="N804" s="52">
        <f t="shared" si="236"/>
        <v>1400</v>
      </c>
      <c r="O804" s="300">
        <f t="shared" si="230"/>
        <v>0</v>
      </c>
      <c r="P804" s="52">
        <f t="shared" si="236"/>
        <v>1400</v>
      </c>
      <c r="Q804" s="52">
        <f t="shared" si="236"/>
        <v>1400</v>
      </c>
      <c r="R804" s="333">
        <f t="shared" si="232"/>
        <v>0</v>
      </c>
      <c r="S804" s="32"/>
      <c r="T804" s="32"/>
      <c r="U804" s="32"/>
    </row>
    <row r="805" spans="2:21" s="51" customFormat="1" ht="25.5" x14ac:dyDescent="0.2">
      <c r="B805" s="137" t="s">
        <v>510</v>
      </c>
      <c r="C805" s="53" t="s">
        <v>681</v>
      </c>
      <c r="D805" s="410">
        <v>3</v>
      </c>
      <c r="E805" s="410">
        <v>10</v>
      </c>
      <c r="F805" s="54" t="s">
        <v>509</v>
      </c>
      <c r="G805" s="60"/>
      <c r="H805" s="52">
        <f t="shared" si="236"/>
        <v>1400</v>
      </c>
      <c r="I805" s="52">
        <f t="shared" si="236"/>
        <v>1400</v>
      </c>
      <c r="J805" s="300">
        <f t="shared" si="229"/>
        <v>0</v>
      </c>
      <c r="K805" s="52">
        <f t="shared" si="236"/>
        <v>1400</v>
      </c>
      <c r="L805" s="52">
        <f t="shared" si="236"/>
        <v>1400</v>
      </c>
      <c r="M805" s="300">
        <f t="shared" si="234"/>
        <v>0</v>
      </c>
      <c r="N805" s="52">
        <f t="shared" si="236"/>
        <v>1400</v>
      </c>
      <c r="O805" s="300">
        <f t="shared" si="230"/>
        <v>0</v>
      </c>
      <c r="P805" s="52">
        <f t="shared" si="236"/>
        <v>1400</v>
      </c>
      <c r="Q805" s="52">
        <f t="shared" si="236"/>
        <v>1400</v>
      </c>
      <c r="R805" s="333">
        <f t="shared" si="232"/>
        <v>0</v>
      </c>
      <c r="S805" s="32"/>
      <c r="T805" s="32"/>
      <c r="U805" s="32"/>
    </row>
    <row r="806" spans="2:21" s="51" customFormat="1" x14ac:dyDescent="0.2">
      <c r="B806" s="137" t="s">
        <v>508</v>
      </c>
      <c r="C806" s="53" t="s">
        <v>681</v>
      </c>
      <c r="D806" s="410">
        <v>3</v>
      </c>
      <c r="E806" s="410">
        <v>10</v>
      </c>
      <c r="F806" s="54" t="s">
        <v>507</v>
      </c>
      <c r="G806" s="60"/>
      <c r="H806" s="52">
        <f t="shared" si="236"/>
        <v>1400</v>
      </c>
      <c r="I806" s="52">
        <f t="shared" si="236"/>
        <v>1400</v>
      </c>
      <c r="J806" s="300">
        <f t="shared" si="229"/>
        <v>0</v>
      </c>
      <c r="K806" s="52">
        <f t="shared" si="236"/>
        <v>1400</v>
      </c>
      <c r="L806" s="52">
        <f t="shared" si="236"/>
        <v>1400</v>
      </c>
      <c r="M806" s="300">
        <f t="shared" si="234"/>
        <v>0</v>
      </c>
      <c r="N806" s="52">
        <f t="shared" si="236"/>
        <v>1400</v>
      </c>
      <c r="O806" s="300">
        <f t="shared" si="230"/>
        <v>0</v>
      </c>
      <c r="P806" s="52">
        <f t="shared" si="236"/>
        <v>1400</v>
      </c>
      <c r="Q806" s="52">
        <f t="shared" si="236"/>
        <v>1400</v>
      </c>
      <c r="R806" s="333">
        <f t="shared" si="232"/>
        <v>0</v>
      </c>
      <c r="S806" s="32"/>
      <c r="T806" s="32"/>
      <c r="U806" s="32"/>
    </row>
    <row r="807" spans="2:21" s="51" customFormat="1" ht="25.5" x14ac:dyDescent="0.2">
      <c r="B807" s="137" t="s">
        <v>73</v>
      </c>
      <c r="C807" s="53" t="s">
        <v>681</v>
      </c>
      <c r="D807" s="410">
        <v>3</v>
      </c>
      <c r="E807" s="410">
        <v>10</v>
      </c>
      <c r="F807" s="54" t="s">
        <v>507</v>
      </c>
      <c r="G807" s="60" t="s">
        <v>70</v>
      </c>
      <c r="H807" s="52">
        <v>1400</v>
      </c>
      <c r="I807" s="52">
        <v>1400</v>
      </c>
      <c r="J807" s="300">
        <f t="shared" si="229"/>
        <v>0</v>
      </c>
      <c r="K807" s="52">
        <v>1400</v>
      </c>
      <c r="L807" s="52">
        <v>1400</v>
      </c>
      <c r="M807" s="300">
        <f t="shared" si="234"/>
        <v>0</v>
      </c>
      <c r="N807" s="52">
        <v>1400</v>
      </c>
      <c r="O807" s="300">
        <f t="shared" si="230"/>
        <v>0</v>
      </c>
      <c r="P807" s="52">
        <v>1400</v>
      </c>
      <c r="Q807" s="52">
        <v>1400</v>
      </c>
      <c r="R807" s="333">
        <f t="shared" si="232"/>
        <v>0</v>
      </c>
      <c r="S807" s="32"/>
      <c r="T807" s="32"/>
      <c r="U807" s="32"/>
    </row>
    <row r="808" spans="2:21" s="51" customFormat="1" x14ac:dyDescent="0.2">
      <c r="B808" s="90" t="s">
        <v>410</v>
      </c>
      <c r="C808" s="48" t="s">
        <v>681</v>
      </c>
      <c r="D808" s="48" t="s">
        <v>59</v>
      </c>
      <c r="E808" s="48"/>
      <c r="F808" s="54"/>
      <c r="G808" s="53"/>
      <c r="H808" s="44">
        <f t="shared" ref="H808:Q808" si="237">H809</f>
        <v>3342</v>
      </c>
      <c r="I808" s="44">
        <f t="shared" si="237"/>
        <v>3533</v>
      </c>
      <c r="J808" s="300">
        <f t="shared" si="229"/>
        <v>191</v>
      </c>
      <c r="K808" s="44">
        <f t="shared" si="237"/>
        <v>3203.6</v>
      </c>
      <c r="L808" s="44">
        <f t="shared" si="237"/>
        <v>5869.7</v>
      </c>
      <c r="M808" s="300">
        <f t="shared" si="234"/>
        <v>2336.6999999999998</v>
      </c>
      <c r="N808" s="44">
        <f t="shared" si="237"/>
        <v>3203.6</v>
      </c>
      <c r="O808" s="300">
        <f t="shared" si="230"/>
        <v>0</v>
      </c>
      <c r="P808" s="44">
        <f t="shared" si="237"/>
        <v>3240.8</v>
      </c>
      <c r="Q808" s="44">
        <f t="shared" si="237"/>
        <v>3240.8</v>
      </c>
      <c r="R808" s="333">
        <f t="shared" si="232"/>
        <v>0</v>
      </c>
      <c r="S808" s="32"/>
      <c r="T808" s="32"/>
      <c r="U808" s="32"/>
    </row>
    <row r="809" spans="2:21" s="51" customFormat="1" x14ac:dyDescent="0.2">
      <c r="B809" s="50" t="s">
        <v>353</v>
      </c>
      <c r="C809" s="48" t="s">
        <v>681</v>
      </c>
      <c r="D809" s="48" t="s">
        <v>59</v>
      </c>
      <c r="E809" s="48" t="s">
        <v>111</v>
      </c>
      <c r="F809" s="54"/>
      <c r="G809" s="53"/>
      <c r="H809" s="44">
        <f>H810+H825</f>
        <v>3342</v>
      </c>
      <c r="I809" s="44">
        <f>I810+I825</f>
        <v>3533</v>
      </c>
      <c r="J809" s="300">
        <f t="shared" si="229"/>
        <v>191</v>
      </c>
      <c r="K809" s="44">
        <f>K810+K825</f>
        <v>3203.6</v>
      </c>
      <c r="L809" s="44">
        <f>L810+L825</f>
        <v>5869.7</v>
      </c>
      <c r="M809" s="300">
        <f t="shared" si="234"/>
        <v>2336.6999999999998</v>
      </c>
      <c r="N809" s="44">
        <f>N810+N825</f>
        <v>3203.6</v>
      </c>
      <c r="O809" s="300">
        <f t="shared" si="230"/>
        <v>0</v>
      </c>
      <c r="P809" s="44">
        <f>P810+P825</f>
        <v>3240.8</v>
      </c>
      <c r="Q809" s="44">
        <f>Q810+Q825</f>
        <v>3240.8</v>
      </c>
      <c r="R809" s="333">
        <f t="shared" si="232"/>
        <v>0</v>
      </c>
      <c r="S809" s="32"/>
      <c r="T809" s="32"/>
      <c r="U809" s="32"/>
    </row>
    <row r="810" spans="2:21" s="51" customFormat="1" ht="25.5" x14ac:dyDescent="0.2">
      <c r="B810" s="56" t="s">
        <v>352</v>
      </c>
      <c r="C810" s="53" t="s">
        <v>681</v>
      </c>
      <c r="D810" s="53" t="s">
        <v>59</v>
      </c>
      <c r="E810" s="53" t="s">
        <v>111</v>
      </c>
      <c r="F810" s="54" t="s">
        <v>351</v>
      </c>
      <c r="G810" s="53"/>
      <c r="H810" s="52">
        <f>H815</f>
        <v>3342</v>
      </c>
      <c r="I810" s="52">
        <f>+I811+I815</f>
        <v>3333</v>
      </c>
      <c r="J810" s="52">
        <f t="shared" ref="J810:Q810" si="238">+J811+J815</f>
        <v>-9</v>
      </c>
      <c r="K810" s="52">
        <f t="shared" si="238"/>
        <v>3203.6</v>
      </c>
      <c r="L810" s="52">
        <f t="shared" si="238"/>
        <v>5669.7</v>
      </c>
      <c r="M810" s="300">
        <f t="shared" si="234"/>
        <v>2336.6999999999998</v>
      </c>
      <c r="N810" s="52">
        <f t="shared" si="238"/>
        <v>3203.6</v>
      </c>
      <c r="O810" s="52">
        <f t="shared" si="238"/>
        <v>0</v>
      </c>
      <c r="P810" s="52">
        <f t="shared" si="238"/>
        <v>3240.8</v>
      </c>
      <c r="Q810" s="52">
        <f t="shared" si="238"/>
        <v>3240.8</v>
      </c>
      <c r="R810" s="333">
        <f t="shared" si="232"/>
        <v>0</v>
      </c>
      <c r="S810" s="32"/>
      <c r="T810" s="32"/>
      <c r="U810" s="32"/>
    </row>
    <row r="811" spans="2:21" s="47" customFormat="1" x14ac:dyDescent="0.2">
      <c r="B811" s="95" t="s">
        <v>66</v>
      </c>
      <c r="C811" s="53" t="s">
        <v>669</v>
      </c>
      <c r="D811" s="53" t="s">
        <v>59</v>
      </c>
      <c r="E811" s="53" t="s">
        <v>111</v>
      </c>
      <c r="F811" s="54" t="s">
        <v>343</v>
      </c>
      <c r="G811" s="53"/>
      <c r="H811" s="52">
        <f>H812+H817+H820</f>
        <v>11598</v>
      </c>
      <c r="I811" s="52">
        <f>I812</f>
        <v>0</v>
      </c>
      <c r="J811" s="52">
        <f t="shared" ref="J811:Q811" si="239">J812</f>
        <v>0</v>
      </c>
      <c r="K811" s="52">
        <f t="shared" si="239"/>
        <v>0</v>
      </c>
      <c r="L811" s="52">
        <f t="shared" si="239"/>
        <v>2136.6999999999998</v>
      </c>
      <c r="M811" s="300">
        <f t="shared" si="234"/>
        <v>2136.6999999999998</v>
      </c>
      <c r="N811" s="52">
        <f t="shared" si="239"/>
        <v>0</v>
      </c>
      <c r="O811" s="52">
        <f t="shared" si="239"/>
        <v>0</v>
      </c>
      <c r="P811" s="52">
        <f t="shared" si="239"/>
        <v>0</v>
      </c>
      <c r="Q811" s="52">
        <f t="shared" si="239"/>
        <v>0</v>
      </c>
      <c r="R811" s="333">
        <f t="shared" si="232"/>
        <v>0</v>
      </c>
      <c r="S811" s="43"/>
      <c r="T811" s="43"/>
      <c r="U811" s="43"/>
    </row>
    <row r="812" spans="2:21" s="47" customFormat="1" ht="25.5" x14ac:dyDescent="0.2">
      <c r="B812" s="95" t="s">
        <v>332</v>
      </c>
      <c r="C812" s="53" t="s">
        <v>681</v>
      </c>
      <c r="D812" s="53" t="s">
        <v>59</v>
      </c>
      <c r="E812" s="53" t="s">
        <v>111</v>
      </c>
      <c r="F812" s="54" t="s">
        <v>331</v>
      </c>
      <c r="G812" s="53"/>
      <c r="H812" s="52">
        <f>H815+H823+H817+H819+H821</f>
        <v>9016</v>
      </c>
      <c r="I812" s="52">
        <f>I813</f>
        <v>0</v>
      </c>
      <c r="J812" s="52">
        <f t="shared" ref="J812:Q812" si="240">J813</f>
        <v>0</v>
      </c>
      <c r="K812" s="52">
        <f t="shared" si="240"/>
        <v>0</v>
      </c>
      <c r="L812" s="52">
        <f t="shared" si="240"/>
        <v>2136.6999999999998</v>
      </c>
      <c r="M812" s="300">
        <f t="shared" si="234"/>
        <v>2136.6999999999998</v>
      </c>
      <c r="N812" s="52">
        <f t="shared" si="240"/>
        <v>0</v>
      </c>
      <c r="O812" s="52">
        <f t="shared" si="240"/>
        <v>0</v>
      </c>
      <c r="P812" s="52">
        <f t="shared" si="240"/>
        <v>0</v>
      </c>
      <c r="Q812" s="52">
        <f t="shared" si="240"/>
        <v>0</v>
      </c>
      <c r="R812" s="333">
        <f t="shared" si="232"/>
        <v>0</v>
      </c>
      <c r="S812" s="43"/>
      <c r="T812" s="43"/>
      <c r="U812" s="43"/>
    </row>
    <row r="813" spans="2:21" s="47" customFormat="1" x14ac:dyDescent="0.2">
      <c r="B813" s="337" t="s">
        <v>1109</v>
      </c>
      <c r="C813" s="53" t="s">
        <v>681</v>
      </c>
      <c r="D813" s="53" t="s">
        <v>59</v>
      </c>
      <c r="E813" s="53" t="s">
        <v>111</v>
      </c>
      <c r="F813" s="54" t="s">
        <v>1110</v>
      </c>
      <c r="G813" s="60"/>
      <c r="H813" s="52"/>
      <c r="I813" s="52">
        <f>I814</f>
        <v>0</v>
      </c>
      <c r="J813" s="52">
        <f t="shared" ref="J813:Q813" si="241">J814</f>
        <v>0</v>
      </c>
      <c r="K813" s="52">
        <f t="shared" si="241"/>
        <v>0</v>
      </c>
      <c r="L813" s="52">
        <f t="shared" si="241"/>
        <v>2136.6999999999998</v>
      </c>
      <c r="M813" s="300">
        <f t="shared" si="234"/>
        <v>2136.6999999999998</v>
      </c>
      <c r="N813" s="52">
        <f t="shared" si="241"/>
        <v>0</v>
      </c>
      <c r="O813" s="52">
        <f t="shared" si="241"/>
        <v>0</v>
      </c>
      <c r="P813" s="52">
        <f t="shared" si="241"/>
        <v>0</v>
      </c>
      <c r="Q813" s="52">
        <f t="shared" si="241"/>
        <v>0</v>
      </c>
      <c r="R813" s="333"/>
      <c r="S813" s="43"/>
      <c r="T813" s="43"/>
      <c r="U813" s="43"/>
    </row>
    <row r="814" spans="2:21" s="47" customFormat="1" ht="25.5" x14ac:dyDescent="0.2">
      <c r="B814" s="230" t="s">
        <v>73</v>
      </c>
      <c r="C814" s="53" t="s">
        <v>681</v>
      </c>
      <c r="D814" s="53" t="s">
        <v>59</v>
      </c>
      <c r="E814" s="53" t="s">
        <v>111</v>
      </c>
      <c r="F814" s="54" t="s">
        <v>1110</v>
      </c>
      <c r="G814" s="60" t="s">
        <v>70</v>
      </c>
      <c r="H814" s="52"/>
      <c r="I814" s="52">
        <v>0</v>
      </c>
      <c r="J814" s="315"/>
      <c r="K814" s="52"/>
      <c r="L814" s="52">
        <f>1923+213.7</f>
        <v>2136.6999999999998</v>
      </c>
      <c r="M814" s="300">
        <f t="shared" si="234"/>
        <v>2136.6999999999998</v>
      </c>
      <c r="N814" s="52">
        <v>0</v>
      </c>
      <c r="O814" s="320"/>
      <c r="P814" s="65"/>
      <c r="Q814" s="52">
        <v>0</v>
      </c>
      <c r="R814" s="333"/>
      <c r="S814" s="43"/>
      <c r="T814" s="43"/>
      <c r="U814" s="43"/>
    </row>
    <row r="815" spans="2:21" s="51" customFormat="1" x14ac:dyDescent="0.2">
      <c r="B815" s="62" t="s">
        <v>52</v>
      </c>
      <c r="C815" s="53" t="s">
        <v>681</v>
      </c>
      <c r="D815" s="53" t="s">
        <v>59</v>
      </c>
      <c r="E815" s="53" t="s">
        <v>111</v>
      </c>
      <c r="F815" s="54" t="s">
        <v>326</v>
      </c>
      <c r="G815" s="53"/>
      <c r="H815" s="52">
        <f>H816+H819+H822</f>
        <v>3342</v>
      </c>
      <c r="I815" s="52">
        <f>I816+I819+I822</f>
        <v>3333</v>
      </c>
      <c r="J815" s="300">
        <f t="shared" si="229"/>
        <v>-9</v>
      </c>
      <c r="K815" s="52">
        <f>K816+K819+K822</f>
        <v>3203.6</v>
      </c>
      <c r="L815" s="52">
        <f>L816+L819+L822</f>
        <v>3533</v>
      </c>
      <c r="M815" s="300">
        <f t="shared" si="234"/>
        <v>200</v>
      </c>
      <c r="N815" s="52">
        <f>N816+N819+N822</f>
        <v>3203.6</v>
      </c>
      <c r="O815" s="300">
        <f t="shared" si="230"/>
        <v>0</v>
      </c>
      <c r="P815" s="52">
        <f>P816+P819+P822</f>
        <v>3240.8</v>
      </c>
      <c r="Q815" s="52">
        <f>Q816+Q819+Q822</f>
        <v>3240.8</v>
      </c>
      <c r="R815" s="333">
        <f t="shared" si="232"/>
        <v>0</v>
      </c>
      <c r="S815" s="32"/>
      <c r="T815" s="32"/>
      <c r="U815" s="32"/>
    </row>
    <row r="816" spans="2:21" s="51" customFormat="1" ht="15.75" customHeight="1" x14ac:dyDescent="0.2">
      <c r="B816" s="64" t="s">
        <v>325</v>
      </c>
      <c r="C816" s="53" t="s">
        <v>681</v>
      </c>
      <c r="D816" s="53" t="s">
        <v>59</v>
      </c>
      <c r="E816" s="53" t="s">
        <v>111</v>
      </c>
      <c r="F816" s="54" t="s">
        <v>324</v>
      </c>
      <c r="G816" s="53"/>
      <c r="H816" s="52">
        <f>H817</f>
        <v>250</v>
      </c>
      <c r="I816" s="52">
        <f>I817</f>
        <v>250</v>
      </c>
      <c r="J816" s="300">
        <f t="shared" si="229"/>
        <v>0</v>
      </c>
      <c r="K816" s="52">
        <f t="shared" ref="K816:Q816" si="242">K817</f>
        <v>250</v>
      </c>
      <c r="L816" s="52">
        <f>L817</f>
        <v>250</v>
      </c>
      <c r="M816" s="300">
        <f t="shared" si="234"/>
        <v>0</v>
      </c>
      <c r="N816" s="52">
        <f t="shared" si="242"/>
        <v>250</v>
      </c>
      <c r="O816" s="300">
        <f t="shared" si="230"/>
        <v>0</v>
      </c>
      <c r="P816" s="52">
        <f t="shared" si="242"/>
        <v>250</v>
      </c>
      <c r="Q816" s="52">
        <f t="shared" si="242"/>
        <v>250</v>
      </c>
      <c r="R816" s="333">
        <f t="shared" si="232"/>
        <v>0</v>
      </c>
      <c r="S816" s="32"/>
      <c r="T816" s="32"/>
      <c r="U816" s="32"/>
    </row>
    <row r="817" spans="2:21" s="51" customFormat="1" x14ac:dyDescent="0.2">
      <c r="B817" s="84" t="s">
        <v>319</v>
      </c>
      <c r="C817" s="53" t="s">
        <v>681</v>
      </c>
      <c r="D817" s="53" t="s">
        <v>59</v>
      </c>
      <c r="E817" s="53" t="s">
        <v>111</v>
      </c>
      <c r="F817" s="54" t="s">
        <v>318</v>
      </c>
      <c r="G817" s="53"/>
      <c r="H817" s="52">
        <f>H818</f>
        <v>250</v>
      </c>
      <c r="I817" s="52">
        <f>I818</f>
        <v>250</v>
      </c>
      <c r="J817" s="300">
        <f t="shared" si="229"/>
        <v>0</v>
      </c>
      <c r="K817" s="52">
        <f>K818</f>
        <v>250</v>
      </c>
      <c r="L817" s="52">
        <f>L818</f>
        <v>250</v>
      </c>
      <c r="M817" s="300">
        <f t="shared" si="234"/>
        <v>0</v>
      </c>
      <c r="N817" s="52">
        <f>N818</f>
        <v>250</v>
      </c>
      <c r="O817" s="300">
        <f t="shared" si="230"/>
        <v>0</v>
      </c>
      <c r="P817" s="52">
        <f>P818</f>
        <v>250</v>
      </c>
      <c r="Q817" s="52">
        <f>Q818</f>
        <v>250</v>
      </c>
      <c r="R817" s="333">
        <f t="shared" si="232"/>
        <v>0</v>
      </c>
      <c r="S817" s="32"/>
      <c r="T817" s="32"/>
      <c r="U817" s="32"/>
    </row>
    <row r="818" spans="2:21" s="51" customFormat="1" ht="25.5" x14ac:dyDescent="0.2">
      <c r="B818" s="84" t="s">
        <v>73</v>
      </c>
      <c r="C818" s="53" t="s">
        <v>681</v>
      </c>
      <c r="D818" s="53" t="s">
        <v>59</v>
      </c>
      <c r="E818" s="53" t="s">
        <v>111</v>
      </c>
      <c r="F818" s="54" t="s">
        <v>318</v>
      </c>
      <c r="G818" s="53" t="s">
        <v>70</v>
      </c>
      <c r="H818" s="52">
        <v>250</v>
      </c>
      <c r="I818" s="52">
        <v>250</v>
      </c>
      <c r="J818" s="300">
        <f t="shared" si="229"/>
        <v>0</v>
      </c>
      <c r="K818" s="52">
        <v>250</v>
      </c>
      <c r="L818" s="52">
        <v>250</v>
      </c>
      <c r="M818" s="300">
        <f t="shared" si="234"/>
        <v>0</v>
      </c>
      <c r="N818" s="52">
        <v>250</v>
      </c>
      <c r="O818" s="300">
        <f t="shared" si="230"/>
        <v>0</v>
      </c>
      <c r="P818" s="52">
        <v>250</v>
      </c>
      <c r="Q818" s="52">
        <v>250</v>
      </c>
      <c r="R818" s="333">
        <f t="shared" si="232"/>
        <v>0</v>
      </c>
      <c r="S818" s="32"/>
      <c r="T818" s="32"/>
      <c r="U818" s="32"/>
    </row>
    <row r="819" spans="2:21" s="51" customFormat="1" ht="25.5" x14ac:dyDescent="0.2">
      <c r="B819" s="95" t="s">
        <v>317</v>
      </c>
      <c r="C819" s="53" t="s">
        <v>681</v>
      </c>
      <c r="D819" s="53" t="s">
        <v>59</v>
      </c>
      <c r="E819" s="53" t="s">
        <v>111</v>
      </c>
      <c r="F819" s="54" t="s">
        <v>316</v>
      </c>
      <c r="G819" s="53"/>
      <c r="H819" s="52">
        <f t="shared" ref="H819:Q820" si="243">H820</f>
        <v>2332</v>
      </c>
      <c r="I819" s="52">
        <f t="shared" si="243"/>
        <v>2323</v>
      </c>
      <c r="J819" s="300">
        <f t="shared" si="229"/>
        <v>-9</v>
      </c>
      <c r="K819" s="52">
        <f t="shared" si="243"/>
        <v>2193.6</v>
      </c>
      <c r="L819" s="52">
        <f t="shared" si="243"/>
        <v>2323</v>
      </c>
      <c r="M819" s="300">
        <f t="shared" si="234"/>
        <v>0</v>
      </c>
      <c r="N819" s="52">
        <f t="shared" si="243"/>
        <v>2193.6</v>
      </c>
      <c r="O819" s="300">
        <f t="shared" si="230"/>
        <v>0</v>
      </c>
      <c r="P819" s="52">
        <f t="shared" si="243"/>
        <v>2230.8000000000002</v>
      </c>
      <c r="Q819" s="52">
        <f t="shared" si="243"/>
        <v>2230.8000000000002</v>
      </c>
      <c r="R819" s="333">
        <f t="shared" si="232"/>
        <v>0</v>
      </c>
      <c r="S819" s="32"/>
      <c r="T819" s="32"/>
      <c r="U819" s="32"/>
    </row>
    <row r="820" spans="2:21" s="51" customFormat="1" x14ac:dyDescent="0.2">
      <c r="B820" s="84" t="s">
        <v>315</v>
      </c>
      <c r="C820" s="53" t="s">
        <v>681</v>
      </c>
      <c r="D820" s="53" t="s">
        <v>59</v>
      </c>
      <c r="E820" s="53" t="s">
        <v>111</v>
      </c>
      <c r="F820" s="54" t="s">
        <v>314</v>
      </c>
      <c r="G820" s="53"/>
      <c r="H820" s="52">
        <f t="shared" si="243"/>
        <v>2332</v>
      </c>
      <c r="I820" s="52">
        <f t="shared" si="243"/>
        <v>2323</v>
      </c>
      <c r="J820" s="300">
        <f t="shared" si="229"/>
        <v>-9</v>
      </c>
      <c r="K820" s="52">
        <f t="shared" si="243"/>
        <v>2193.6</v>
      </c>
      <c r="L820" s="52">
        <f t="shared" si="243"/>
        <v>2323</v>
      </c>
      <c r="M820" s="300">
        <f t="shared" si="234"/>
        <v>0</v>
      </c>
      <c r="N820" s="52">
        <f t="shared" si="243"/>
        <v>2193.6</v>
      </c>
      <c r="O820" s="300">
        <f t="shared" si="230"/>
        <v>0</v>
      </c>
      <c r="P820" s="52">
        <f t="shared" si="243"/>
        <v>2230.8000000000002</v>
      </c>
      <c r="Q820" s="52">
        <f t="shared" si="243"/>
        <v>2230.8000000000002</v>
      </c>
      <c r="R820" s="333">
        <f t="shared" si="232"/>
        <v>0</v>
      </c>
      <c r="S820" s="32"/>
      <c r="T820" s="32"/>
      <c r="U820" s="32"/>
    </row>
    <row r="821" spans="2:21" s="51" customFormat="1" ht="25.5" x14ac:dyDescent="0.2">
      <c r="B821" s="84" t="s">
        <v>73</v>
      </c>
      <c r="C821" s="53" t="s">
        <v>681</v>
      </c>
      <c r="D821" s="53" t="s">
        <v>59</v>
      </c>
      <c r="E821" s="53" t="s">
        <v>111</v>
      </c>
      <c r="F821" s="54" t="s">
        <v>314</v>
      </c>
      <c r="G821" s="53" t="s">
        <v>70</v>
      </c>
      <c r="H821" s="52">
        <f>2332</f>
        <v>2332</v>
      </c>
      <c r="I821" s="52">
        <f>2332-9</f>
        <v>2323</v>
      </c>
      <c r="J821" s="300">
        <f t="shared" si="229"/>
        <v>-9</v>
      </c>
      <c r="K821" s="52">
        <f>2332-138.4</f>
        <v>2193.6</v>
      </c>
      <c r="L821" s="52">
        <f>2332-9</f>
        <v>2323</v>
      </c>
      <c r="M821" s="300">
        <f t="shared" si="234"/>
        <v>0</v>
      </c>
      <c r="N821" s="52">
        <f>2332-138.4</f>
        <v>2193.6</v>
      </c>
      <c r="O821" s="300">
        <f t="shared" si="230"/>
        <v>0</v>
      </c>
      <c r="P821" s="52">
        <f>2332-101.2</f>
        <v>2230.8000000000002</v>
      </c>
      <c r="Q821" s="52">
        <f>2332-101.2</f>
        <v>2230.8000000000002</v>
      </c>
      <c r="R821" s="333">
        <f t="shared" si="232"/>
        <v>0</v>
      </c>
      <c r="S821" s="32"/>
      <c r="T821" s="32"/>
      <c r="U821" s="32"/>
    </row>
    <row r="822" spans="2:21" s="51" customFormat="1" ht="25.5" x14ac:dyDescent="0.2">
      <c r="B822" s="56" t="s">
        <v>313</v>
      </c>
      <c r="C822" s="53" t="s">
        <v>681</v>
      </c>
      <c r="D822" s="53" t="s">
        <v>59</v>
      </c>
      <c r="E822" s="53" t="s">
        <v>111</v>
      </c>
      <c r="F822" s="54" t="s">
        <v>312</v>
      </c>
      <c r="G822" s="53"/>
      <c r="H822" s="52">
        <f t="shared" ref="H822:Q823" si="244">H823</f>
        <v>760</v>
      </c>
      <c r="I822" s="52">
        <f t="shared" si="244"/>
        <v>760</v>
      </c>
      <c r="J822" s="300">
        <f t="shared" si="229"/>
        <v>0</v>
      </c>
      <c r="K822" s="52">
        <f t="shared" si="244"/>
        <v>760</v>
      </c>
      <c r="L822" s="52">
        <f t="shared" si="244"/>
        <v>960</v>
      </c>
      <c r="M822" s="300">
        <f t="shared" si="234"/>
        <v>200</v>
      </c>
      <c r="N822" s="52">
        <f t="shared" si="244"/>
        <v>760</v>
      </c>
      <c r="O822" s="300">
        <f t="shared" si="230"/>
        <v>0</v>
      </c>
      <c r="P822" s="52">
        <f t="shared" si="244"/>
        <v>760</v>
      </c>
      <c r="Q822" s="52">
        <f t="shared" si="244"/>
        <v>760</v>
      </c>
      <c r="R822" s="333">
        <f t="shared" si="232"/>
        <v>0</v>
      </c>
      <c r="S822" s="32"/>
      <c r="T822" s="32"/>
      <c r="U822" s="32"/>
    </row>
    <row r="823" spans="2:21" s="51" customFormat="1" x14ac:dyDescent="0.2">
      <c r="B823" s="84" t="s">
        <v>311</v>
      </c>
      <c r="C823" s="53" t="s">
        <v>681</v>
      </c>
      <c r="D823" s="53" t="s">
        <v>59</v>
      </c>
      <c r="E823" s="53" t="s">
        <v>111</v>
      </c>
      <c r="F823" s="54" t="s">
        <v>310</v>
      </c>
      <c r="G823" s="53"/>
      <c r="H823" s="52">
        <f t="shared" si="244"/>
        <v>760</v>
      </c>
      <c r="I823" s="52">
        <f t="shared" si="244"/>
        <v>760</v>
      </c>
      <c r="J823" s="300">
        <f t="shared" si="229"/>
        <v>0</v>
      </c>
      <c r="K823" s="52">
        <f t="shared" si="244"/>
        <v>760</v>
      </c>
      <c r="L823" s="52">
        <f t="shared" si="244"/>
        <v>960</v>
      </c>
      <c r="M823" s="300">
        <f t="shared" si="234"/>
        <v>200</v>
      </c>
      <c r="N823" s="52">
        <f t="shared" si="244"/>
        <v>760</v>
      </c>
      <c r="O823" s="300">
        <f t="shared" si="230"/>
        <v>0</v>
      </c>
      <c r="P823" s="52">
        <f t="shared" si="244"/>
        <v>760</v>
      </c>
      <c r="Q823" s="52">
        <f t="shared" si="244"/>
        <v>760</v>
      </c>
      <c r="R823" s="333">
        <f t="shared" si="232"/>
        <v>0</v>
      </c>
      <c r="S823" s="32"/>
      <c r="T823" s="32"/>
      <c r="U823" s="32"/>
    </row>
    <row r="824" spans="2:21" s="51" customFormat="1" ht="25.5" x14ac:dyDescent="0.2">
      <c r="B824" s="84" t="s">
        <v>73</v>
      </c>
      <c r="C824" s="53" t="s">
        <v>681</v>
      </c>
      <c r="D824" s="53" t="s">
        <v>59</v>
      </c>
      <c r="E824" s="53" t="s">
        <v>111</v>
      </c>
      <c r="F824" s="54" t="s">
        <v>310</v>
      </c>
      <c r="G824" s="53" t="s">
        <v>70</v>
      </c>
      <c r="H824" s="52">
        <v>760</v>
      </c>
      <c r="I824" s="52">
        <v>760</v>
      </c>
      <c r="J824" s="300">
        <f t="shared" si="229"/>
        <v>0</v>
      </c>
      <c r="K824" s="52">
        <v>760</v>
      </c>
      <c r="L824" s="52">
        <f>760+200</f>
        <v>960</v>
      </c>
      <c r="M824" s="300">
        <f t="shared" si="234"/>
        <v>200</v>
      </c>
      <c r="N824" s="52">
        <v>760</v>
      </c>
      <c r="O824" s="300">
        <f t="shared" si="230"/>
        <v>0</v>
      </c>
      <c r="P824" s="52">
        <v>760</v>
      </c>
      <c r="Q824" s="52">
        <v>760</v>
      </c>
      <c r="R824" s="333">
        <f t="shared" si="232"/>
        <v>0</v>
      </c>
      <c r="S824" s="32"/>
      <c r="T824" s="32"/>
      <c r="U824" s="32"/>
    </row>
    <row r="825" spans="2:21" s="51" customFormat="1" ht="25.5" x14ac:dyDescent="0.2">
      <c r="B825" s="84" t="s">
        <v>54</v>
      </c>
      <c r="C825" s="53" t="s">
        <v>681</v>
      </c>
      <c r="D825" s="53" t="s">
        <v>59</v>
      </c>
      <c r="E825" s="53" t="s">
        <v>111</v>
      </c>
      <c r="F825" s="54" t="s">
        <v>53</v>
      </c>
      <c r="G825" s="53"/>
      <c r="H825" s="52">
        <f>H826</f>
        <v>0</v>
      </c>
      <c r="I825" s="52">
        <f t="shared" ref="I825:Q828" si="245">I826</f>
        <v>200</v>
      </c>
      <c r="J825" s="300">
        <f t="shared" si="229"/>
        <v>200</v>
      </c>
      <c r="K825" s="52">
        <f t="shared" si="245"/>
        <v>0</v>
      </c>
      <c r="L825" s="52">
        <f t="shared" si="245"/>
        <v>200</v>
      </c>
      <c r="M825" s="300">
        <f t="shared" si="234"/>
        <v>0</v>
      </c>
      <c r="N825" s="52">
        <f t="shared" si="245"/>
        <v>0</v>
      </c>
      <c r="O825" s="300">
        <f t="shared" si="230"/>
        <v>0</v>
      </c>
      <c r="P825" s="52">
        <f t="shared" si="245"/>
        <v>0</v>
      </c>
      <c r="Q825" s="52">
        <f t="shared" si="245"/>
        <v>0</v>
      </c>
      <c r="R825" s="333">
        <f t="shared" si="232"/>
        <v>0</v>
      </c>
      <c r="S825" s="32"/>
      <c r="T825" s="32"/>
      <c r="U825" s="32"/>
    </row>
    <row r="826" spans="2:21" s="51" customFormat="1" x14ac:dyDescent="0.2">
      <c r="B826" s="126" t="s">
        <v>66</v>
      </c>
      <c r="C826" s="53" t="s">
        <v>681</v>
      </c>
      <c r="D826" s="53" t="s">
        <v>59</v>
      </c>
      <c r="E826" s="53" t="s">
        <v>111</v>
      </c>
      <c r="F826" s="54" t="s">
        <v>724</v>
      </c>
      <c r="G826" s="53"/>
      <c r="H826" s="52">
        <f>H827</f>
        <v>0</v>
      </c>
      <c r="I826" s="52">
        <f t="shared" si="245"/>
        <v>200</v>
      </c>
      <c r="J826" s="300">
        <f t="shared" si="229"/>
        <v>200</v>
      </c>
      <c r="K826" s="52">
        <f t="shared" si="245"/>
        <v>0</v>
      </c>
      <c r="L826" s="52">
        <f t="shared" si="245"/>
        <v>200</v>
      </c>
      <c r="M826" s="300">
        <f t="shared" si="234"/>
        <v>0</v>
      </c>
      <c r="N826" s="52">
        <f t="shared" si="245"/>
        <v>0</v>
      </c>
      <c r="O826" s="300">
        <f t="shared" si="230"/>
        <v>0</v>
      </c>
      <c r="P826" s="52">
        <f t="shared" si="245"/>
        <v>0</v>
      </c>
      <c r="Q826" s="52">
        <f t="shared" si="245"/>
        <v>0</v>
      </c>
      <c r="R826" s="333">
        <f t="shared" si="232"/>
        <v>0</v>
      </c>
      <c r="S826" s="32"/>
      <c r="T826" s="32"/>
      <c r="U826" s="32"/>
    </row>
    <row r="827" spans="2:21" s="51" customFormat="1" ht="25.5" x14ac:dyDescent="0.2">
      <c r="B827" s="56" t="s">
        <v>725</v>
      </c>
      <c r="C827" s="53" t="s">
        <v>681</v>
      </c>
      <c r="D827" s="53" t="s">
        <v>59</v>
      </c>
      <c r="E827" s="53" t="s">
        <v>111</v>
      </c>
      <c r="F827" s="54" t="s">
        <v>726</v>
      </c>
      <c r="G827" s="53"/>
      <c r="H827" s="52">
        <f>H828</f>
        <v>0</v>
      </c>
      <c r="I827" s="52">
        <f t="shared" si="245"/>
        <v>200</v>
      </c>
      <c r="J827" s="300">
        <f t="shared" si="229"/>
        <v>200</v>
      </c>
      <c r="K827" s="52">
        <f t="shared" si="245"/>
        <v>0</v>
      </c>
      <c r="L827" s="52">
        <f t="shared" si="245"/>
        <v>200</v>
      </c>
      <c r="M827" s="300">
        <f t="shared" si="234"/>
        <v>0</v>
      </c>
      <c r="N827" s="52">
        <f t="shared" si="245"/>
        <v>0</v>
      </c>
      <c r="O827" s="300">
        <f t="shared" si="230"/>
        <v>0</v>
      </c>
      <c r="P827" s="52">
        <f t="shared" si="245"/>
        <v>0</v>
      </c>
      <c r="Q827" s="52">
        <f t="shared" si="245"/>
        <v>0</v>
      </c>
      <c r="R827" s="333">
        <f t="shared" si="232"/>
        <v>0</v>
      </c>
      <c r="S827" s="32"/>
      <c r="T827" s="32"/>
      <c r="U827" s="32"/>
    </row>
    <row r="828" spans="2:21" s="51" customFormat="1" ht="17.25" customHeight="1" x14ac:dyDescent="0.2">
      <c r="B828" s="56" t="s">
        <v>727</v>
      </c>
      <c r="C828" s="53" t="s">
        <v>681</v>
      </c>
      <c r="D828" s="53" t="s">
        <v>59</v>
      </c>
      <c r="E828" s="53" t="s">
        <v>111</v>
      </c>
      <c r="F828" s="54" t="s">
        <v>728</v>
      </c>
      <c r="G828" s="53"/>
      <c r="H828" s="52">
        <f>H829</f>
        <v>0</v>
      </c>
      <c r="I828" s="52">
        <f t="shared" si="245"/>
        <v>200</v>
      </c>
      <c r="J828" s="300">
        <f t="shared" si="229"/>
        <v>200</v>
      </c>
      <c r="K828" s="52">
        <f t="shared" si="245"/>
        <v>0</v>
      </c>
      <c r="L828" s="52">
        <f t="shared" si="245"/>
        <v>200</v>
      </c>
      <c r="M828" s="300">
        <f t="shared" si="234"/>
        <v>0</v>
      </c>
      <c r="N828" s="52">
        <f t="shared" si="245"/>
        <v>0</v>
      </c>
      <c r="O828" s="300">
        <f t="shared" si="230"/>
        <v>0</v>
      </c>
      <c r="P828" s="52">
        <f t="shared" si="245"/>
        <v>0</v>
      </c>
      <c r="Q828" s="52">
        <f t="shared" si="245"/>
        <v>0</v>
      </c>
      <c r="R828" s="333">
        <f t="shared" si="232"/>
        <v>0</v>
      </c>
      <c r="S828" s="32"/>
      <c r="T828" s="32"/>
      <c r="U828" s="32"/>
    </row>
    <row r="829" spans="2:21" s="51" customFormat="1" ht="25.5" x14ac:dyDescent="0.2">
      <c r="B829" s="56" t="s">
        <v>73</v>
      </c>
      <c r="C829" s="53" t="s">
        <v>681</v>
      </c>
      <c r="D829" s="53" t="s">
        <v>59</v>
      </c>
      <c r="E829" s="53" t="s">
        <v>111</v>
      </c>
      <c r="F829" s="54" t="s">
        <v>728</v>
      </c>
      <c r="G829" s="53" t="s">
        <v>70</v>
      </c>
      <c r="H829" s="52">
        <v>0</v>
      </c>
      <c r="I829" s="52">
        <f>50+10+140</f>
        <v>200</v>
      </c>
      <c r="J829" s="300">
        <f t="shared" si="229"/>
        <v>200</v>
      </c>
      <c r="K829" s="52">
        <v>0</v>
      </c>
      <c r="L829" s="52">
        <f>50+10+140</f>
        <v>200</v>
      </c>
      <c r="M829" s="300">
        <f t="shared" si="234"/>
        <v>0</v>
      </c>
      <c r="N829" s="52">
        <v>0</v>
      </c>
      <c r="O829" s="300">
        <f t="shared" si="230"/>
        <v>0</v>
      </c>
      <c r="P829" s="52">
        <v>0</v>
      </c>
      <c r="Q829" s="52">
        <v>0</v>
      </c>
      <c r="R829" s="333">
        <f t="shared" si="232"/>
        <v>0</v>
      </c>
      <c r="S829" s="32"/>
      <c r="T829" s="32"/>
      <c r="U829" s="32"/>
    </row>
    <row r="830" spans="2:21" s="51" customFormat="1" x14ac:dyDescent="0.2">
      <c r="B830" s="90" t="s">
        <v>302</v>
      </c>
      <c r="C830" s="48" t="s">
        <v>681</v>
      </c>
      <c r="D830" s="98" t="s">
        <v>96</v>
      </c>
      <c r="E830" s="98"/>
      <c r="F830" s="54"/>
      <c r="G830" s="53"/>
      <c r="H830" s="44">
        <f t="shared" ref="H830:Q831" si="246">H831</f>
        <v>6339.9</v>
      </c>
      <c r="I830" s="44">
        <f t="shared" si="246"/>
        <v>6339.9</v>
      </c>
      <c r="J830" s="300">
        <f t="shared" si="229"/>
        <v>0</v>
      </c>
      <c r="K830" s="44">
        <f t="shared" si="246"/>
        <v>4526.8999999999996</v>
      </c>
      <c r="L830" s="44">
        <f t="shared" si="246"/>
        <v>6339.9</v>
      </c>
      <c r="M830" s="300">
        <f t="shared" si="234"/>
        <v>0</v>
      </c>
      <c r="N830" s="44">
        <f t="shared" si="246"/>
        <v>3625.9</v>
      </c>
      <c r="O830" s="300">
        <f t="shared" si="230"/>
        <v>-900.99999999999955</v>
      </c>
      <c r="P830" s="44">
        <f t="shared" si="246"/>
        <v>4160</v>
      </c>
      <c r="Q830" s="44">
        <f t="shared" si="246"/>
        <v>3217</v>
      </c>
      <c r="R830" s="333">
        <f t="shared" si="232"/>
        <v>-943</v>
      </c>
      <c r="S830" s="32"/>
      <c r="T830" s="32"/>
      <c r="U830" s="32"/>
    </row>
    <row r="831" spans="2:21" s="51" customFormat="1" x14ac:dyDescent="0.2">
      <c r="B831" s="105" t="s">
        <v>301</v>
      </c>
      <c r="C831" s="48" t="s">
        <v>681</v>
      </c>
      <c r="D831" s="98" t="s">
        <v>96</v>
      </c>
      <c r="E831" s="98" t="s">
        <v>59</v>
      </c>
      <c r="F831" s="54"/>
      <c r="G831" s="53"/>
      <c r="H831" s="44">
        <f t="shared" si="246"/>
        <v>6339.9</v>
      </c>
      <c r="I831" s="44">
        <f t="shared" si="246"/>
        <v>6339.9</v>
      </c>
      <c r="J831" s="300">
        <f t="shared" si="229"/>
        <v>0</v>
      </c>
      <c r="K831" s="44">
        <f t="shared" si="246"/>
        <v>4526.8999999999996</v>
      </c>
      <c r="L831" s="44">
        <f t="shared" si="246"/>
        <v>6339.9</v>
      </c>
      <c r="M831" s="300">
        <f t="shared" si="234"/>
        <v>0</v>
      </c>
      <c r="N831" s="44">
        <f t="shared" si="246"/>
        <v>3625.9</v>
      </c>
      <c r="O831" s="300">
        <f t="shared" si="230"/>
        <v>-900.99999999999955</v>
      </c>
      <c r="P831" s="44">
        <f t="shared" si="246"/>
        <v>4160</v>
      </c>
      <c r="Q831" s="44">
        <f t="shared" si="246"/>
        <v>3217</v>
      </c>
      <c r="R831" s="333">
        <f t="shared" si="232"/>
        <v>-943</v>
      </c>
      <c r="S831" s="32"/>
      <c r="T831" s="32"/>
      <c r="U831" s="32"/>
    </row>
    <row r="832" spans="2:21" s="51" customFormat="1" ht="27.75" customHeight="1" x14ac:dyDescent="0.2">
      <c r="B832" s="69" t="s">
        <v>300</v>
      </c>
      <c r="C832" s="53" t="s">
        <v>681</v>
      </c>
      <c r="D832" s="118" t="s">
        <v>96</v>
      </c>
      <c r="E832" s="118" t="s">
        <v>59</v>
      </c>
      <c r="F832" s="54" t="s">
        <v>109</v>
      </c>
      <c r="G832" s="53"/>
      <c r="H832" s="52">
        <f>H841+H833</f>
        <v>6339.9</v>
      </c>
      <c r="I832" s="52">
        <f>I841+I833</f>
        <v>6339.9</v>
      </c>
      <c r="J832" s="300">
        <f t="shared" si="229"/>
        <v>0</v>
      </c>
      <c r="K832" s="52">
        <f>K841+K833</f>
        <v>4526.8999999999996</v>
      </c>
      <c r="L832" s="52">
        <f>L841+L833</f>
        <v>6339.9</v>
      </c>
      <c r="M832" s="300">
        <f t="shared" si="234"/>
        <v>0</v>
      </c>
      <c r="N832" s="52">
        <f>N841+N833</f>
        <v>3625.9</v>
      </c>
      <c r="O832" s="300">
        <f t="shared" si="230"/>
        <v>-900.99999999999955</v>
      </c>
      <c r="P832" s="52">
        <f>P841+P833</f>
        <v>4160</v>
      </c>
      <c r="Q832" s="52">
        <f>Q841+Q833</f>
        <v>3217</v>
      </c>
      <c r="R832" s="333">
        <f t="shared" si="232"/>
        <v>-943</v>
      </c>
      <c r="S832" s="32"/>
      <c r="T832" s="32"/>
      <c r="U832" s="32"/>
    </row>
    <row r="833" spans="2:21" s="51" customFormat="1" ht="18" customHeight="1" x14ac:dyDescent="0.2">
      <c r="B833" s="62" t="s">
        <v>66</v>
      </c>
      <c r="C833" s="53" t="s">
        <v>681</v>
      </c>
      <c r="D833" s="118" t="s">
        <v>96</v>
      </c>
      <c r="E833" s="118" t="s">
        <v>59</v>
      </c>
      <c r="F833" s="54" t="s">
        <v>299</v>
      </c>
      <c r="G833" s="53"/>
      <c r="H833" s="52">
        <f>H834</f>
        <v>4179.8999999999996</v>
      </c>
      <c r="I833" s="52">
        <f>I834</f>
        <v>4179.8999999999996</v>
      </c>
      <c r="J833" s="300">
        <f t="shared" si="229"/>
        <v>0</v>
      </c>
      <c r="K833" s="52">
        <f>K834</f>
        <v>2366.9</v>
      </c>
      <c r="L833" s="52">
        <f>L834</f>
        <v>4179.8999999999996</v>
      </c>
      <c r="M833" s="300">
        <f t="shared" si="234"/>
        <v>0</v>
      </c>
      <c r="N833" s="52">
        <f>N834</f>
        <v>1465.9</v>
      </c>
      <c r="O833" s="300">
        <f t="shared" si="230"/>
        <v>-901</v>
      </c>
      <c r="P833" s="52">
        <f>P834</f>
        <v>2000</v>
      </c>
      <c r="Q833" s="52">
        <f>Q834</f>
        <v>1057</v>
      </c>
      <c r="R833" s="333">
        <f t="shared" si="232"/>
        <v>-943</v>
      </c>
      <c r="S833" s="32"/>
      <c r="T833" s="32"/>
      <c r="U833" s="32"/>
    </row>
    <row r="834" spans="2:21" s="51" customFormat="1" ht="27.75" customHeight="1" x14ac:dyDescent="0.2">
      <c r="B834" s="56" t="s">
        <v>294</v>
      </c>
      <c r="C834" s="53" t="s">
        <v>681</v>
      </c>
      <c r="D834" s="118" t="s">
        <v>96</v>
      </c>
      <c r="E834" s="118" t="s">
        <v>59</v>
      </c>
      <c r="F834" s="54" t="s">
        <v>293</v>
      </c>
      <c r="G834" s="53"/>
      <c r="H834" s="52">
        <f>H837+H835+H839</f>
        <v>4179.8999999999996</v>
      </c>
      <c r="I834" s="52">
        <f>I837+I835+I839</f>
        <v>4179.8999999999996</v>
      </c>
      <c r="J834" s="300">
        <f t="shared" si="229"/>
        <v>0</v>
      </c>
      <c r="K834" s="52">
        <f>K837+K835+K839</f>
        <v>2366.9</v>
      </c>
      <c r="L834" s="52">
        <f>L837+L835+L839</f>
        <v>4179.8999999999996</v>
      </c>
      <c r="M834" s="300">
        <f t="shared" si="234"/>
        <v>0</v>
      </c>
      <c r="N834" s="52">
        <f>N837+N835+N839</f>
        <v>1465.9</v>
      </c>
      <c r="O834" s="300">
        <f t="shared" si="230"/>
        <v>-901</v>
      </c>
      <c r="P834" s="52">
        <f>P837+P835+P839</f>
        <v>2000</v>
      </c>
      <c r="Q834" s="52">
        <f>Q837+Q835+Q839</f>
        <v>1057</v>
      </c>
      <c r="R834" s="333">
        <f t="shared" si="232"/>
        <v>-943</v>
      </c>
      <c r="S834" s="32"/>
      <c r="T834" s="32"/>
      <c r="U834" s="32"/>
    </row>
    <row r="835" spans="2:21" s="51" customFormat="1" ht="15" customHeight="1" x14ac:dyDescent="0.2">
      <c r="B835" s="56" t="s">
        <v>292</v>
      </c>
      <c r="C835" s="53" t="s">
        <v>681</v>
      </c>
      <c r="D835" s="118" t="s">
        <v>96</v>
      </c>
      <c r="E835" s="118" t="s">
        <v>59</v>
      </c>
      <c r="F835" s="54" t="s">
        <v>291</v>
      </c>
      <c r="G835" s="53"/>
      <c r="H835" s="52">
        <f>H836</f>
        <v>2164.9</v>
      </c>
      <c r="I835" s="52">
        <f>I836</f>
        <v>2164.9</v>
      </c>
      <c r="J835" s="300">
        <f t="shared" si="229"/>
        <v>0</v>
      </c>
      <c r="K835" s="52">
        <f>K836</f>
        <v>1030.9000000000001</v>
      </c>
      <c r="L835" s="52">
        <f>L836</f>
        <v>2164.9</v>
      </c>
      <c r="M835" s="300">
        <f t="shared" si="234"/>
        <v>0</v>
      </c>
      <c r="N835" s="52">
        <f>N836</f>
        <v>1030.9000000000001</v>
      </c>
      <c r="O835" s="300">
        <f t="shared" si="230"/>
        <v>0</v>
      </c>
      <c r="P835" s="52">
        <f>P836</f>
        <v>0</v>
      </c>
      <c r="Q835" s="52">
        <f>Q836</f>
        <v>0</v>
      </c>
      <c r="R835" s="333">
        <f t="shared" si="232"/>
        <v>0</v>
      </c>
      <c r="S835" s="32"/>
      <c r="T835" s="32"/>
      <c r="U835" s="32"/>
    </row>
    <row r="836" spans="2:21" s="51" customFormat="1" ht="27.75" customHeight="1" x14ac:dyDescent="0.2">
      <c r="B836" s="56" t="s">
        <v>73</v>
      </c>
      <c r="C836" s="53" t="s">
        <v>681</v>
      </c>
      <c r="D836" s="118" t="s">
        <v>96</v>
      </c>
      <c r="E836" s="118" t="s">
        <v>59</v>
      </c>
      <c r="F836" s="54" t="s">
        <v>291</v>
      </c>
      <c r="G836" s="53" t="s">
        <v>70</v>
      </c>
      <c r="H836" s="52">
        <f>2100+64.9</f>
        <v>2164.9</v>
      </c>
      <c r="I836" s="52">
        <f>2100+64.9</f>
        <v>2164.9</v>
      </c>
      <c r="J836" s="300">
        <f t="shared" si="229"/>
        <v>0</v>
      </c>
      <c r="K836" s="52">
        <f>1000+30.9</f>
        <v>1030.9000000000001</v>
      </c>
      <c r="L836" s="52">
        <f>2100+64.9</f>
        <v>2164.9</v>
      </c>
      <c r="M836" s="300">
        <f t="shared" si="234"/>
        <v>0</v>
      </c>
      <c r="N836" s="52">
        <f>1000+30.9</f>
        <v>1030.9000000000001</v>
      </c>
      <c r="O836" s="300">
        <f t="shared" si="230"/>
        <v>0</v>
      </c>
      <c r="P836" s="52">
        <v>0</v>
      </c>
      <c r="Q836" s="52">
        <v>0</v>
      </c>
      <c r="R836" s="333">
        <f t="shared" si="232"/>
        <v>0</v>
      </c>
      <c r="S836" s="32"/>
      <c r="T836" s="32"/>
      <c r="U836" s="32"/>
    </row>
    <row r="837" spans="2:21" s="51" customFormat="1" ht="27.75" customHeight="1" x14ac:dyDescent="0.2">
      <c r="B837" s="56" t="s">
        <v>290</v>
      </c>
      <c r="C837" s="53" t="s">
        <v>681</v>
      </c>
      <c r="D837" s="118" t="s">
        <v>96</v>
      </c>
      <c r="E837" s="118" t="s">
        <v>59</v>
      </c>
      <c r="F837" s="54" t="s">
        <v>289</v>
      </c>
      <c r="G837" s="53"/>
      <c r="H837" s="52">
        <f>H838</f>
        <v>1532</v>
      </c>
      <c r="I837" s="52">
        <f>I838</f>
        <v>1532</v>
      </c>
      <c r="J837" s="300">
        <f t="shared" si="229"/>
        <v>0</v>
      </c>
      <c r="K837" s="52">
        <f>K838</f>
        <v>336</v>
      </c>
      <c r="L837" s="52">
        <f>L838</f>
        <v>1532</v>
      </c>
      <c r="M837" s="300">
        <f t="shared" si="234"/>
        <v>0</v>
      </c>
      <c r="N837" s="52">
        <f>N838</f>
        <v>336</v>
      </c>
      <c r="O837" s="300">
        <f t="shared" si="230"/>
        <v>0</v>
      </c>
      <c r="P837" s="52">
        <f>P838</f>
        <v>1000</v>
      </c>
      <c r="Q837" s="52">
        <f>Q838</f>
        <v>1000</v>
      </c>
      <c r="R837" s="333">
        <f t="shared" si="232"/>
        <v>0</v>
      </c>
      <c r="S837" s="32"/>
      <c r="T837" s="32"/>
      <c r="U837" s="32"/>
    </row>
    <row r="838" spans="2:21" s="51" customFormat="1" ht="27.75" customHeight="1" x14ac:dyDescent="0.2">
      <c r="B838" s="56" t="s">
        <v>73</v>
      </c>
      <c r="C838" s="53" t="s">
        <v>681</v>
      </c>
      <c r="D838" s="118" t="s">
        <v>96</v>
      </c>
      <c r="E838" s="118" t="s">
        <v>59</v>
      </c>
      <c r="F838" s="54" t="s">
        <v>289</v>
      </c>
      <c r="G838" s="53" t="s">
        <v>70</v>
      </c>
      <c r="H838" s="52">
        <f>4082+800+650-4000</f>
        <v>1532</v>
      </c>
      <c r="I838" s="52">
        <f>4082+800+650-4000</f>
        <v>1532</v>
      </c>
      <c r="J838" s="300">
        <f t="shared" si="229"/>
        <v>0</v>
      </c>
      <c r="K838" s="52">
        <f>1000-664</f>
        <v>336</v>
      </c>
      <c r="L838" s="52">
        <f>4082+800+650-4000</f>
        <v>1532</v>
      </c>
      <c r="M838" s="300">
        <f t="shared" si="234"/>
        <v>0</v>
      </c>
      <c r="N838" s="52">
        <f>1000-664</f>
        <v>336</v>
      </c>
      <c r="O838" s="300">
        <f t="shared" si="230"/>
        <v>0</v>
      </c>
      <c r="P838" s="52">
        <v>1000</v>
      </c>
      <c r="Q838" s="52">
        <v>1000</v>
      </c>
      <c r="R838" s="333">
        <f t="shared" si="232"/>
        <v>0</v>
      </c>
      <c r="S838" s="32"/>
      <c r="T838" s="32"/>
      <c r="U838" s="32"/>
    </row>
    <row r="839" spans="2:21" s="51" customFormat="1" ht="27.75" customHeight="1" x14ac:dyDescent="0.2">
      <c r="B839" s="56" t="s">
        <v>288</v>
      </c>
      <c r="C839" s="53" t="s">
        <v>681</v>
      </c>
      <c r="D839" s="118" t="s">
        <v>96</v>
      </c>
      <c r="E839" s="118" t="s">
        <v>59</v>
      </c>
      <c r="F839" s="54" t="s">
        <v>287</v>
      </c>
      <c r="G839" s="53"/>
      <c r="H839" s="52">
        <f>H840</f>
        <v>483</v>
      </c>
      <c r="I839" s="52">
        <f>I840</f>
        <v>483</v>
      </c>
      <c r="J839" s="300">
        <f t="shared" si="229"/>
        <v>0</v>
      </c>
      <c r="K839" s="52">
        <f>K840</f>
        <v>1000</v>
      </c>
      <c r="L839" s="52">
        <f>L840</f>
        <v>483</v>
      </c>
      <c r="M839" s="300">
        <f t="shared" si="234"/>
        <v>0</v>
      </c>
      <c r="N839" s="52">
        <f>N840</f>
        <v>99</v>
      </c>
      <c r="O839" s="300">
        <f t="shared" si="230"/>
        <v>-901</v>
      </c>
      <c r="P839" s="52">
        <f>P840</f>
        <v>1000</v>
      </c>
      <c r="Q839" s="52">
        <f>Q840</f>
        <v>57</v>
      </c>
      <c r="R839" s="333">
        <f t="shared" si="232"/>
        <v>-943</v>
      </c>
      <c r="S839" s="32"/>
      <c r="T839" s="32"/>
      <c r="U839" s="32"/>
    </row>
    <row r="840" spans="2:21" s="51" customFormat="1" ht="27.75" customHeight="1" x14ac:dyDescent="0.2">
      <c r="B840" s="56" t="s">
        <v>73</v>
      </c>
      <c r="C840" s="53" t="s">
        <v>681</v>
      </c>
      <c r="D840" s="118" t="s">
        <v>96</v>
      </c>
      <c r="E840" s="118" t="s">
        <v>59</v>
      </c>
      <c r="F840" s="54" t="s">
        <v>287</v>
      </c>
      <c r="G840" s="53" t="s">
        <v>70</v>
      </c>
      <c r="H840" s="52">
        <f>3483-3000</f>
        <v>483</v>
      </c>
      <c r="I840" s="52">
        <f>3483-3000</f>
        <v>483</v>
      </c>
      <c r="J840" s="300">
        <f t="shared" si="229"/>
        <v>0</v>
      </c>
      <c r="K840" s="52">
        <v>1000</v>
      </c>
      <c r="L840" s="52">
        <f>3483-3000</f>
        <v>483</v>
      </c>
      <c r="M840" s="300">
        <f t="shared" si="234"/>
        <v>0</v>
      </c>
      <c r="N840" s="52">
        <f>1000-901</f>
        <v>99</v>
      </c>
      <c r="O840" s="300">
        <f t="shared" si="230"/>
        <v>-901</v>
      </c>
      <c r="P840" s="52">
        <v>1000</v>
      </c>
      <c r="Q840" s="52">
        <f>1000-943</f>
        <v>57</v>
      </c>
      <c r="R840" s="333">
        <f t="shared" si="232"/>
        <v>-943</v>
      </c>
      <c r="S840" s="32"/>
      <c r="T840" s="32"/>
      <c r="U840" s="32"/>
    </row>
    <row r="841" spans="2:21" s="51" customFormat="1" x14ac:dyDescent="0.2">
      <c r="B841" s="77" t="s">
        <v>52</v>
      </c>
      <c r="C841" s="53" t="s">
        <v>681</v>
      </c>
      <c r="D841" s="118" t="s">
        <v>96</v>
      </c>
      <c r="E841" s="118" t="s">
        <v>59</v>
      </c>
      <c r="F841" s="54" t="s">
        <v>286</v>
      </c>
      <c r="G841" s="53"/>
      <c r="H841" s="52">
        <f t="shared" ref="H841:Q843" si="247">H842</f>
        <v>2160</v>
      </c>
      <c r="I841" s="52">
        <f t="shared" si="247"/>
        <v>2160</v>
      </c>
      <c r="J841" s="300">
        <f t="shared" si="229"/>
        <v>0</v>
      </c>
      <c r="K841" s="52">
        <f t="shared" si="247"/>
        <v>2160</v>
      </c>
      <c r="L841" s="52">
        <f t="shared" si="247"/>
        <v>2160</v>
      </c>
      <c r="M841" s="300">
        <f t="shared" si="234"/>
        <v>0</v>
      </c>
      <c r="N841" s="52">
        <f t="shared" si="247"/>
        <v>2160</v>
      </c>
      <c r="O841" s="300">
        <f t="shared" si="230"/>
        <v>0</v>
      </c>
      <c r="P841" s="52">
        <f t="shared" si="247"/>
        <v>2160</v>
      </c>
      <c r="Q841" s="52">
        <f t="shared" si="247"/>
        <v>2160</v>
      </c>
      <c r="R841" s="333">
        <f t="shared" si="232"/>
        <v>0</v>
      </c>
      <c r="S841" s="32"/>
      <c r="T841" s="32"/>
      <c r="U841" s="32"/>
    </row>
    <row r="842" spans="2:21" s="51" customFormat="1" ht="30" customHeight="1" x14ac:dyDescent="0.2">
      <c r="B842" s="56" t="s">
        <v>285</v>
      </c>
      <c r="C842" s="53" t="s">
        <v>681</v>
      </c>
      <c r="D842" s="118" t="s">
        <v>96</v>
      </c>
      <c r="E842" s="118" t="s">
        <v>59</v>
      </c>
      <c r="F842" s="54" t="s">
        <v>284</v>
      </c>
      <c r="G842" s="53"/>
      <c r="H842" s="52">
        <f t="shared" si="247"/>
        <v>2160</v>
      </c>
      <c r="I842" s="52">
        <f t="shared" si="247"/>
        <v>2160</v>
      </c>
      <c r="J842" s="300">
        <f t="shared" si="229"/>
        <v>0</v>
      </c>
      <c r="K842" s="52">
        <f t="shared" si="247"/>
        <v>2160</v>
      </c>
      <c r="L842" s="52">
        <f t="shared" si="247"/>
        <v>2160</v>
      </c>
      <c r="M842" s="300">
        <f t="shared" si="234"/>
        <v>0</v>
      </c>
      <c r="N842" s="52">
        <f t="shared" si="247"/>
        <v>2160</v>
      </c>
      <c r="O842" s="300">
        <f t="shared" si="230"/>
        <v>0</v>
      </c>
      <c r="P842" s="52">
        <f t="shared" si="247"/>
        <v>2160</v>
      </c>
      <c r="Q842" s="52">
        <f t="shared" si="247"/>
        <v>2160</v>
      </c>
      <c r="R842" s="333">
        <f t="shared" si="232"/>
        <v>0</v>
      </c>
      <c r="S842" s="32"/>
      <c r="T842" s="32"/>
      <c r="U842" s="32"/>
    </row>
    <row r="843" spans="2:21" s="51" customFormat="1" ht="18" customHeight="1" x14ac:dyDescent="0.2">
      <c r="B843" s="56" t="s">
        <v>283</v>
      </c>
      <c r="C843" s="53" t="s">
        <v>681</v>
      </c>
      <c r="D843" s="118" t="s">
        <v>96</v>
      </c>
      <c r="E843" s="118" t="s">
        <v>59</v>
      </c>
      <c r="F843" s="54" t="s">
        <v>282</v>
      </c>
      <c r="G843" s="53"/>
      <c r="H843" s="52">
        <f t="shared" si="247"/>
        <v>2160</v>
      </c>
      <c r="I843" s="52">
        <f t="shared" si="247"/>
        <v>2160</v>
      </c>
      <c r="J843" s="300">
        <f t="shared" si="229"/>
        <v>0</v>
      </c>
      <c r="K843" s="52">
        <f t="shared" si="247"/>
        <v>2160</v>
      </c>
      <c r="L843" s="52">
        <f t="shared" si="247"/>
        <v>2160</v>
      </c>
      <c r="M843" s="300">
        <f t="shared" si="234"/>
        <v>0</v>
      </c>
      <c r="N843" s="52">
        <f t="shared" si="247"/>
        <v>2160</v>
      </c>
      <c r="O843" s="300">
        <f t="shared" si="230"/>
        <v>0</v>
      </c>
      <c r="P843" s="52">
        <f t="shared" si="247"/>
        <v>2160</v>
      </c>
      <c r="Q843" s="52">
        <f t="shared" si="247"/>
        <v>2160</v>
      </c>
      <c r="R843" s="333">
        <f t="shared" si="232"/>
        <v>0</v>
      </c>
      <c r="S843" s="32"/>
      <c r="T843" s="32"/>
      <c r="U843" s="32"/>
    </row>
    <row r="844" spans="2:21" s="51" customFormat="1" ht="25.5" x14ac:dyDescent="0.2">
      <c r="B844" s="56" t="s">
        <v>73</v>
      </c>
      <c r="C844" s="53" t="s">
        <v>681</v>
      </c>
      <c r="D844" s="118" t="s">
        <v>96</v>
      </c>
      <c r="E844" s="118" t="s">
        <v>59</v>
      </c>
      <c r="F844" s="54" t="s">
        <v>282</v>
      </c>
      <c r="G844" s="53" t="s">
        <v>70</v>
      </c>
      <c r="H844" s="52">
        <v>2160</v>
      </c>
      <c r="I844" s="52">
        <v>2160</v>
      </c>
      <c r="J844" s="300">
        <f t="shared" si="229"/>
        <v>0</v>
      </c>
      <c r="K844" s="52">
        <v>2160</v>
      </c>
      <c r="L844" s="52">
        <v>2160</v>
      </c>
      <c r="M844" s="300">
        <f t="shared" si="234"/>
        <v>0</v>
      </c>
      <c r="N844" s="52">
        <v>2160</v>
      </c>
      <c r="O844" s="300">
        <f t="shared" si="230"/>
        <v>0</v>
      </c>
      <c r="P844" s="52">
        <v>2160</v>
      </c>
      <c r="Q844" s="52">
        <v>2160</v>
      </c>
      <c r="R844" s="333">
        <f t="shared" si="232"/>
        <v>0</v>
      </c>
      <c r="S844" s="32"/>
      <c r="T844" s="32"/>
      <c r="U844" s="32"/>
    </row>
    <row r="845" spans="2:21" s="51" customFormat="1" x14ac:dyDescent="0.2">
      <c r="B845" s="63" t="s">
        <v>684</v>
      </c>
      <c r="C845" s="48" t="s">
        <v>681</v>
      </c>
      <c r="D845" s="48" t="s">
        <v>166</v>
      </c>
      <c r="E845" s="118"/>
      <c r="F845" s="54"/>
      <c r="G845" s="53"/>
      <c r="H845" s="52">
        <f t="shared" ref="H845:Q850" si="248">H846</f>
        <v>0</v>
      </c>
      <c r="I845" s="52">
        <f t="shared" si="248"/>
        <v>1864</v>
      </c>
      <c r="J845" s="300">
        <f t="shared" si="229"/>
        <v>1864</v>
      </c>
      <c r="K845" s="52">
        <f t="shared" si="248"/>
        <v>0</v>
      </c>
      <c r="L845" s="52">
        <f t="shared" si="248"/>
        <v>1864</v>
      </c>
      <c r="M845" s="300">
        <f t="shared" si="234"/>
        <v>0</v>
      </c>
      <c r="N845" s="52">
        <f t="shared" si="248"/>
        <v>0</v>
      </c>
      <c r="O845" s="300">
        <f t="shared" si="230"/>
        <v>0</v>
      </c>
      <c r="P845" s="52">
        <f t="shared" si="248"/>
        <v>0</v>
      </c>
      <c r="Q845" s="52">
        <f t="shared" si="248"/>
        <v>0</v>
      </c>
      <c r="R845" s="333">
        <f t="shared" si="232"/>
        <v>0</v>
      </c>
      <c r="S845" s="32"/>
      <c r="T845" s="32"/>
      <c r="U845" s="32"/>
    </row>
    <row r="846" spans="2:21" s="51" customFormat="1" x14ac:dyDescent="0.2">
      <c r="B846" s="59" t="s">
        <v>171</v>
      </c>
      <c r="C846" s="48" t="s">
        <v>681</v>
      </c>
      <c r="D846" s="48" t="s">
        <v>166</v>
      </c>
      <c r="E846" s="48" t="s">
        <v>108</v>
      </c>
      <c r="F846" s="54"/>
      <c r="G846" s="53"/>
      <c r="H846" s="52">
        <f t="shared" si="248"/>
        <v>0</v>
      </c>
      <c r="I846" s="52">
        <f t="shared" si="248"/>
        <v>1864</v>
      </c>
      <c r="J846" s="300">
        <f t="shared" si="229"/>
        <v>1864</v>
      </c>
      <c r="K846" s="52">
        <f t="shared" si="248"/>
        <v>0</v>
      </c>
      <c r="L846" s="52">
        <f t="shared" si="248"/>
        <v>1864</v>
      </c>
      <c r="M846" s="300">
        <f t="shared" si="234"/>
        <v>0</v>
      </c>
      <c r="N846" s="52">
        <f t="shared" si="248"/>
        <v>0</v>
      </c>
      <c r="O846" s="300">
        <f t="shared" si="230"/>
        <v>0</v>
      </c>
      <c r="P846" s="52">
        <f t="shared" si="248"/>
        <v>0</v>
      </c>
      <c r="Q846" s="52">
        <f t="shared" si="248"/>
        <v>0</v>
      </c>
      <c r="R846" s="333">
        <f t="shared" si="232"/>
        <v>0</v>
      </c>
      <c r="S846" s="32"/>
      <c r="T846" s="32"/>
      <c r="U846" s="32"/>
    </row>
    <row r="847" spans="2:21" s="51" customFormat="1" ht="25.5" x14ac:dyDescent="0.2">
      <c r="B847" s="84" t="s">
        <v>54</v>
      </c>
      <c r="C847" s="53" t="s">
        <v>681</v>
      </c>
      <c r="D847" s="53" t="s">
        <v>166</v>
      </c>
      <c r="E847" s="53" t="s">
        <v>108</v>
      </c>
      <c r="F847" s="54" t="s">
        <v>53</v>
      </c>
      <c r="G847" s="53"/>
      <c r="H847" s="52">
        <f t="shared" si="248"/>
        <v>0</v>
      </c>
      <c r="I847" s="52">
        <f t="shared" si="248"/>
        <v>1864</v>
      </c>
      <c r="J847" s="300">
        <f t="shared" ref="J847:J854" si="249">I847-H847</f>
        <v>1864</v>
      </c>
      <c r="K847" s="52">
        <f t="shared" si="248"/>
        <v>0</v>
      </c>
      <c r="L847" s="52">
        <f t="shared" si="248"/>
        <v>1864</v>
      </c>
      <c r="M847" s="300">
        <f t="shared" si="234"/>
        <v>0</v>
      </c>
      <c r="N847" s="52">
        <f t="shared" si="248"/>
        <v>0</v>
      </c>
      <c r="O847" s="300">
        <f t="shared" ref="O847:O854" si="250">N847-K847</f>
        <v>0</v>
      </c>
      <c r="P847" s="52">
        <f t="shared" si="248"/>
        <v>0</v>
      </c>
      <c r="Q847" s="52">
        <f t="shared" si="248"/>
        <v>0</v>
      </c>
      <c r="R847" s="333">
        <f t="shared" si="232"/>
        <v>0</v>
      </c>
      <c r="S847" s="32"/>
      <c r="T847" s="32"/>
      <c r="U847" s="32"/>
    </row>
    <row r="848" spans="2:21" s="51" customFormat="1" x14ac:dyDescent="0.2">
      <c r="B848" s="126" t="s">
        <v>66</v>
      </c>
      <c r="C848" s="53" t="s">
        <v>681</v>
      </c>
      <c r="D848" s="53" t="s">
        <v>166</v>
      </c>
      <c r="E848" s="53" t="s">
        <v>108</v>
      </c>
      <c r="F848" s="54" t="s">
        <v>724</v>
      </c>
      <c r="G848" s="53"/>
      <c r="H848" s="52">
        <f t="shared" si="248"/>
        <v>0</v>
      </c>
      <c r="I848" s="52">
        <f t="shared" si="248"/>
        <v>1864</v>
      </c>
      <c r="J848" s="300">
        <f t="shared" si="249"/>
        <v>1864</v>
      </c>
      <c r="K848" s="52">
        <f t="shared" si="248"/>
        <v>0</v>
      </c>
      <c r="L848" s="52">
        <f t="shared" si="248"/>
        <v>1864</v>
      </c>
      <c r="M848" s="300">
        <f t="shared" si="234"/>
        <v>0</v>
      </c>
      <c r="N848" s="52">
        <f t="shared" si="248"/>
        <v>0</v>
      </c>
      <c r="O848" s="300">
        <f t="shared" si="250"/>
        <v>0</v>
      </c>
      <c r="P848" s="52">
        <f t="shared" si="248"/>
        <v>0</v>
      </c>
      <c r="Q848" s="52">
        <f t="shared" si="248"/>
        <v>0</v>
      </c>
      <c r="R848" s="333">
        <f t="shared" si="232"/>
        <v>0</v>
      </c>
      <c r="S848" s="32"/>
      <c r="T848" s="32"/>
      <c r="U848" s="32"/>
    </row>
    <row r="849" spans="2:21" s="51" customFormat="1" ht="25.5" x14ac:dyDescent="0.2">
      <c r="B849" s="56" t="s">
        <v>725</v>
      </c>
      <c r="C849" s="53" t="s">
        <v>681</v>
      </c>
      <c r="D849" s="53" t="s">
        <v>166</v>
      </c>
      <c r="E849" s="53" t="s">
        <v>108</v>
      </c>
      <c r="F849" s="54" t="s">
        <v>726</v>
      </c>
      <c r="G849" s="53"/>
      <c r="H849" s="52">
        <f t="shared" si="248"/>
        <v>0</v>
      </c>
      <c r="I849" s="52">
        <f t="shared" si="248"/>
        <v>1864</v>
      </c>
      <c r="J849" s="300">
        <f t="shared" si="249"/>
        <v>1864</v>
      </c>
      <c r="K849" s="52">
        <f t="shared" si="248"/>
        <v>0</v>
      </c>
      <c r="L849" s="52">
        <f t="shared" si="248"/>
        <v>1864</v>
      </c>
      <c r="M849" s="300">
        <f t="shared" si="234"/>
        <v>0</v>
      </c>
      <c r="N849" s="52">
        <f t="shared" si="248"/>
        <v>0</v>
      </c>
      <c r="O849" s="300">
        <f t="shared" si="250"/>
        <v>0</v>
      </c>
      <c r="P849" s="52">
        <f t="shared" si="248"/>
        <v>0</v>
      </c>
      <c r="Q849" s="52">
        <f t="shared" si="248"/>
        <v>0</v>
      </c>
      <c r="R849" s="333">
        <f t="shared" si="232"/>
        <v>0</v>
      </c>
      <c r="S849" s="32"/>
      <c r="T849" s="32"/>
      <c r="U849" s="32"/>
    </row>
    <row r="850" spans="2:21" s="51" customFormat="1" ht="17.25" customHeight="1" x14ac:dyDescent="0.2">
      <c r="B850" s="56" t="s">
        <v>727</v>
      </c>
      <c r="C850" s="53" t="s">
        <v>681</v>
      </c>
      <c r="D850" s="53" t="s">
        <v>166</v>
      </c>
      <c r="E850" s="53" t="s">
        <v>108</v>
      </c>
      <c r="F850" s="54" t="s">
        <v>728</v>
      </c>
      <c r="G850" s="53"/>
      <c r="H850" s="52">
        <f t="shared" si="248"/>
        <v>0</v>
      </c>
      <c r="I850" s="52">
        <f t="shared" si="248"/>
        <v>1864</v>
      </c>
      <c r="J850" s="300">
        <f t="shared" si="249"/>
        <v>1864</v>
      </c>
      <c r="K850" s="52">
        <f t="shared" si="248"/>
        <v>0</v>
      </c>
      <c r="L850" s="52">
        <f t="shared" si="248"/>
        <v>1864</v>
      </c>
      <c r="M850" s="300">
        <f t="shared" si="234"/>
        <v>0</v>
      </c>
      <c r="N850" s="52">
        <f t="shared" si="248"/>
        <v>0</v>
      </c>
      <c r="O850" s="300">
        <f t="shared" si="250"/>
        <v>0</v>
      </c>
      <c r="P850" s="52">
        <f t="shared" si="248"/>
        <v>0</v>
      </c>
      <c r="Q850" s="52">
        <f t="shared" si="248"/>
        <v>0</v>
      </c>
      <c r="R850" s="333">
        <f t="shared" si="232"/>
        <v>0</v>
      </c>
      <c r="S850" s="32"/>
      <c r="T850" s="32"/>
      <c r="U850" s="32"/>
    </row>
    <row r="851" spans="2:21" s="51" customFormat="1" ht="25.5" x14ac:dyDescent="0.2">
      <c r="B851" s="56" t="s">
        <v>73</v>
      </c>
      <c r="C851" s="53" t="s">
        <v>681</v>
      </c>
      <c r="D851" s="53" t="s">
        <v>166</v>
      </c>
      <c r="E851" s="53" t="s">
        <v>108</v>
      </c>
      <c r="F851" s="54" t="s">
        <v>728</v>
      </c>
      <c r="G851" s="53" t="s">
        <v>70</v>
      </c>
      <c r="H851" s="52">
        <v>0</v>
      </c>
      <c r="I851" s="52">
        <f>918.6+240.6-500-100+1304.8</f>
        <v>1864</v>
      </c>
      <c r="J851" s="300">
        <f t="shared" si="249"/>
        <v>1864</v>
      </c>
      <c r="K851" s="52">
        <v>0</v>
      </c>
      <c r="L851" s="52">
        <f>918.6+240.6-500-100+1304.8</f>
        <v>1864</v>
      </c>
      <c r="M851" s="300">
        <f t="shared" si="234"/>
        <v>0</v>
      </c>
      <c r="N851" s="52">
        <v>0</v>
      </c>
      <c r="O851" s="300">
        <f t="shared" si="250"/>
        <v>0</v>
      </c>
      <c r="P851" s="52">
        <v>0</v>
      </c>
      <c r="Q851" s="52">
        <v>0</v>
      </c>
      <c r="R851" s="333">
        <f t="shared" si="232"/>
        <v>0</v>
      </c>
      <c r="S851" s="32"/>
      <c r="T851" s="32"/>
      <c r="U851" s="32"/>
    </row>
    <row r="852" spans="2:21" s="43" customFormat="1" ht="18" customHeight="1" x14ac:dyDescent="0.2">
      <c r="B852" s="59" t="s">
        <v>42</v>
      </c>
      <c r="C852" s="48"/>
      <c r="D852" s="48"/>
      <c r="E852" s="48"/>
      <c r="F852" s="48"/>
      <c r="G852" s="48"/>
      <c r="H852" s="44">
        <f>H7+H519+H526+H534+H577+H622+H776</f>
        <v>961543.6</v>
      </c>
      <c r="I852" s="44">
        <f>I7+I519+I526+I534+I577+I622+I776</f>
        <v>1234709.5</v>
      </c>
      <c r="J852" s="300">
        <f t="shared" si="249"/>
        <v>273165.90000000002</v>
      </c>
      <c r="K852" s="44">
        <f>K7+K519+K526+K534+K577+K622+K776</f>
        <v>666518</v>
      </c>
      <c r="L852" s="44">
        <f>L7+L519+L526+L534+L577+L622+L776</f>
        <v>1278706.5999999999</v>
      </c>
      <c r="M852" s="300">
        <f t="shared" si="234"/>
        <v>43997.09999999986</v>
      </c>
      <c r="N852" s="44">
        <f>N7+N519+N526+N534+N577+N622+N776</f>
        <v>653690</v>
      </c>
      <c r="O852" s="300">
        <f t="shared" si="250"/>
        <v>-12828</v>
      </c>
      <c r="P852" s="44">
        <f>P7+P519+P526+P534+P577+P622+P776</f>
        <v>739249.2</v>
      </c>
      <c r="Q852" s="44">
        <f>Q7+Q519+Q526+Q534+Q577+Q622+Q776</f>
        <v>726379.2</v>
      </c>
      <c r="R852" s="333">
        <f t="shared" si="232"/>
        <v>-12870</v>
      </c>
    </row>
    <row r="853" spans="2:21" s="43" customFormat="1" ht="18.75" customHeight="1" x14ac:dyDescent="0.2">
      <c r="B853" s="59" t="s">
        <v>41</v>
      </c>
      <c r="C853" s="48"/>
      <c r="D853" s="48"/>
      <c r="E853" s="48"/>
      <c r="F853" s="48"/>
      <c r="G853" s="48"/>
      <c r="H853" s="44"/>
      <c r="I853" s="44"/>
      <c r="J853" s="300">
        <f t="shared" si="249"/>
        <v>0</v>
      </c>
      <c r="K853" s="44">
        <v>9621.7999999999993</v>
      </c>
      <c r="L853" s="44"/>
      <c r="M853" s="300">
        <f t="shared" si="234"/>
        <v>0</v>
      </c>
      <c r="N853" s="44">
        <v>9621.7999999999993</v>
      </c>
      <c r="O853" s="300">
        <f t="shared" si="250"/>
        <v>0</v>
      </c>
      <c r="P853" s="44">
        <v>19977.900000000001</v>
      </c>
      <c r="Q853" s="44">
        <v>19977.900000000001</v>
      </c>
      <c r="R853" s="333">
        <f t="shared" ref="R853:R854" si="251">Q853-P853</f>
        <v>0</v>
      </c>
    </row>
    <row r="854" spans="2:21" s="43" customFormat="1" x14ac:dyDescent="0.2">
      <c r="B854" s="59" t="s">
        <v>40</v>
      </c>
      <c r="C854" s="48"/>
      <c r="D854" s="48"/>
      <c r="E854" s="197"/>
      <c r="F854" s="197"/>
      <c r="G854" s="48"/>
      <c r="H854" s="44">
        <f>H852+H853</f>
        <v>961543.6</v>
      </c>
      <c r="I854" s="44">
        <f>I852+I853</f>
        <v>1234709.5</v>
      </c>
      <c r="J854" s="300">
        <f t="shared" si="249"/>
        <v>273165.90000000002</v>
      </c>
      <c r="K854" s="44">
        <f>K852+K853</f>
        <v>676139.8</v>
      </c>
      <c r="L854" s="44">
        <f>L852+L853</f>
        <v>1278706.5999999999</v>
      </c>
      <c r="M854" s="300">
        <f t="shared" si="234"/>
        <v>43997.09999999986</v>
      </c>
      <c r="N854" s="44">
        <f>N852+N853</f>
        <v>663311.80000000005</v>
      </c>
      <c r="O854" s="300">
        <f t="shared" si="250"/>
        <v>-12828</v>
      </c>
      <c r="P854" s="44">
        <f>P852+P853</f>
        <v>759227.1</v>
      </c>
      <c r="Q854" s="44">
        <f>Q852+Q853</f>
        <v>746357.1</v>
      </c>
      <c r="R854" s="333">
        <f t="shared" si="251"/>
        <v>-12870</v>
      </c>
    </row>
    <row r="855" spans="2:21" x14ac:dyDescent="0.2">
      <c r="C855" s="199"/>
      <c r="D855" s="199"/>
      <c r="E855" s="200"/>
      <c r="F855" s="200"/>
      <c r="G855" s="199"/>
      <c r="H855" s="201"/>
      <c r="I855" s="201"/>
      <c r="J855" s="309"/>
      <c r="K855" s="201"/>
      <c r="L855" s="201"/>
      <c r="M855" s="309"/>
      <c r="N855" s="201"/>
      <c r="O855" s="309"/>
      <c r="P855" s="201"/>
      <c r="Q855" s="201"/>
    </row>
    <row r="856" spans="2:21" x14ac:dyDescent="0.2">
      <c r="C856" s="199"/>
      <c r="D856" s="199"/>
      <c r="E856" s="200"/>
      <c r="F856" s="42"/>
      <c r="H856" s="38"/>
      <c r="I856" s="38"/>
      <c r="J856" s="301"/>
      <c r="K856" s="33"/>
      <c r="L856" s="38"/>
      <c r="M856" s="301"/>
      <c r="N856" s="33"/>
      <c r="O856" s="297"/>
      <c r="P856" s="38"/>
      <c r="Q856" s="38"/>
    </row>
    <row r="857" spans="2:21" x14ac:dyDescent="0.2">
      <c r="C857" s="199"/>
      <c r="D857" s="199"/>
      <c r="E857" s="200"/>
      <c r="F857" s="200"/>
      <c r="G857" s="199"/>
      <c r="H857" s="33"/>
      <c r="I857" s="33"/>
      <c r="J857" s="297"/>
      <c r="K857" s="33"/>
      <c r="L857" s="33"/>
      <c r="M857" s="297"/>
      <c r="N857" s="33"/>
      <c r="O857" s="297"/>
      <c r="P857" s="33"/>
      <c r="Q857" s="33"/>
    </row>
    <row r="858" spans="2:21" x14ac:dyDescent="0.2">
      <c r="C858" s="199"/>
      <c r="D858" s="199"/>
      <c r="E858" s="200"/>
      <c r="F858" s="42"/>
      <c r="G858" s="199"/>
      <c r="H858" s="201"/>
      <c r="I858" s="201"/>
      <c r="J858" s="309"/>
      <c r="K858" s="201"/>
      <c r="L858" s="201"/>
      <c r="M858" s="309"/>
      <c r="N858" s="201"/>
      <c r="O858" s="309"/>
      <c r="P858" s="201"/>
      <c r="Q858" s="201"/>
    </row>
    <row r="859" spans="2:21" x14ac:dyDescent="0.2">
      <c r="C859" s="199"/>
      <c r="D859" s="199"/>
      <c r="E859" s="200"/>
      <c r="F859" s="200"/>
      <c r="G859" s="199"/>
      <c r="H859" s="201"/>
      <c r="I859" s="201"/>
      <c r="J859" s="309"/>
      <c r="K859" s="201"/>
      <c r="L859" s="201"/>
      <c r="M859" s="309"/>
      <c r="N859" s="201"/>
      <c r="O859" s="309"/>
      <c r="P859" s="201"/>
      <c r="Q859" s="201"/>
    </row>
    <row r="860" spans="2:21" x14ac:dyDescent="0.2">
      <c r="C860" s="199"/>
      <c r="D860" s="199"/>
      <c r="E860" s="200"/>
      <c r="F860" s="200"/>
      <c r="G860" s="199"/>
      <c r="H860" s="201"/>
      <c r="I860" s="201"/>
      <c r="J860" s="309"/>
      <c r="K860" s="201"/>
      <c r="L860" s="201"/>
      <c r="M860" s="309"/>
      <c r="N860" s="201"/>
      <c r="O860" s="309"/>
      <c r="P860" s="201"/>
      <c r="Q860" s="201"/>
    </row>
    <row r="861" spans="2:21" x14ac:dyDescent="0.2">
      <c r="C861" s="199"/>
      <c r="D861" s="199"/>
      <c r="E861" s="200"/>
      <c r="F861" s="200"/>
      <c r="G861" s="199"/>
      <c r="H861" s="201"/>
      <c r="I861" s="201"/>
      <c r="J861" s="309"/>
      <c r="K861" s="201"/>
      <c r="L861" s="201"/>
      <c r="M861" s="309"/>
      <c r="N861" s="201"/>
      <c r="O861" s="309"/>
      <c r="P861" s="201"/>
      <c r="Q861" s="201"/>
    </row>
    <row r="862" spans="2:21" x14ac:dyDescent="0.2">
      <c r="C862" s="199"/>
      <c r="D862" s="199"/>
      <c r="E862" s="200"/>
      <c r="F862" s="200"/>
      <c r="G862" s="199"/>
      <c r="H862" s="201"/>
      <c r="I862" s="201"/>
      <c r="J862" s="309"/>
      <c r="K862" s="201"/>
      <c r="L862" s="201"/>
      <c r="M862" s="309"/>
      <c r="N862" s="201"/>
      <c r="O862" s="309"/>
      <c r="P862" s="201"/>
      <c r="Q862" s="201"/>
    </row>
    <row r="863" spans="2:21" x14ac:dyDescent="0.2">
      <c r="B863" s="202"/>
      <c r="C863" s="199"/>
      <c r="D863" s="199"/>
      <c r="E863" s="200"/>
      <c r="F863" s="200"/>
      <c r="G863" s="199"/>
      <c r="H863" s="203"/>
      <c r="I863" s="203"/>
      <c r="J863" s="310"/>
      <c r="K863" s="203"/>
      <c r="L863" s="203"/>
      <c r="M863" s="310"/>
      <c r="N863" s="203"/>
      <c r="O863" s="310"/>
      <c r="P863" s="203"/>
      <c r="Q863" s="203"/>
    </row>
    <row r="864" spans="2:21" x14ac:dyDescent="0.2">
      <c r="B864" s="202"/>
      <c r="C864" s="199"/>
      <c r="D864" s="199"/>
      <c r="E864" s="200"/>
      <c r="F864" s="200"/>
      <c r="G864" s="199"/>
      <c r="H864" s="204"/>
      <c r="I864" s="204"/>
      <c r="J864" s="311"/>
      <c r="K864" s="204"/>
      <c r="L864" s="204"/>
      <c r="M864" s="311"/>
      <c r="N864" s="204"/>
      <c r="O864" s="311"/>
      <c r="P864" s="204"/>
      <c r="Q864" s="204"/>
    </row>
    <row r="865" spans="1:18" x14ac:dyDescent="0.2">
      <c r="B865" s="202"/>
      <c r="C865" s="199"/>
      <c r="D865" s="200"/>
      <c r="E865" s="200"/>
      <c r="F865" s="200"/>
      <c r="G865" s="199"/>
      <c r="H865" s="203"/>
      <c r="I865" s="203"/>
      <c r="J865" s="310"/>
      <c r="K865" s="203"/>
      <c r="L865" s="203"/>
      <c r="M865" s="310"/>
      <c r="N865" s="203"/>
      <c r="O865" s="310"/>
      <c r="P865" s="203"/>
      <c r="Q865" s="203"/>
    </row>
    <row r="866" spans="1:18" x14ac:dyDescent="0.2">
      <c r="B866" s="202"/>
      <c r="C866" s="200"/>
      <c r="D866" s="200"/>
      <c r="E866" s="200"/>
      <c r="F866" s="200"/>
      <c r="G866" s="205"/>
    </row>
    <row r="867" spans="1:18" x14ac:dyDescent="0.2">
      <c r="B867" s="202"/>
      <c r="C867" s="200"/>
      <c r="D867" s="200"/>
      <c r="E867" s="200"/>
      <c r="F867" s="200"/>
      <c r="G867" s="205"/>
    </row>
    <row r="875" spans="1:18" s="206" customFormat="1" ht="36" customHeight="1" x14ac:dyDescent="0.2">
      <c r="A875" s="154"/>
      <c r="B875" s="202"/>
      <c r="C875" s="35"/>
      <c r="D875" s="35"/>
      <c r="E875" s="35"/>
      <c r="F875" s="35"/>
      <c r="G875" s="34"/>
      <c r="H875" s="35"/>
      <c r="I875" s="35"/>
      <c r="J875" s="304"/>
      <c r="K875" s="35"/>
      <c r="L875" s="35"/>
      <c r="M875" s="304"/>
      <c r="N875" s="35"/>
      <c r="O875" s="304"/>
      <c r="P875" s="35"/>
      <c r="Q875" s="35"/>
      <c r="R875" s="332"/>
    </row>
  </sheetData>
  <sheetProtection formatCells="0" formatColumns="0" formatRows="0" insertColumns="0" insertRows="0" insertHyperlinks="0" deleteColumns="0" deleteRows="0" sort="0" autoFilter="0" pivotTables="0"/>
  <mergeCells count="2">
    <mergeCell ref="B1:Q1"/>
    <mergeCell ref="B3:Q3"/>
  </mergeCells>
  <printOptions horizontalCentered="1"/>
  <pageMargins left="0.15748031496062992" right="0.15748031496062992" top="0.31496062992125984" bottom="0.47244094488188981" header="0.39370078740157483" footer="0.59055118110236227"/>
  <pageSetup paperSize="9" scale="59" fitToHeight="1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67"/>
  <sheetViews>
    <sheetView view="pageBreakPreview" zoomScale="120" zoomScaleNormal="100" zoomScaleSheetLayoutView="120" workbookViewId="0">
      <selection activeCell="A4" sqref="A4:O4"/>
    </sheetView>
  </sheetViews>
  <sheetFormatPr defaultRowHeight="12.75" x14ac:dyDescent="0.2"/>
  <cols>
    <col min="1" max="1" width="64.5703125" style="32" customWidth="1"/>
    <col min="2" max="2" width="13" style="33" customWidth="1"/>
    <col min="3" max="3" width="5.7109375" style="33" customWidth="1"/>
    <col min="4" max="4" width="7.5703125" style="33" customWidth="1"/>
    <col min="5" max="5" width="8.7109375" style="33" customWidth="1"/>
    <col min="6" max="7" width="10.7109375" style="38" hidden="1" customWidth="1"/>
    <col min="8" max="8" width="12" style="301" hidden="1" customWidth="1"/>
    <col min="9" max="9" width="9.28515625" style="33" hidden="1" customWidth="1"/>
    <col min="10" max="10" width="10.7109375" style="38" customWidth="1"/>
    <col min="11" max="11" width="10.7109375" style="301" hidden="1" customWidth="1"/>
    <col min="12" max="12" width="9.28515625" style="33" customWidth="1"/>
    <col min="13" max="13" width="12.140625" style="297" hidden="1" customWidth="1"/>
    <col min="14" max="14" width="11.42578125" style="33" hidden="1" customWidth="1"/>
    <col min="15" max="15" width="11.42578125" style="33" customWidth="1"/>
    <col min="16" max="16" width="11.42578125" style="297" hidden="1" customWidth="1"/>
    <col min="17" max="17" width="35" style="39" customWidth="1"/>
    <col min="18" max="18" width="8.5703125" style="40" customWidth="1"/>
    <col min="19" max="19" width="10.7109375" style="40" customWidth="1"/>
    <col min="20" max="20" width="12.7109375" style="214" bestFit="1" customWidth="1"/>
    <col min="21" max="21" width="10.7109375" style="214" bestFit="1" customWidth="1"/>
    <col min="22" max="44" width="9.140625" style="214"/>
    <col min="265" max="265" width="64.5703125" customWidth="1"/>
    <col min="266" max="266" width="13" customWidth="1"/>
    <col min="267" max="267" width="5.7109375" customWidth="1"/>
    <col min="268" max="268" width="7.5703125" customWidth="1"/>
    <col min="269" max="269" width="8.7109375" customWidth="1"/>
    <col min="270" max="270" width="10.7109375" customWidth="1"/>
    <col min="271" max="271" width="9.28515625" customWidth="1"/>
    <col min="272" max="272" width="11.42578125" customWidth="1"/>
    <col min="273" max="273" width="35" customWidth="1"/>
    <col min="274" max="274" width="8.5703125" customWidth="1"/>
    <col min="275" max="275" width="10.7109375" customWidth="1"/>
    <col min="276" max="276" width="12.7109375" bestFit="1" customWidth="1"/>
    <col min="277" max="277" width="10.7109375" bestFit="1" customWidth="1"/>
    <col min="521" max="521" width="64.5703125" customWidth="1"/>
    <col min="522" max="522" width="13" customWidth="1"/>
    <col min="523" max="523" width="5.7109375" customWidth="1"/>
    <col min="524" max="524" width="7.5703125" customWidth="1"/>
    <col min="525" max="525" width="8.7109375" customWidth="1"/>
    <col min="526" max="526" width="10.7109375" customWidth="1"/>
    <col min="527" max="527" width="9.28515625" customWidth="1"/>
    <col min="528" max="528" width="11.42578125" customWidth="1"/>
    <col min="529" max="529" width="35" customWidth="1"/>
    <col min="530" max="530" width="8.5703125" customWidth="1"/>
    <col min="531" max="531" width="10.7109375" customWidth="1"/>
    <col min="532" max="532" width="12.7109375" bestFit="1" customWidth="1"/>
    <col min="533" max="533" width="10.7109375" bestFit="1" customWidth="1"/>
    <col min="777" max="777" width="64.5703125" customWidth="1"/>
    <col min="778" max="778" width="13" customWidth="1"/>
    <col min="779" max="779" width="5.7109375" customWidth="1"/>
    <col min="780" max="780" width="7.5703125" customWidth="1"/>
    <col min="781" max="781" width="8.7109375" customWidth="1"/>
    <col min="782" max="782" width="10.7109375" customWidth="1"/>
    <col min="783" max="783" width="9.28515625" customWidth="1"/>
    <col min="784" max="784" width="11.42578125" customWidth="1"/>
    <col min="785" max="785" width="35" customWidth="1"/>
    <col min="786" max="786" width="8.5703125" customWidth="1"/>
    <col min="787" max="787" width="10.7109375" customWidth="1"/>
    <col min="788" max="788" width="12.7109375" bestFit="1" customWidth="1"/>
    <col min="789" max="789" width="10.7109375" bestFit="1" customWidth="1"/>
    <col min="1033" max="1033" width="64.5703125" customWidth="1"/>
    <col min="1034" max="1034" width="13" customWidth="1"/>
    <col min="1035" max="1035" width="5.7109375" customWidth="1"/>
    <col min="1036" max="1036" width="7.5703125" customWidth="1"/>
    <col min="1037" max="1037" width="8.7109375" customWidth="1"/>
    <col min="1038" max="1038" width="10.7109375" customWidth="1"/>
    <col min="1039" max="1039" width="9.28515625" customWidth="1"/>
    <col min="1040" max="1040" width="11.42578125" customWidth="1"/>
    <col min="1041" max="1041" width="35" customWidth="1"/>
    <col min="1042" max="1042" width="8.5703125" customWidth="1"/>
    <col min="1043" max="1043" width="10.7109375" customWidth="1"/>
    <col min="1044" max="1044" width="12.7109375" bestFit="1" customWidth="1"/>
    <col min="1045" max="1045" width="10.7109375" bestFit="1" customWidth="1"/>
    <col min="1289" max="1289" width="64.5703125" customWidth="1"/>
    <col min="1290" max="1290" width="13" customWidth="1"/>
    <col min="1291" max="1291" width="5.7109375" customWidth="1"/>
    <col min="1292" max="1292" width="7.5703125" customWidth="1"/>
    <col min="1293" max="1293" width="8.7109375" customWidth="1"/>
    <col min="1294" max="1294" width="10.7109375" customWidth="1"/>
    <col min="1295" max="1295" width="9.28515625" customWidth="1"/>
    <col min="1296" max="1296" width="11.42578125" customWidth="1"/>
    <col min="1297" max="1297" width="35" customWidth="1"/>
    <col min="1298" max="1298" width="8.5703125" customWidth="1"/>
    <col min="1299" max="1299" width="10.7109375" customWidth="1"/>
    <col min="1300" max="1300" width="12.7109375" bestFit="1" customWidth="1"/>
    <col min="1301" max="1301" width="10.7109375" bestFit="1" customWidth="1"/>
    <col min="1545" max="1545" width="64.5703125" customWidth="1"/>
    <col min="1546" max="1546" width="13" customWidth="1"/>
    <col min="1547" max="1547" width="5.7109375" customWidth="1"/>
    <col min="1548" max="1548" width="7.5703125" customWidth="1"/>
    <col min="1549" max="1549" width="8.7109375" customWidth="1"/>
    <col min="1550" max="1550" width="10.7109375" customWidth="1"/>
    <col min="1551" max="1551" width="9.28515625" customWidth="1"/>
    <col min="1552" max="1552" width="11.42578125" customWidth="1"/>
    <col min="1553" max="1553" width="35" customWidth="1"/>
    <col min="1554" max="1554" width="8.5703125" customWidth="1"/>
    <col min="1555" max="1555" width="10.7109375" customWidth="1"/>
    <col min="1556" max="1556" width="12.7109375" bestFit="1" customWidth="1"/>
    <col min="1557" max="1557" width="10.7109375" bestFit="1" customWidth="1"/>
    <col min="1801" max="1801" width="64.5703125" customWidth="1"/>
    <col min="1802" max="1802" width="13" customWidth="1"/>
    <col min="1803" max="1803" width="5.7109375" customWidth="1"/>
    <col min="1804" max="1804" width="7.5703125" customWidth="1"/>
    <col min="1805" max="1805" width="8.7109375" customWidth="1"/>
    <col min="1806" max="1806" width="10.7109375" customWidth="1"/>
    <col min="1807" max="1807" width="9.28515625" customWidth="1"/>
    <col min="1808" max="1808" width="11.42578125" customWidth="1"/>
    <col min="1809" max="1809" width="35" customWidth="1"/>
    <col min="1810" max="1810" width="8.5703125" customWidth="1"/>
    <col min="1811" max="1811" width="10.7109375" customWidth="1"/>
    <col min="1812" max="1812" width="12.7109375" bestFit="1" customWidth="1"/>
    <col min="1813" max="1813" width="10.7109375" bestFit="1" customWidth="1"/>
    <col min="2057" max="2057" width="64.5703125" customWidth="1"/>
    <col min="2058" max="2058" width="13" customWidth="1"/>
    <col min="2059" max="2059" width="5.7109375" customWidth="1"/>
    <col min="2060" max="2060" width="7.5703125" customWidth="1"/>
    <col min="2061" max="2061" width="8.7109375" customWidth="1"/>
    <col min="2062" max="2062" width="10.7109375" customWidth="1"/>
    <col min="2063" max="2063" width="9.28515625" customWidth="1"/>
    <col min="2064" max="2064" width="11.42578125" customWidth="1"/>
    <col min="2065" max="2065" width="35" customWidth="1"/>
    <col min="2066" max="2066" width="8.5703125" customWidth="1"/>
    <col min="2067" max="2067" width="10.7109375" customWidth="1"/>
    <col min="2068" max="2068" width="12.7109375" bestFit="1" customWidth="1"/>
    <col min="2069" max="2069" width="10.7109375" bestFit="1" customWidth="1"/>
    <col min="2313" max="2313" width="64.5703125" customWidth="1"/>
    <col min="2314" max="2314" width="13" customWidth="1"/>
    <col min="2315" max="2315" width="5.7109375" customWidth="1"/>
    <col min="2316" max="2316" width="7.5703125" customWidth="1"/>
    <col min="2317" max="2317" width="8.7109375" customWidth="1"/>
    <col min="2318" max="2318" width="10.7109375" customWidth="1"/>
    <col min="2319" max="2319" width="9.28515625" customWidth="1"/>
    <col min="2320" max="2320" width="11.42578125" customWidth="1"/>
    <col min="2321" max="2321" width="35" customWidth="1"/>
    <col min="2322" max="2322" width="8.5703125" customWidth="1"/>
    <col min="2323" max="2323" width="10.7109375" customWidth="1"/>
    <col min="2324" max="2324" width="12.7109375" bestFit="1" customWidth="1"/>
    <col min="2325" max="2325" width="10.7109375" bestFit="1" customWidth="1"/>
    <col min="2569" max="2569" width="64.5703125" customWidth="1"/>
    <col min="2570" max="2570" width="13" customWidth="1"/>
    <col min="2571" max="2571" width="5.7109375" customWidth="1"/>
    <col min="2572" max="2572" width="7.5703125" customWidth="1"/>
    <col min="2573" max="2573" width="8.7109375" customWidth="1"/>
    <col min="2574" max="2574" width="10.7109375" customWidth="1"/>
    <col min="2575" max="2575" width="9.28515625" customWidth="1"/>
    <col min="2576" max="2576" width="11.42578125" customWidth="1"/>
    <col min="2577" max="2577" width="35" customWidth="1"/>
    <col min="2578" max="2578" width="8.5703125" customWidth="1"/>
    <col min="2579" max="2579" width="10.7109375" customWidth="1"/>
    <col min="2580" max="2580" width="12.7109375" bestFit="1" customWidth="1"/>
    <col min="2581" max="2581" width="10.7109375" bestFit="1" customWidth="1"/>
    <col min="2825" max="2825" width="64.5703125" customWidth="1"/>
    <col min="2826" max="2826" width="13" customWidth="1"/>
    <col min="2827" max="2827" width="5.7109375" customWidth="1"/>
    <col min="2828" max="2828" width="7.5703125" customWidth="1"/>
    <col min="2829" max="2829" width="8.7109375" customWidth="1"/>
    <col min="2830" max="2830" width="10.7109375" customWidth="1"/>
    <col min="2831" max="2831" width="9.28515625" customWidth="1"/>
    <col min="2832" max="2832" width="11.42578125" customWidth="1"/>
    <col min="2833" max="2833" width="35" customWidth="1"/>
    <col min="2834" max="2834" width="8.5703125" customWidth="1"/>
    <col min="2835" max="2835" width="10.7109375" customWidth="1"/>
    <col min="2836" max="2836" width="12.7109375" bestFit="1" customWidth="1"/>
    <col min="2837" max="2837" width="10.7109375" bestFit="1" customWidth="1"/>
    <col min="3081" max="3081" width="64.5703125" customWidth="1"/>
    <col min="3082" max="3082" width="13" customWidth="1"/>
    <col min="3083" max="3083" width="5.7109375" customWidth="1"/>
    <col min="3084" max="3084" width="7.5703125" customWidth="1"/>
    <col min="3085" max="3085" width="8.7109375" customWidth="1"/>
    <col min="3086" max="3086" width="10.7109375" customWidth="1"/>
    <col min="3087" max="3087" width="9.28515625" customWidth="1"/>
    <col min="3088" max="3088" width="11.42578125" customWidth="1"/>
    <col min="3089" max="3089" width="35" customWidth="1"/>
    <col min="3090" max="3090" width="8.5703125" customWidth="1"/>
    <col min="3091" max="3091" width="10.7109375" customWidth="1"/>
    <col min="3092" max="3092" width="12.7109375" bestFit="1" customWidth="1"/>
    <col min="3093" max="3093" width="10.7109375" bestFit="1" customWidth="1"/>
    <col min="3337" max="3337" width="64.5703125" customWidth="1"/>
    <col min="3338" max="3338" width="13" customWidth="1"/>
    <col min="3339" max="3339" width="5.7109375" customWidth="1"/>
    <col min="3340" max="3340" width="7.5703125" customWidth="1"/>
    <col min="3341" max="3341" width="8.7109375" customWidth="1"/>
    <col min="3342" max="3342" width="10.7109375" customWidth="1"/>
    <col min="3343" max="3343" width="9.28515625" customWidth="1"/>
    <col min="3344" max="3344" width="11.42578125" customWidth="1"/>
    <col min="3345" max="3345" width="35" customWidth="1"/>
    <col min="3346" max="3346" width="8.5703125" customWidth="1"/>
    <col min="3347" max="3347" width="10.7109375" customWidth="1"/>
    <col min="3348" max="3348" width="12.7109375" bestFit="1" customWidth="1"/>
    <col min="3349" max="3349" width="10.7109375" bestFit="1" customWidth="1"/>
    <col min="3593" max="3593" width="64.5703125" customWidth="1"/>
    <col min="3594" max="3594" width="13" customWidth="1"/>
    <col min="3595" max="3595" width="5.7109375" customWidth="1"/>
    <col min="3596" max="3596" width="7.5703125" customWidth="1"/>
    <col min="3597" max="3597" width="8.7109375" customWidth="1"/>
    <col min="3598" max="3598" width="10.7109375" customWidth="1"/>
    <col min="3599" max="3599" width="9.28515625" customWidth="1"/>
    <col min="3600" max="3600" width="11.42578125" customWidth="1"/>
    <col min="3601" max="3601" width="35" customWidth="1"/>
    <col min="3602" max="3602" width="8.5703125" customWidth="1"/>
    <col min="3603" max="3603" width="10.7109375" customWidth="1"/>
    <col min="3604" max="3604" width="12.7109375" bestFit="1" customWidth="1"/>
    <col min="3605" max="3605" width="10.7109375" bestFit="1" customWidth="1"/>
    <col min="3849" max="3849" width="64.5703125" customWidth="1"/>
    <col min="3850" max="3850" width="13" customWidth="1"/>
    <col min="3851" max="3851" width="5.7109375" customWidth="1"/>
    <col min="3852" max="3852" width="7.5703125" customWidth="1"/>
    <col min="3853" max="3853" width="8.7109375" customWidth="1"/>
    <col min="3854" max="3854" width="10.7109375" customWidth="1"/>
    <col min="3855" max="3855" width="9.28515625" customWidth="1"/>
    <col min="3856" max="3856" width="11.42578125" customWidth="1"/>
    <col min="3857" max="3857" width="35" customWidth="1"/>
    <col min="3858" max="3858" width="8.5703125" customWidth="1"/>
    <col min="3859" max="3859" width="10.7109375" customWidth="1"/>
    <col min="3860" max="3860" width="12.7109375" bestFit="1" customWidth="1"/>
    <col min="3861" max="3861" width="10.7109375" bestFit="1" customWidth="1"/>
    <col min="4105" max="4105" width="64.5703125" customWidth="1"/>
    <col min="4106" max="4106" width="13" customWidth="1"/>
    <col min="4107" max="4107" width="5.7109375" customWidth="1"/>
    <col min="4108" max="4108" width="7.5703125" customWidth="1"/>
    <col min="4109" max="4109" width="8.7109375" customWidth="1"/>
    <col min="4110" max="4110" width="10.7109375" customWidth="1"/>
    <col min="4111" max="4111" width="9.28515625" customWidth="1"/>
    <col min="4112" max="4112" width="11.42578125" customWidth="1"/>
    <col min="4113" max="4113" width="35" customWidth="1"/>
    <col min="4114" max="4114" width="8.5703125" customWidth="1"/>
    <col min="4115" max="4115" width="10.7109375" customWidth="1"/>
    <col min="4116" max="4116" width="12.7109375" bestFit="1" customWidth="1"/>
    <col min="4117" max="4117" width="10.7109375" bestFit="1" customWidth="1"/>
    <col min="4361" max="4361" width="64.5703125" customWidth="1"/>
    <col min="4362" max="4362" width="13" customWidth="1"/>
    <col min="4363" max="4363" width="5.7109375" customWidth="1"/>
    <col min="4364" max="4364" width="7.5703125" customWidth="1"/>
    <col min="4365" max="4365" width="8.7109375" customWidth="1"/>
    <col min="4366" max="4366" width="10.7109375" customWidth="1"/>
    <col min="4367" max="4367" width="9.28515625" customWidth="1"/>
    <col min="4368" max="4368" width="11.42578125" customWidth="1"/>
    <col min="4369" max="4369" width="35" customWidth="1"/>
    <col min="4370" max="4370" width="8.5703125" customWidth="1"/>
    <col min="4371" max="4371" width="10.7109375" customWidth="1"/>
    <col min="4372" max="4372" width="12.7109375" bestFit="1" customWidth="1"/>
    <col min="4373" max="4373" width="10.7109375" bestFit="1" customWidth="1"/>
    <col min="4617" max="4617" width="64.5703125" customWidth="1"/>
    <col min="4618" max="4618" width="13" customWidth="1"/>
    <col min="4619" max="4619" width="5.7109375" customWidth="1"/>
    <col min="4620" max="4620" width="7.5703125" customWidth="1"/>
    <col min="4621" max="4621" width="8.7109375" customWidth="1"/>
    <col min="4622" max="4622" width="10.7109375" customWidth="1"/>
    <col min="4623" max="4623" width="9.28515625" customWidth="1"/>
    <col min="4624" max="4624" width="11.42578125" customWidth="1"/>
    <col min="4625" max="4625" width="35" customWidth="1"/>
    <col min="4626" max="4626" width="8.5703125" customWidth="1"/>
    <col min="4627" max="4627" width="10.7109375" customWidth="1"/>
    <col min="4628" max="4628" width="12.7109375" bestFit="1" customWidth="1"/>
    <col min="4629" max="4629" width="10.7109375" bestFit="1" customWidth="1"/>
    <col min="4873" max="4873" width="64.5703125" customWidth="1"/>
    <col min="4874" max="4874" width="13" customWidth="1"/>
    <col min="4875" max="4875" width="5.7109375" customWidth="1"/>
    <col min="4876" max="4876" width="7.5703125" customWidth="1"/>
    <col min="4877" max="4877" width="8.7109375" customWidth="1"/>
    <col min="4878" max="4878" width="10.7109375" customWidth="1"/>
    <col min="4879" max="4879" width="9.28515625" customWidth="1"/>
    <col min="4880" max="4880" width="11.42578125" customWidth="1"/>
    <col min="4881" max="4881" width="35" customWidth="1"/>
    <col min="4882" max="4882" width="8.5703125" customWidth="1"/>
    <col min="4883" max="4883" width="10.7109375" customWidth="1"/>
    <col min="4884" max="4884" width="12.7109375" bestFit="1" customWidth="1"/>
    <col min="4885" max="4885" width="10.7109375" bestFit="1" customWidth="1"/>
    <col min="5129" max="5129" width="64.5703125" customWidth="1"/>
    <col min="5130" max="5130" width="13" customWidth="1"/>
    <col min="5131" max="5131" width="5.7109375" customWidth="1"/>
    <col min="5132" max="5132" width="7.5703125" customWidth="1"/>
    <col min="5133" max="5133" width="8.7109375" customWidth="1"/>
    <col min="5134" max="5134" width="10.7109375" customWidth="1"/>
    <col min="5135" max="5135" width="9.28515625" customWidth="1"/>
    <col min="5136" max="5136" width="11.42578125" customWidth="1"/>
    <col min="5137" max="5137" width="35" customWidth="1"/>
    <col min="5138" max="5138" width="8.5703125" customWidth="1"/>
    <col min="5139" max="5139" width="10.7109375" customWidth="1"/>
    <col min="5140" max="5140" width="12.7109375" bestFit="1" customWidth="1"/>
    <col min="5141" max="5141" width="10.7109375" bestFit="1" customWidth="1"/>
    <col min="5385" max="5385" width="64.5703125" customWidth="1"/>
    <col min="5386" max="5386" width="13" customWidth="1"/>
    <col min="5387" max="5387" width="5.7109375" customWidth="1"/>
    <col min="5388" max="5388" width="7.5703125" customWidth="1"/>
    <col min="5389" max="5389" width="8.7109375" customWidth="1"/>
    <col min="5390" max="5390" width="10.7109375" customWidth="1"/>
    <col min="5391" max="5391" width="9.28515625" customWidth="1"/>
    <col min="5392" max="5392" width="11.42578125" customWidth="1"/>
    <col min="5393" max="5393" width="35" customWidth="1"/>
    <col min="5394" max="5394" width="8.5703125" customWidth="1"/>
    <col min="5395" max="5395" width="10.7109375" customWidth="1"/>
    <col min="5396" max="5396" width="12.7109375" bestFit="1" customWidth="1"/>
    <col min="5397" max="5397" width="10.7109375" bestFit="1" customWidth="1"/>
    <col min="5641" max="5641" width="64.5703125" customWidth="1"/>
    <col min="5642" max="5642" width="13" customWidth="1"/>
    <col min="5643" max="5643" width="5.7109375" customWidth="1"/>
    <col min="5644" max="5644" width="7.5703125" customWidth="1"/>
    <col min="5645" max="5645" width="8.7109375" customWidth="1"/>
    <col min="5646" max="5646" width="10.7109375" customWidth="1"/>
    <col min="5647" max="5647" width="9.28515625" customWidth="1"/>
    <col min="5648" max="5648" width="11.42578125" customWidth="1"/>
    <col min="5649" max="5649" width="35" customWidth="1"/>
    <col min="5650" max="5650" width="8.5703125" customWidth="1"/>
    <col min="5651" max="5651" width="10.7109375" customWidth="1"/>
    <col min="5652" max="5652" width="12.7109375" bestFit="1" customWidth="1"/>
    <col min="5653" max="5653" width="10.7109375" bestFit="1" customWidth="1"/>
    <col min="5897" max="5897" width="64.5703125" customWidth="1"/>
    <col min="5898" max="5898" width="13" customWidth="1"/>
    <col min="5899" max="5899" width="5.7109375" customWidth="1"/>
    <col min="5900" max="5900" width="7.5703125" customWidth="1"/>
    <col min="5901" max="5901" width="8.7109375" customWidth="1"/>
    <col min="5902" max="5902" width="10.7109375" customWidth="1"/>
    <col min="5903" max="5903" width="9.28515625" customWidth="1"/>
    <col min="5904" max="5904" width="11.42578125" customWidth="1"/>
    <col min="5905" max="5905" width="35" customWidth="1"/>
    <col min="5906" max="5906" width="8.5703125" customWidth="1"/>
    <col min="5907" max="5907" width="10.7109375" customWidth="1"/>
    <col min="5908" max="5908" width="12.7109375" bestFit="1" customWidth="1"/>
    <col min="5909" max="5909" width="10.7109375" bestFit="1" customWidth="1"/>
    <col min="6153" max="6153" width="64.5703125" customWidth="1"/>
    <col min="6154" max="6154" width="13" customWidth="1"/>
    <col min="6155" max="6155" width="5.7109375" customWidth="1"/>
    <col min="6156" max="6156" width="7.5703125" customWidth="1"/>
    <col min="6157" max="6157" width="8.7109375" customWidth="1"/>
    <col min="6158" max="6158" width="10.7109375" customWidth="1"/>
    <col min="6159" max="6159" width="9.28515625" customWidth="1"/>
    <col min="6160" max="6160" width="11.42578125" customWidth="1"/>
    <col min="6161" max="6161" width="35" customWidth="1"/>
    <col min="6162" max="6162" width="8.5703125" customWidth="1"/>
    <col min="6163" max="6163" width="10.7109375" customWidth="1"/>
    <col min="6164" max="6164" width="12.7109375" bestFit="1" customWidth="1"/>
    <col min="6165" max="6165" width="10.7109375" bestFit="1" customWidth="1"/>
    <col min="6409" max="6409" width="64.5703125" customWidth="1"/>
    <col min="6410" max="6410" width="13" customWidth="1"/>
    <col min="6411" max="6411" width="5.7109375" customWidth="1"/>
    <col min="6412" max="6412" width="7.5703125" customWidth="1"/>
    <col min="6413" max="6413" width="8.7109375" customWidth="1"/>
    <col min="6414" max="6414" width="10.7109375" customWidth="1"/>
    <col min="6415" max="6415" width="9.28515625" customWidth="1"/>
    <col min="6416" max="6416" width="11.42578125" customWidth="1"/>
    <col min="6417" max="6417" width="35" customWidth="1"/>
    <col min="6418" max="6418" width="8.5703125" customWidth="1"/>
    <col min="6419" max="6419" width="10.7109375" customWidth="1"/>
    <col min="6420" max="6420" width="12.7109375" bestFit="1" customWidth="1"/>
    <col min="6421" max="6421" width="10.7109375" bestFit="1" customWidth="1"/>
    <col min="6665" max="6665" width="64.5703125" customWidth="1"/>
    <col min="6666" max="6666" width="13" customWidth="1"/>
    <col min="6667" max="6667" width="5.7109375" customWidth="1"/>
    <col min="6668" max="6668" width="7.5703125" customWidth="1"/>
    <col min="6669" max="6669" width="8.7109375" customWidth="1"/>
    <col min="6670" max="6670" width="10.7109375" customWidth="1"/>
    <col min="6671" max="6671" width="9.28515625" customWidth="1"/>
    <col min="6672" max="6672" width="11.42578125" customWidth="1"/>
    <col min="6673" max="6673" width="35" customWidth="1"/>
    <col min="6674" max="6674" width="8.5703125" customWidth="1"/>
    <col min="6675" max="6675" width="10.7109375" customWidth="1"/>
    <col min="6676" max="6676" width="12.7109375" bestFit="1" customWidth="1"/>
    <col min="6677" max="6677" width="10.7109375" bestFit="1" customWidth="1"/>
    <col min="6921" max="6921" width="64.5703125" customWidth="1"/>
    <col min="6922" max="6922" width="13" customWidth="1"/>
    <col min="6923" max="6923" width="5.7109375" customWidth="1"/>
    <col min="6924" max="6924" width="7.5703125" customWidth="1"/>
    <col min="6925" max="6925" width="8.7109375" customWidth="1"/>
    <col min="6926" max="6926" width="10.7109375" customWidth="1"/>
    <col min="6927" max="6927" width="9.28515625" customWidth="1"/>
    <col min="6928" max="6928" width="11.42578125" customWidth="1"/>
    <col min="6929" max="6929" width="35" customWidth="1"/>
    <col min="6930" max="6930" width="8.5703125" customWidth="1"/>
    <col min="6931" max="6931" width="10.7109375" customWidth="1"/>
    <col min="6932" max="6932" width="12.7109375" bestFit="1" customWidth="1"/>
    <col min="6933" max="6933" width="10.7109375" bestFit="1" customWidth="1"/>
    <col min="7177" max="7177" width="64.5703125" customWidth="1"/>
    <col min="7178" max="7178" width="13" customWidth="1"/>
    <col min="7179" max="7179" width="5.7109375" customWidth="1"/>
    <col min="7180" max="7180" width="7.5703125" customWidth="1"/>
    <col min="7181" max="7181" width="8.7109375" customWidth="1"/>
    <col min="7182" max="7182" width="10.7109375" customWidth="1"/>
    <col min="7183" max="7183" width="9.28515625" customWidth="1"/>
    <col min="7184" max="7184" width="11.42578125" customWidth="1"/>
    <col min="7185" max="7185" width="35" customWidth="1"/>
    <col min="7186" max="7186" width="8.5703125" customWidth="1"/>
    <col min="7187" max="7187" width="10.7109375" customWidth="1"/>
    <col min="7188" max="7188" width="12.7109375" bestFit="1" customWidth="1"/>
    <col min="7189" max="7189" width="10.7109375" bestFit="1" customWidth="1"/>
    <col min="7433" max="7433" width="64.5703125" customWidth="1"/>
    <col min="7434" max="7434" width="13" customWidth="1"/>
    <col min="7435" max="7435" width="5.7109375" customWidth="1"/>
    <col min="7436" max="7436" width="7.5703125" customWidth="1"/>
    <col min="7437" max="7437" width="8.7109375" customWidth="1"/>
    <col min="7438" max="7438" width="10.7109375" customWidth="1"/>
    <col min="7439" max="7439" width="9.28515625" customWidth="1"/>
    <col min="7440" max="7440" width="11.42578125" customWidth="1"/>
    <col min="7441" max="7441" width="35" customWidth="1"/>
    <col min="7442" max="7442" width="8.5703125" customWidth="1"/>
    <col min="7443" max="7443" width="10.7109375" customWidth="1"/>
    <col min="7444" max="7444" width="12.7109375" bestFit="1" customWidth="1"/>
    <col min="7445" max="7445" width="10.7109375" bestFit="1" customWidth="1"/>
    <col min="7689" max="7689" width="64.5703125" customWidth="1"/>
    <col min="7690" max="7690" width="13" customWidth="1"/>
    <col min="7691" max="7691" width="5.7109375" customWidth="1"/>
    <col min="7692" max="7692" width="7.5703125" customWidth="1"/>
    <col min="7693" max="7693" width="8.7109375" customWidth="1"/>
    <col min="7694" max="7694" width="10.7109375" customWidth="1"/>
    <col min="7695" max="7695" width="9.28515625" customWidth="1"/>
    <col min="7696" max="7696" width="11.42578125" customWidth="1"/>
    <col min="7697" max="7697" width="35" customWidth="1"/>
    <col min="7698" max="7698" width="8.5703125" customWidth="1"/>
    <col min="7699" max="7699" width="10.7109375" customWidth="1"/>
    <col min="7700" max="7700" width="12.7109375" bestFit="1" customWidth="1"/>
    <col min="7701" max="7701" width="10.7109375" bestFit="1" customWidth="1"/>
    <col min="7945" max="7945" width="64.5703125" customWidth="1"/>
    <col min="7946" max="7946" width="13" customWidth="1"/>
    <col min="7947" max="7947" width="5.7109375" customWidth="1"/>
    <col min="7948" max="7948" width="7.5703125" customWidth="1"/>
    <col min="7949" max="7949" width="8.7109375" customWidth="1"/>
    <col min="7950" max="7950" width="10.7109375" customWidth="1"/>
    <col min="7951" max="7951" width="9.28515625" customWidth="1"/>
    <col min="7952" max="7952" width="11.42578125" customWidth="1"/>
    <col min="7953" max="7953" width="35" customWidth="1"/>
    <col min="7954" max="7954" width="8.5703125" customWidth="1"/>
    <col min="7955" max="7955" width="10.7109375" customWidth="1"/>
    <col min="7956" max="7956" width="12.7109375" bestFit="1" customWidth="1"/>
    <col min="7957" max="7957" width="10.7109375" bestFit="1" customWidth="1"/>
    <col min="8201" max="8201" width="64.5703125" customWidth="1"/>
    <col min="8202" max="8202" width="13" customWidth="1"/>
    <col min="8203" max="8203" width="5.7109375" customWidth="1"/>
    <col min="8204" max="8204" width="7.5703125" customWidth="1"/>
    <col min="8205" max="8205" width="8.7109375" customWidth="1"/>
    <col min="8206" max="8206" width="10.7109375" customWidth="1"/>
    <col min="8207" max="8207" width="9.28515625" customWidth="1"/>
    <col min="8208" max="8208" width="11.42578125" customWidth="1"/>
    <col min="8209" max="8209" width="35" customWidth="1"/>
    <col min="8210" max="8210" width="8.5703125" customWidth="1"/>
    <col min="8211" max="8211" width="10.7109375" customWidth="1"/>
    <col min="8212" max="8212" width="12.7109375" bestFit="1" customWidth="1"/>
    <col min="8213" max="8213" width="10.7109375" bestFit="1" customWidth="1"/>
    <col min="8457" max="8457" width="64.5703125" customWidth="1"/>
    <col min="8458" max="8458" width="13" customWidth="1"/>
    <col min="8459" max="8459" width="5.7109375" customWidth="1"/>
    <col min="8460" max="8460" width="7.5703125" customWidth="1"/>
    <col min="8461" max="8461" width="8.7109375" customWidth="1"/>
    <col min="8462" max="8462" width="10.7109375" customWidth="1"/>
    <col min="8463" max="8463" width="9.28515625" customWidth="1"/>
    <col min="8464" max="8464" width="11.42578125" customWidth="1"/>
    <col min="8465" max="8465" width="35" customWidth="1"/>
    <col min="8466" max="8466" width="8.5703125" customWidth="1"/>
    <col min="8467" max="8467" width="10.7109375" customWidth="1"/>
    <col min="8468" max="8468" width="12.7109375" bestFit="1" customWidth="1"/>
    <col min="8469" max="8469" width="10.7109375" bestFit="1" customWidth="1"/>
    <col min="8713" max="8713" width="64.5703125" customWidth="1"/>
    <col min="8714" max="8714" width="13" customWidth="1"/>
    <col min="8715" max="8715" width="5.7109375" customWidth="1"/>
    <col min="8716" max="8716" width="7.5703125" customWidth="1"/>
    <col min="8717" max="8717" width="8.7109375" customWidth="1"/>
    <col min="8718" max="8718" width="10.7109375" customWidth="1"/>
    <col min="8719" max="8719" width="9.28515625" customWidth="1"/>
    <col min="8720" max="8720" width="11.42578125" customWidth="1"/>
    <col min="8721" max="8721" width="35" customWidth="1"/>
    <col min="8722" max="8722" width="8.5703125" customWidth="1"/>
    <col min="8723" max="8723" width="10.7109375" customWidth="1"/>
    <col min="8724" max="8724" width="12.7109375" bestFit="1" customWidth="1"/>
    <col min="8725" max="8725" width="10.7109375" bestFit="1" customWidth="1"/>
    <col min="8969" max="8969" width="64.5703125" customWidth="1"/>
    <col min="8970" max="8970" width="13" customWidth="1"/>
    <col min="8971" max="8971" width="5.7109375" customWidth="1"/>
    <col min="8972" max="8972" width="7.5703125" customWidth="1"/>
    <col min="8973" max="8973" width="8.7109375" customWidth="1"/>
    <col min="8974" max="8974" width="10.7109375" customWidth="1"/>
    <col min="8975" max="8975" width="9.28515625" customWidth="1"/>
    <col min="8976" max="8976" width="11.42578125" customWidth="1"/>
    <col min="8977" max="8977" width="35" customWidth="1"/>
    <col min="8978" max="8978" width="8.5703125" customWidth="1"/>
    <col min="8979" max="8979" width="10.7109375" customWidth="1"/>
    <col min="8980" max="8980" width="12.7109375" bestFit="1" customWidth="1"/>
    <col min="8981" max="8981" width="10.7109375" bestFit="1" customWidth="1"/>
    <col min="9225" max="9225" width="64.5703125" customWidth="1"/>
    <col min="9226" max="9226" width="13" customWidth="1"/>
    <col min="9227" max="9227" width="5.7109375" customWidth="1"/>
    <col min="9228" max="9228" width="7.5703125" customWidth="1"/>
    <col min="9229" max="9229" width="8.7109375" customWidth="1"/>
    <col min="9230" max="9230" width="10.7109375" customWidth="1"/>
    <col min="9231" max="9231" width="9.28515625" customWidth="1"/>
    <col min="9232" max="9232" width="11.42578125" customWidth="1"/>
    <col min="9233" max="9233" width="35" customWidth="1"/>
    <col min="9234" max="9234" width="8.5703125" customWidth="1"/>
    <col min="9235" max="9235" width="10.7109375" customWidth="1"/>
    <col min="9236" max="9236" width="12.7109375" bestFit="1" customWidth="1"/>
    <col min="9237" max="9237" width="10.7109375" bestFit="1" customWidth="1"/>
    <col min="9481" max="9481" width="64.5703125" customWidth="1"/>
    <col min="9482" max="9482" width="13" customWidth="1"/>
    <col min="9483" max="9483" width="5.7109375" customWidth="1"/>
    <col min="9484" max="9484" width="7.5703125" customWidth="1"/>
    <col min="9485" max="9485" width="8.7109375" customWidth="1"/>
    <col min="9486" max="9486" width="10.7109375" customWidth="1"/>
    <col min="9487" max="9487" width="9.28515625" customWidth="1"/>
    <col min="9488" max="9488" width="11.42578125" customWidth="1"/>
    <col min="9489" max="9489" width="35" customWidth="1"/>
    <col min="9490" max="9490" width="8.5703125" customWidth="1"/>
    <col min="9491" max="9491" width="10.7109375" customWidth="1"/>
    <col min="9492" max="9492" width="12.7109375" bestFit="1" customWidth="1"/>
    <col min="9493" max="9493" width="10.7109375" bestFit="1" customWidth="1"/>
    <col min="9737" max="9737" width="64.5703125" customWidth="1"/>
    <col min="9738" max="9738" width="13" customWidth="1"/>
    <col min="9739" max="9739" width="5.7109375" customWidth="1"/>
    <col min="9740" max="9740" width="7.5703125" customWidth="1"/>
    <col min="9741" max="9741" width="8.7109375" customWidth="1"/>
    <col min="9742" max="9742" width="10.7109375" customWidth="1"/>
    <col min="9743" max="9743" width="9.28515625" customWidth="1"/>
    <col min="9744" max="9744" width="11.42578125" customWidth="1"/>
    <col min="9745" max="9745" width="35" customWidth="1"/>
    <col min="9746" max="9746" width="8.5703125" customWidth="1"/>
    <col min="9747" max="9747" width="10.7109375" customWidth="1"/>
    <col min="9748" max="9748" width="12.7109375" bestFit="1" customWidth="1"/>
    <col min="9749" max="9749" width="10.7109375" bestFit="1" customWidth="1"/>
    <col min="9993" max="9993" width="64.5703125" customWidth="1"/>
    <col min="9994" max="9994" width="13" customWidth="1"/>
    <col min="9995" max="9995" width="5.7109375" customWidth="1"/>
    <col min="9996" max="9996" width="7.5703125" customWidth="1"/>
    <col min="9997" max="9997" width="8.7109375" customWidth="1"/>
    <col min="9998" max="9998" width="10.7109375" customWidth="1"/>
    <col min="9999" max="9999" width="9.28515625" customWidth="1"/>
    <col min="10000" max="10000" width="11.42578125" customWidth="1"/>
    <col min="10001" max="10001" width="35" customWidth="1"/>
    <col min="10002" max="10002" width="8.5703125" customWidth="1"/>
    <col min="10003" max="10003" width="10.7109375" customWidth="1"/>
    <col min="10004" max="10004" width="12.7109375" bestFit="1" customWidth="1"/>
    <col min="10005" max="10005" width="10.7109375" bestFit="1" customWidth="1"/>
    <col min="10249" max="10249" width="64.5703125" customWidth="1"/>
    <col min="10250" max="10250" width="13" customWidth="1"/>
    <col min="10251" max="10251" width="5.7109375" customWidth="1"/>
    <col min="10252" max="10252" width="7.5703125" customWidth="1"/>
    <col min="10253" max="10253" width="8.7109375" customWidth="1"/>
    <col min="10254" max="10254" width="10.7109375" customWidth="1"/>
    <col min="10255" max="10255" width="9.28515625" customWidth="1"/>
    <col min="10256" max="10256" width="11.42578125" customWidth="1"/>
    <col min="10257" max="10257" width="35" customWidth="1"/>
    <col min="10258" max="10258" width="8.5703125" customWidth="1"/>
    <col min="10259" max="10259" width="10.7109375" customWidth="1"/>
    <col min="10260" max="10260" width="12.7109375" bestFit="1" customWidth="1"/>
    <col min="10261" max="10261" width="10.7109375" bestFit="1" customWidth="1"/>
    <col min="10505" max="10505" width="64.5703125" customWidth="1"/>
    <col min="10506" max="10506" width="13" customWidth="1"/>
    <col min="10507" max="10507" width="5.7109375" customWidth="1"/>
    <col min="10508" max="10508" width="7.5703125" customWidth="1"/>
    <col min="10509" max="10509" width="8.7109375" customWidth="1"/>
    <col min="10510" max="10510" width="10.7109375" customWidth="1"/>
    <col min="10511" max="10511" width="9.28515625" customWidth="1"/>
    <col min="10512" max="10512" width="11.42578125" customWidth="1"/>
    <col min="10513" max="10513" width="35" customWidth="1"/>
    <col min="10514" max="10514" width="8.5703125" customWidth="1"/>
    <col min="10515" max="10515" width="10.7109375" customWidth="1"/>
    <col min="10516" max="10516" width="12.7109375" bestFit="1" customWidth="1"/>
    <col min="10517" max="10517" width="10.7109375" bestFit="1" customWidth="1"/>
    <col min="10761" max="10761" width="64.5703125" customWidth="1"/>
    <col min="10762" max="10762" width="13" customWidth="1"/>
    <col min="10763" max="10763" width="5.7109375" customWidth="1"/>
    <col min="10764" max="10764" width="7.5703125" customWidth="1"/>
    <col min="10765" max="10765" width="8.7109375" customWidth="1"/>
    <col min="10766" max="10766" width="10.7109375" customWidth="1"/>
    <col min="10767" max="10767" width="9.28515625" customWidth="1"/>
    <col min="10768" max="10768" width="11.42578125" customWidth="1"/>
    <col min="10769" max="10769" width="35" customWidth="1"/>
    <col min="10770" max="10770" width="8.5703125" customWidth="1"/>
    <col min="10771" max="10771" width="10.7109375" customWidth="1"/>
    <col min="10772" max="10772" width="12.7109375" bestFit="1" customWidth="1"/>
    <col min="10773" max="10773" width="10.7109375" bestFit="1" customWidth="1"/>
    <col min="11017" max="11017" width="64.5703125" customWidth="1"/>
    <col min="11018" max="11018" width="13" customWidth="1"/>
    <col min="11019" max="11019" width="5.7109375" customWidth="1"/>
    <col min="11020" max="11020" width="7.5703125" customWidth="1"/>
    <col min="11021" max="11021" width="8.7109375" customWidth="1"/>
    <col min="11022" max="11022" width="10.7109375" customWidth="1"/>
    <col min="11023" max="11023" width="9.28515625" customWidth="1"/>
    <col min="11024" max="11024" width="11.42578125" customWidth="1"/>
    <col min="11025" max="11025" width="35" customWidth="1"/>
    <col min="11026" max="11026" width="8.5703125" customWidth="1"/>
    <col min="11027" max="11027" width="10.7109375" customWidth="1"/>
    <col min="11028" max="11028" width="12.7109375" bestFit="1" customWidth="1"/>
    <col min="11029" max="11029" width="10.7109375" bestFit="1" customWidth="1"/>
    <col min="11273" max="11273" width="64.5703125" customWidth="1"/>
    <col min="11274" max="11274" width="13" customWidth="1"/>
    <col min="11275" max="11275" width="5.7109375" customWidth="1"/>
    <col min="11276" max="11276" width="7.5703125" customWidth="1"/>
    <col min="11277" max="11277" width="8.7109375" customWidth="1"/>
    <col min="11278" max="11278" width="10.7109375" customWidth="1"/>
    <col min="11279" max="11279" width="9.28515625" customWidth="1"/>
    <col min="11280" max="11280" width="11.42578125" customWidth="1"/>
    <col min="11281" max="11281" width="35" customWidth="1"/>
    <col min="11282" max="11282" width="8.5703125" customWidth="1"/>
    <col min="11283" max="11283" width="10.7109375" customWidth="1"/>
    <col min="11284" max="11284" width="12.7109375" bestFit="1" customWidth="1"/>
    <col min="11285" max="11285" width="10.7109375" bestFit="1" customWidth="1"/>
    <col min="11529" max="11529" width="64.5703125" customWidth="1"/>
    <col min="11530" max="11530" width="13" customWidth="1"/>
    <col min="11531" max="11531" width="5.7109375" customWidth="1"/>
    <col min="11532" max="11532" width="7.5703125" customWidth="1"/>
    <col min="11533" max="11533" width="8.7109375" customWidth="1"/>
    <col min="11534" max="11534" width="10.7109375" customWidth="1"/>
    <col min="11535" max="11535" width="9.28515625" customWidth="1"/>
    <col min="11536" max="11536" width="11.42578125" customWidth="1"/>
    <col min="11537" max="11537" width="35" customWidth="1"/>
    <col min="11538" max="11538" width="8.5703125" customWidth="1"/>
    <col min="11539" max="11539" width="10.7109375" customWidth="1"/>
    <col min="11540" max="11540" width="12.7109375" bestFit="1" customWidth="1"/>
    <col min="11541" max="11541" width="10.7109375" bestFit="1" customWidth="1"/>
    <col min="11785" max="11785" width="64.5703125" customWidth="1"/>
    <col min="11786" max="11786" width="13" customWidth="1"/>
    <col min="11787" max="11787" width="5.7109375" customWidth="1"/>
    <col min="11788" max="11788" width="7.5703125" customWidth="1"/>
    <col min="11789" max="11789" width="8.7109375" customWidth="1"/>
    <col min="11790" max="11790" width="10.7109375" customWidth="1"/>
    <col min="11791" max="11791" width="9.28515625" customWidth="1"/>
    <col min="11792" max="11792" width="11.42578125" customWidth="1"/>
    <col min="11793" max="11793" width="35" customWidth="1"/>
    <col min="11794" max="11794" width="8.5703125" customWidth="1"/>
    <col min="11795" max="11795" width="10.7109375" customWidth="1"/>
    <col min="11796" max="11796" width="12.7109375" bestFit="1" customWidth="1"/>
    <col min="11797" max="11797" width="10.7109375" bestFit="1" customWidth="1"/>
    <col min="12041" max="12041" width="64.5703125" customWidth="1"/>
    <col min="12042" max="12042" width="13" customWidth="1"/>
    <col min="12043" max="12043" width="5.7109375" customWidth="1"/>
    <col min="12044" max="12044" width="7.5703125" customWidth="1"/>
    <col min="12045" max="12045" width="8.7109375" customWidth="1"/>
    <col min="12046" max="12046" width="10.7109375" customWidth="1"/>
    <col min="12047" max="12047" width="9.28515625" customWidth="1"/>
    <col min="12048" max="12048" width="11.42578125" customWidth="1"/>
    <col min="12049" max="12049" width="35" customWidth="1"/>
    <col min="12050" max="12050" width="8.5703125" customWidth="1"/>
    <col min="12051" max="12051" width="10.7109375" customWidth="1"/>
    <col min="12052" max="12052" width="12.7109375" bestFit="1" customWidth="1"/>
    <col min="12053" max="12053" width="10.7109375" bestFit="1" customWidth="1"/>
    <col min="12297" max="12297" width="64.5703125" customWidth="1"/>
    <col min="12298" max="12298" width="13" customWidth="1"/>
    <col min="12299" max="12299" width="5.7109375" customWidth="1"/>
    <col min="12300" max="12300" width="7.5703125" customWidth="1"/>
    <col min="12301" max="12301" width="8.7109375" customWidth="1"/>
    <col min="12302" max="12302" width="10.7109375" customWidth="1"/>
    <col min="12303" max="12303" width="9.28515625" customWidth="1"/>
    <col min="12304" max="12304" width="11.42578125" customWidth="1"/>
    <col min="12305" max="12305" width="35" customWidth="1"/>
    <col min="12306" max="12306" width="8.5703125" customWidth="1"/>
    <col min="12307" max="12307" width="10.7109375" customWidth="1"/>
    <col min="12308" max="12308" width="12.7109375" bestFit="1" customWidth="1"/>
    <col min="12309" max="12309" width="10.7109375" bestFit="1" customWidth="1"/>
    <col min="12553" max="12553" width="64.5703125" customWidth="1"/>
    <col min="12554" max="12554" width="13" customWidth="1"/>
    <col min="12555" max="12555" width="5.7109375" customWidth="1"/>
    <col min="12556" max="12556" width="7.5703125" customWidth="1"/>
    <col min="12557" max="12557" width="8.7109375" customWidth="1"/>
    <col min="12558" max="12558" width="10.7109375" customWidth="1"/>
    <col min="12559" max="12559" width="9.28515625" customWidth="1"/>
    <col min="12560" max="12560" width="11.42578125" customWidth="1"/>
    <col min="12561" max="12561" width="35" customWidth="1"/>
    <col min="12562" max="12562" width="8.5703125" customWidth="1"/>
    <col min="12563" max="12563" width="10.7109375" customWidth="1"/>
    <col min="12564" max="12564" width="12.7109375" bestFit="1" customWidth="1"/>
    <col min="12565" max="12565" width="10.7109375" bestFit="1" customWidth="1"/>
    <col min="12809" max="12809" width="64.5703125" customWidth="1"/>
    <col min="12810" max="12810" width="13" customWidth="1"/>
    <col min="12811" max="12811" width="5.7109375" customWidth="1"/>
    <col min="12812" max="12812" width="7.5703125" customWidth="1"/>
    <col min="12813" max="12813" width="8.7109375" customWidth="1"/>
    <col min="12814" max="12814" width="10.7109375" customWidth="1"/>
    <col min="12815" max="12815" width="9.28515625" customWidth="1"/>
    <col min="12816" max="12816" width="11.42578125" customWidth="1"/>
    <col min="12817" max="12817" width="35" customWidth="1"/>
    <col min="12818" max="12818" width="8.5703125" customWidth="1"/>
    <col min="12819" max="12819" width="10.7109375" customWidth="1"/>
    <col min="12820" max="12820" width="12.7109375" bestFit="1" customWidth="1"/>
    <col min="12821" max="12821" width="10.7109375" bestFit="1" customWidth="1"/>
    <col min="13065" max="13065" width="64.5703125" customWidth="1"/>
    <col min="13066" max="13066" width="13" customWidth="1"/>
    <col min="13067" max="13067" width="5.7109375" customWidth="1"/>
    <col min="13068" max="13068" width="7.5703125" customWidth="1"/>
    <col min="13069" max="13069" width="8.7109375" customWidth="1"/>
    <col min="13070" max="13070" width="10.7109375" customWidth="1"/>
    <col min="13071" max="13071" width="9.28515625" customWidth="1"/>
    <col min="13072" max="13072" width="11.42578125" customWidth="1"/>
    <col min="13073" max="13073" width="35" customWidth="1"/>
    <col min="13074" max="13074" width="8.5703125" customWidth="1"/>
    <col min="13075" max="13075" width="10.7109375" customWidth="1"/>
    <col min="13076" max="13076" width="12.7109375" bestFit="1" customWidth="1"/>
    <col min="13077" max="13077" width="10.7109375" bestFit="1" customWidth="1"/>
    <col min="13321" max="13321" width="64.5703125" customWidth="1"/>
    <col min="13322" max="13322" width="13" customWidth="1"/>
    <col min="13323" max="13323" width="5.7109375" customWidth="1"/>
    <col min="13324" max="13324" width="7.5703125" customWidth="1"/>
    <col min="13325" max="13325" width="8.7109375" customWidth="1"/>
    <col min="13326" max="13326" width="10.7109375" customWidth="1"/>
    <col min="13327" max="13327" width="9.28515625" customWidth="1"/>
    <col min="13328" max="13328" width="11.42578125" customWidth="1"/>
    <col min="13329" max="13329" width="35" customWidth="1"/>
    <col min="13330" max="13330" width="8.5703125" customWidth="1"/>
    <col min="13331" max="13331" width="10.7109375" customWidth="1"/>
    <col min="13332" max="13332" width="12.7109375" bestFit="1" customWidth="1"/>
    <col min="13333" max="13333" width="10.7109375" bestFit="1" customWidth="1"/>
    <col min="13577" max="13577" width="64.5703125" customWidth="1"/>
    <col min="13578" max="13578" width="13" customWidth="1"/>
    <col min="13579" max="13579" width="5.7109375" customWidth="1"/>
    <col min="13580" max="13580" width="7.5703125" customWidth="1"/>
    <col min="13581" max="13581" width="8.7109375" customWidth="1"/>
    <col min="13582" max="13582" width="10.7109375" customWidth="1"/>
    <col min="13583" max="13583" width="9.28515625" customWidth="1"/>
    <col min="13584" max="13584" width="11.42578125" customWidth="1"/>
    <col min="13585" max="13585" width="35" customWidth="1"/>
    <col min="13586" max="13586" width="8.5703125" customWidth="1"/>
    <col min="13587" max="13587" width="10.7109375" customWidth="1"/>
    <col min="13588" max="13588" width="12.7109375" bestFit="1" customWidth="1"/>
    <col min="13589" max="13589" width="10.7109375" bestFit="1" customWidth="1"/>
    <col min="13833" max="13833" width="64.5703125" customWidth="1"/>
    <col min="13834" max="13834" width="13" customWidth="1"/>
    <col min="13835" max="13835" width="5.7109375" customWidth="1"/>
    <col min="13836" max="13836" width="7.5703125" customWidth="1"/>
    <col min="13837" max="13837" width="8.7109375" customWidth="1"/>
    <col min="13838" max="13838" width="10.7109375" customWidth="1"/>
    <col min="13839" max="13839" width="9.28515625" customWidth="1"/>
    <col min="13840" max="13840" width="11.42578125" customWidth="1"/>
    <col min="13841" max="13841" width="35" customWidth="1"/>
    <col min="13842" max="13842" width="8.5703125" customWidth="1"/>
    <col min="13843" max="13843" width="10.7109375" customWidth="1"/>
    <col min="13844" max="13844" width="12.7109375" bestFit="1" customWidth="1"/>
    <col min="13845" max="13845" width="10.7109375" bestFit="1" customWidth="1"/>
    <col min="14089" max="14089" width="64.5703125" customWidth="1"/>
    <col min="14090" max="14090" width="13" customWidth="1"/>
    <col min="14091" max="14091" width="5.7109375" customWidth="1"/>
    <col min="14092" max="14092" width="7.5703125" customWidth="1"/>
    <col min="14093" max="14093" width="8.7109375" customWidth="1"/>
    <col min="14094" max="14094" width="10.7109375" customWidth="1"/>
    <col min="14095" max="14095" width="9.28515625" customWidth="1"/>
    <col min="14096" max="14096" width="11.42578125" customWidth="1"/>
    <col min="14097" max="14097" width="35" customWidth="1"/>
    <col min="14098" max="14098" width="8.5703125" customWidth="1"/>
    <col min="14099" max="14099" width="10.7109375" customWidth="1"/>
    <col min="14100" max="14100" width="12.7109375" bestFit="1" customWidth="1"/>
    <col min="14101" max="14101" width="10.7109375" bestFit="1" customWidth="1"/>
    <col min="14345" max="14345" width="64.5703125" customWidth="1"/>
    <col min="14346" max="14346" width="13" customWidth="1"/>
    <col min="14347" max="14347" width="5.7109375" customWidth="1"/>
    <col min="14348" max="14348" width="7.5703125" customWidth="1"/>
    <col min="14349" max="14349" width="8.7109375" customWidth="1"/>
    <col min="14350" max="14350" width="10.7109375" customWidth="1"/>
    <col min="14351" max="14351" width="9.28515625" customWidth="1"/>
    <col min="14352" max="14352" width="11.42578125" customWidth="1"/>
    <col min="14353" max="14353" width="35" customWidth="1"/>
    <col min="14354" max="14354" width="8.5703125" customWidth="1"/>
    <col min="14355" max="14355" width="10.7109375" customWidth="1"/>
    <col min="14356" max="14356" width="12.7109375" bestFit="1" customWidth="1"/>
    <col min="14357" max="14357" width="10.7109375" bestFit="1" customWidth="1"/>
    <col min="14601" max="14601" width="64.5703125" customWidth="1"/>
    <col min="14602" max="14602" width="13" customWidth="1"/>
    <col min="14603" max="14603" width="5.7109375" customWidth="1"/>
    <col min="14604" max="14604" width="7.5703125" customWidth="1"/>
    <col min="14605" max="14605" width="8.7109375" customWidth="1"/>
    <col min="14606" max="14606" width="10.7109375" customWidth="1"/>
    <col min="14607" max="14607" width="9.28515625" customWidth="1"/>
    <col min="14608" max="14608" width="11.42578125" customWidth="1"/>
    <col min="14609" max="14609" width="35" customWidth="1"/>
    <col min="14610" max="14610" width="8.5703125" customWidth="1"/>
    <col min="14611" max="14611" width="10.7109375" customWidth="1"/>
    <col min="14612" max="14612" width="12.7109375" bestFit="1" customWidth="1"/>
    <col min="14613" max="14613" width="10.7109375" bestFit="1" customWidth="1"/>
    <col min="14857" max="14857" width="64.5703125" customWidth="1"/>
    <col min="14858" max="14858" width="13" customWidth="1"/>
    <col min="14859" max="14859" width="5.7109375" customWidth="1"/>
    <col min="14860" max="14860" width="7.5703125" customWidth="1"/>
    <col min="14861" max="14861" width="8.7109375" customWidth="1"/>
    <col min="14862" max="14862" width="10.7109375" customWidth="1"/>
    <col min="14863" max="14863" width="9.28515625" customWidth="1"/>
    <col min="14864" max="14864" width="11.42578125" customWidth="1"/>
    <col min="14865" max="14865" width="35" customWidth="1"/>
    <col min="14866" max="14866" width="8.5703125" customWidth="1"/>
    <col min="14867" max="14867" width="10.7109375" customWidth="1"/>
    <col min="14868" max="14868" width="12.7109375" bestFit="1" customWidth="1"/>
    <col min="14869" max="14869" width="10.7109375" bestFit="1" customWidth="1"/>
    <col min="15113" max="15113" width="64.5703125" customWidth="1"/>
    <col min="15114" max="15114" width="13" customWidth="1"/>
    <col min="15115" max="15115" width="5.7109375" customWidth="1"/>
    <col min="15116" max="15116" width="7.5703125" customWidth="1"/>
    <col min="15117" max="15117" width="8.7109375" customWidth="1"/>
    <col min="15118" max="15118" width="10.7109375" customWidth="1"/>
    <col min="15119" max="15119" width="9.28515625" customWidth="1"/>
    <col min="15120" max="15120" width="11.42578125" customWidth="1"/>
    <col min="15121" max="15121" width="35" customWidth="1"/>
    <col min="15122" max="15122" width="8.5703125" customWidth="1"/>
    <col min="15123" max="15123" width="10.7109375" customWidth="1"/>
    <col min="15124" max="15124" width="12.7109375" bestFit="1" customWidth="1"/>
    <col min="15125" max="15125" width="10.7109375" bestFit="1" customWidth="1"/>
    <col min="15369" max="15369" width="64.5703125" customWidth="1"/>
    <col min="15370" max="15370" width="13" customWidth="1"/>
    <col min="15371" max="15371" width="5.7109375" customWidth="1"/>
    <col min="15372" max="15372" width="7.5703125" customWidth="1"/>
    <col min="15373" max="15373" width="8.7109375" customWidth="1"/>
    <col min="15374" max="15374" width="10.7109375" customWidth="1"/>
    <col min="15375" max="15375" width="9.28515625" customWidth="1"/>
    <col min="15376" max="15376" width="11.42578125" customWidth="1"/>
    <col min="15377" max="15377" width="35" customWidth="1"/>
    <col min="15378" max="15378" width="8.5703125" customWidth="1"/>
    <col min="15379" max="15379" width="10.7109375" customWidth="1"/>
    <col min="15380" max="15380" width="12.7109375" bestFit="1" customWidth="1"/>
    <col min="15381" max="15381" width="10.7109375" bestFit="1" customWidth="1"/>
    <col min="15625" max="15625" width="64.5703125" customWidth="1"/>
    <col min="15626" max="15626" width="13" customWidth="1"/>
    <col min="15627" max="15627" width="5.7109375" customWidth="1"/>
    <col min="15628" max="15628" width="7.5703125" customWidth="1"/>
    <col min="15629" max="15629" width="8.7109375" customWidth="1"/>
    <col min="15630" max="15630" width="10.7109375" customWidth="1"/>
    <col min="15631" max="15631" width="9.28515625" customWidth="1"/>
    <col min="15632" max="15632" width="11.42578125" customWidth="1"/>
    <col min="15633" max="15633" width="35" customWidth="1"/>
    <col min="15634" max="15634" width="8.5703125" customWidth="1"/>
    <col min="15635" max="15635" width="10.7109375" customWidth="1"/>
    <col min="15636" max="15636" width="12.7109375" bestFit="1" customWidth="1"/>
    <col min="15637" max="15637" width="10.7109375" bestFit="1" customWidth="1"/>
    <col min="15881" max="15881" width="64.5703125" customWidth="1"/>
    <col min="15882" max="15882" width="13" customWidth="1"/>
    <col min="15883" max="15883" width="5.7109375" customWidth="1"/>
    <col min="15884" max="15884" width="7.5703125" customWidth="1"/>
    <col min="15885" max="15885" width="8.7109375" customWidth="1"/>
    <col min="15886" max="15886" width="10.7109375" customWidth="1"/>
    <col min="15887" max="15887" width="9.28515625" customWidth="1"/>
    <col min="15888" max="15888" width="11.42578125" customWidth="1"/>
    <col min="15889" max="15889" width="35" customWidth="1"/>
    <col min="15890" max="15890" width="8.5703125" customWidth="1"/>
    <col min="15891" max="15891" width="10.7109375" customWidth="1"/>
    <col min="15892" max="15892" width="12.7109375" bestFit="1" customWidth="1"/>
    <col min="15893" max="15893" width="10.7109375" bestFit="1" customWidth="1"/>
    <col min="16137" max="16137" width="64.5703125" customWidth="1"/>
    <col min="16138" max="16138" width="13" customWidth="1"/>
    <col min="16139" max="16139" width="5.7109375" customWidth="1"/>
    <col min="16140" max="16140" width="7.5703125" customWidth="1"/>
    <col min="16141" max="16141" width="8.7109375" customWidth="1"/>
    <col min="16142" max="16142" width="10.7109375" customWidth="1"/>
    <col min="16143" max="16143" width="9.28515625" customWidth="1"/>
    <col min="16144" max="16144" width="11.42578125" customWidth="1"/>
    <col min="16145" max="16145" width="35" customWidth="1"/>
    <col min="16146" max="16146" width="8.5703125" customWidth="1"/>
    <col min="16147" max="16147" width="10.7109375" customWidth="1"/>
    <col min="16148" max="16148" width="12.7109375" bestFit="1" customWidth="1"/>
    <col min="16149" max="16149" width="10.7109375" bestFit="1" customWidth="1"/>
  </cols>
  <sheetData>
    <row r="1" spans="1:44" s="163" customFormat="1" ht="50.25" customHeight="1" x14ac:dyDescent="0.2">
      <c r="A1" s="421" t="s">
        <v>1130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324"/>
      <c r="Q1" s="207"/>
      <c r="R1" s="208"/>
      <c r="S1" s="208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</row>
    <row r="2" spans="1:44" s="163" customFormat="1" x14ac:dyDescent="0.2">
      <c r="A2" s="210"/>
      <c r="B2" s="210"/>
      <c r="C2" s="210"/>
      <c r="D2" s="210"/>
      <c r="E2" s="210"/>
      <c r="F2" s="38"/>
      <c r="G2" s="38"/>
      <c r="H2" s="301"/>
      <c r="I2" s="33"/>
      <c r="J2" s="38"/>
      <c r="K2" s="301"/>
      <c r="L2" s="33"/>
      <c r="M2" s="297"/>
      <c r="N2" s="33"/>
      <c r="O2" s="33"/>
      <c r="P2" s="297"/>
      <c r="Q2" s="207"/>
      <c r="R2" s="208"/>
      <c r="S2" s="208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</row>
    <row r="3" spans="1:44" s="163" customFormat="1" ht="15.75" x14ac:dyDescent="0.25">
      <c r="A3" s="415" t="s">
        <v>702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325"/>
      <c r="Q3" s="207"/>
      <c r="R3" s="208"/>
      <c r="S3" s="208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</row>
    <row r="4" spans="1:44" s="163" customFormat="1" ht="32.25" customHeight="1" x14ac:dyDescent="0.25">
      <c r="A4" s="435" t="s">
        <v>703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326"/>
      <c r="Q4" s="207"/>
      <c r="R4" s="208"/>
      <c r="S4" s="208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</row>
    <row r="5" spans="1:44" s="163" customFormat="1" x14ac:dyDescent="0.2">
      <c r="A5" s="211"/>
      <c r="B5" s="41"/>
      <c r="C5" s="41"/>
      <c r="D5" s="41"/>
      <c r="E5" s="41"/>
      <c r="F5" s="212"/>
      <c r="G5" s="212"/>
      <c r="H5" s="313"/>
      <c r="I5" s="213"/>
      <c r="J5" s="212"/>
      <c r="K5" s="313"/>
      <c r="L5" s="213"/>
      <c r="M5" s="318"/>
      <c r="N5" s="42" t="s">
        <v>664</v>
      </c>
      <c r="O5" s="42" t="s">
        <v>664</v>
      </c>
      <c r="P5" s="305"/>
      <c r="Q5" s="207"/>
      <c r="R5" s="208"/>
      <c r="S5" s="208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</row>
    <row r="6" spans="1:44" x14ac:dyDescent="0.2">
      <c r="A6" s="436" t="s">
        <v>704</v>
      </c>
      <c r="B6" s="438" t="s">
        <v>660</v>
      </c>
      <c r="C6" s="436" t="s">
        <v>662</v>
      </c>
      <c r="D6" s="438" t="s">
        <v>661</v>
      </c>
      <c r="E6" s="438" t="s">
        <v>659</v>
      </c>
      <c r="F6" s="431" t="s">
        <v>705</v>
      </c>
      <c r="G6" s="432" t="s">
        <v>705</v>
      </c>
      <c r="H6" s="424" t="s">
        <v>1067</v>
      </c>
      <c r="I6" s="431" t="s">
        <v>706</v>
      </c>
      <c r="J6" s="432" t="s">
        <v>705</v>
      </c>
      <c r="K6" s="433" t="s">
        <v>1104</v>
      </c>
      <c r="L6" s="431" t="s">
        <v>706</v>
      </c>
      <c r="M6" s="424" t="s">
        <v>1067</v>
      </c>
      <c r="N6" s="430" t="s">
        <v>707</v>
      </c>
      <c r="O6" s="430" t="s">
        <v>707</v>
      </c>
      <c r="P6" s="424" t="s">
        <v>1067</v>
      </c>
    </row>
    <row r="7" spans="1:44" ht="27" customHeight="1" x14ac:dyDescent="0.2">
      <c r="A7" s="437"/>
      <c r="B7" s="439"/>
      <c r="C7" s="437"/>
      <c r="D7" s="439"/>
      <c r="E7" s="439"/>
      <c r="F7" s="431"/>
      <c r="G7" s="432"/>
      <c r="H7" s="425"/>
      <c r="I7" s="431"/>
      <c r="J7" s="432"/>
      <c r="K7" s="434"/>
      <c r="L7" s="431"/>
      <c r="M7" s="425"/>
      <c r="N7" s="430"/>
      <c r="O7" s="430"/>
      <c r="P7" s="425"/>
      <c r="T7" s="215"/>
    </row>
    <row r="8" spans="1:44" s="223" customFormat="1" x14ac:dyDescent="0.2">
      <c r="A8" s="216">
        <v>1</v>
      </c>
      <c r="B8" s="217">
        <v>2</v>
      </c>
      <c r="C8" s="216">
        <v>3</v>
      </c>
      <c r="D8" s="217">
        <v>4</v>
      </c>
      <c r="E8" s="217">
        <v>5</v>
      </c>
      <c r="F8" s="218" t="s">
        <v>708</v>
      </c>
      <c r="G8" s="218" t="s">
        <v>708</v>
      </c>
      <c r="H8" s="314"/>
      <c r="I8" s="218" t="s">
        <v>709</v>
      </c>
      <c r="J8" s="218" t="s">
        <v>708</v>
      </c>
      <c r="K8" s="314"/>
      <c r="L8" s="218" t="s">
        <v>709</v>
      </c>
      <c r="M8" s="319"/>
      <c r="N8" s="219" t="s">
        <v>710</v>
      </c>
      <c r="O8" s="218" t="s">
        <v>710</v>
      </c>
      <c r="P8" s="314"/>
      <c r="Q8" s="220"/>
      <c r="R8" s="221"/>
      <c r="S8" s="221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</row>
    <row r="9" spans="1:44" ht="27" customHeight="1" x14ac:dyDescent="0.2">
      <c r="A9" s="224" t="s">
        <v>711</v>
      </c>
      <c r="B9" s="225" t="s">
        <v>105</v>
      </c>
      <c r="C9" s="226"/>
      <c r="D9" s="226"/>
      <c r="E9" s="226"/>
      <c r="F9" s="227">
        <f>F10+F21</f>
        <v>13550.5</v>
      </c>
      <c r="G9" s="227">
        <f>G10+G21</f>
        <v>13550.5</v>
      </c>
      <c r="H9" s="315">
        <f>G9-F9</f>
        <v>0</v>
      </c>
      <c r="I9" s="227">
        <f>I10+I21</f>
        <v>7156.7999999999993</v>
      </c>
      <c r="J9" s="227">
        <f>J10+J21</f>
        <v>13724.5</v>
      </c>
      <c r="K9" s="315">
        <f>J9-G9</f>
        <v>174</v>
      </c>
      <c r="L9" s="227">
        <f>L10+L21</f>
        <v>7156.7999999999993</v>
      </c>
      <c r="M9" s="320">
        <f>L9-I9</f>
        <v>0</v>
      </c>
      <c r="N9" s="228">
        <f>N10+N21</f>
        <v>7156.7999999999993</v>
      </c>
      <c r="O9" s="227">
        <f>O10+O21</f>
        <v>7156.7999999999993</v>
      </c>
      <c r="P9" s="315">
        <f>O9-N9</f>
        <v>0</v>
      </c>
    </row>
    <row r="10" spans="1:44" x14ac:dyDescent="0.2">
      <c r="A10" s="229" t="s">
        <v>66</v>
      </c>
      <c r="B10" s="54" t="s">
        <v>591</v>
      </c>
      <c r="C10" s="60"/>
      <c r="D10" s="60"/>
      <c r="E10" s="60"/>
      <c r="F10" s="52">
        <f>F11+F14</f>
        <v>390</v>
      </c>
      <c r="G10" s="52">
        <f>G11+G14</f>
        <v>390</v>
      </c>
      <c r="H10" s="315">
        <f t="shared" ref="H10:H78" si="0">G10-F10</f>
        <v>0</v>
      </c>
      <c r="I10" s="52">
        <f>I11+I14</f>
        <v>0</v>
      </c>
      <c r="J10" s="52">
        <f>J11+J14</f>
        <v>390</v>
      </c>
      <c r="K10" s="315">
        <f t="shared" ref="K10:K78" si="1">J10-G10</f>
        <v>0</v>
      </c>
      <c r="L10" s="52">
        <f>L11+L14</f>
        <v>0</v>
      </c>
      <c r="M10" s="320">
        <f t="shared" ref="M10:M78" si="2">L10-I10</f>
        <v>0</v>
      </c>
      <c r="N10" s="65">
        <f>N11+N14</f>
        <v>0</v>
      </c>
      <c r="O10" s="52">
        <f>O11+O14</f>
        <v>0</v>
      </c>
      <c r="P10" s="315">
        <f t="shared" ref="P10:P78" si="3">O10-N10</f>
        <v>0</v>
      </c>
    </row>
    <row r="11" spans="1:44" ht="25.5" x14ac:dyDescent="0.2">
      <c r="A11" s="229" t="s">
        <v>590</v>
      </c>
      <c r="B11" s="54" t="s">
        <v>589</v>
      </c>
      <c r="C11" s="60"/>
      <c r="D11" s="60"/>
      <c r="E11" s="60"/>
      <c r="F11" s="52">
        <f t="shared" ref="F11:O12" si="4">F12</f>
        <v>300</v>
      </c>
      <c r="G11" s="52">
        <f t="shared" si="4"/>
        <v>300</v>
      </c>
      <c r="H11" s="315">
        <f t="shared" si="0"/>
        <v>0</v>
      </c>
      <c r="I11" s="52">
        <f t="shared" si="4"/>
        <v>0</v>
      </c>
      <c r="J11" s="52">
        <f t="shared" si="4"/>
        <v>300</v>
      </c>
      <c r="K11" s="315">
        <f t="shared" si="1"/>
        <v>0</v>
      </c>
      <c r="L11" s="52">
        <f t="shared" si="4"/>
        <v>0</v>
      </c>
      <c r="M11" s="320">
        <f t="shared" si="2"/>
        <v>0</v>
      </c>
      <c r="N11" s="65">
        <f t="shared" si="4"/>
        <v>0</v>
      </c>
      <c r="O11" s="52">
        <f t="shared" si="4"/>
        <v>0</v>
      </c>
      <c r="P11" s="315">
        <f t="shared" si="3"/>
        <v>0</v>
      </c>
    </row>
    <row r="12" spans="1:44" ht="25.5" x14ac:dyDescent="0.2">
      <c r="A12" s="84" t="s">
        <v>588</v>
      </c>
      <c r="B12" s="54" t="s">
        <v>587</v>
      </c>
      <c r="C12" s="60" t="s">
        <v>45</v>
      </c>
      <c r="D12" s="60" t="s">
        <v>46</v>
      </c>
      <c r="E12" s="60"/>
      <c r="F12" s="52">
        <f t="shared" si="4"/>
        <v>300</v>
      </c>
      <c r="G12" s="52">
        <f t="shared" si="4"/>
        <v>300</v>
      </c>
      <c r="H12" s="315">
        <f t="shared" si="0"/>
        <v>0</v>
      </c>
      <c r="I12" s="52">
        <f t="shared" si="4"/>
        <v>0</v>
      </c>
      <c r="J12" s="52">
        <f t="shared" si="4"/>
        <v>300</v>
      </c>
      <c r="K12" s="315">
        <f t="shared" si="1"/>
        <v>0</v>
      </c>
      <c r="L12" s="52">
        <f t="shared" si="4"/>
        <v>0</v>
      </c>
      <c r="M12" s="320">
        <f t="shared" si="2"/>
        <v>0</v>
      </c>
      <c r="N12" s="65">
        <f t="shared" si="4"/>
        <v>0</v>
      </c>
      <c r="O12" s="52">
        <f t="shared" si="4"/>
        <v>0</v>
      </c>
      <c r="P12" s="315">
        <f t="shared" si="3"/>
        <v>0</v>
      </c>
    </row>
    <row r="13" spans="1:44" ht="38.25" x14ac:dyDescent="0.2">
      <c r="A13" s="84" t="s">
        <v>426</v>
      </c>
      <c r="B13" s="54" t="s">
        <v>587</v>
      </c>
      <c r="C13" s="60" t="s">
        <v>45</v>
      </c>
      <c r="D13" s="60" t="s">
        <v>46</v>
      </c>
      <c r="E13" s="60" t="s">
        <v>424</v>
      </c>
      <c r="F13" s="52">
        <v>300</v>
      </c>
      <c r="G13" s="52">
        <v>300</v>
      </c>
      <c r="H13" s="315">
        <f t="shared" si="0"/>
        <v>0</v>
      </c>
      <c r="I13" s="52">
        <v>0</v>
      </c>
      <c r="J13" s="52">
        <v>300</v>
      </c>
      <c r="K13" s="315">
        <f t="shared" si="1"/>
        <v>0</v>
      </c>
      <c r="L13" s="52">
        <v>0</v>
      </c>
      <c r="M13" s="320">
        <f t="shared" si="2"/>
        <v>0</v>
      </c>
      <c r="N13" s="65">
        <v>0</v>
      </c>
      <c r="O13" s="52">
        <v>0</v>
      </c>
      <c r="P13" s="315">
        <f t="shared" si="3"/>
        <v>0</v>
      </c>
    </row>
    <row r="14" spans="1:44" x14ac:dyDescent="0.2">
      <c r="A14" s="229" t="s">
        <v>586</v>
      </c>
      <c r="B14" s="54" t="s">
        <v>585</v>
      </c>
      <c r="C14" s="60"/>
      <c r="D14" s="60"/>
      <c r="E14" s="60"/>
      <c r="F14" s="52">
        <f>F15+F18</f>
        <v>90</v>
      </c>
      <c r="G14" s="52">
        <f>G15+G18</f>
        <v>90</v>
      </c>
      <c r="H14" s="315">
        <f t="shared" si="0"/>
        <v>0</v>
      </c>
      <c r="I14" s="52">
        <f>I15+I18</f>
        <v>0</v>
      </c>
      <c r="J14" s="52">
        <f>J15+J18</f>
        <v>90</v>
      </c>
      <c r="K14" s="315">
        <f t="shared" si="1"/>
        <v>0</v>
      </c>
      <c r="L14" s="52">
        <f>L15+L18</f>
        <v>0</v>
      </c>
      <c r="M14" s="320">
        <f t="shared" si="2"/>
        <v>0</v>
      </c>
      <c r="N14" s="65">
        <f>N15+N18</f>
        <v>0</v>
      </c>
      <c r="O14" s="52">
        <f>O15+O18</f>
        <v>0</v>
      </c>
      <c r="P14" s="315">
        <f t="shared" si="3"/>
        <v>0</v>
      </c>
    </row>
    <row r="15" spans="1:44" ht="25.5" x14ac:dyDescent="0.2">
      <c r="A15" s="84" t="s">
        <v>584</v>
      </c>
      <c r="B15" s="54" t="s">
        <v>583</v>
      </c>
      <c r="C15" s="60"/>
      <c r="D15" s="60"/>
      <c r="E15" s="60"/>
      <c r="F15" s="52">
        <f>F16+F17</f>
        <v>90</v>
      </c>
      <c r="G15" s="52">
        <f>G16+G17</f>
        <v>90</v>
      </c>
      <c r="H15" s="315">
        <f t="shared" si="0"/>
        <v>0</v>
      </c>
      <c r="I15" s="52">
        <f>I16+I17</f>
        <v>0</v>
      </c>
      <c r="J15" s="52">
        <f>J16+J17</f>
        <v>90</v>
      </c>
      <c r="K15" s="315">
        <f t="shared" si="1"/>
        <v>0</v>
      </c>
      <c r="L15" s="52">
        <f>L16+L17</f>
        <v>0</v>
      </c>
      <c r="M15" s="320">
        <f t="shared" si="2"/>
        <v>0</v>
      </c>
      <c r="N15" s="65">
        <f>N16+N17</f>
        <v>0</v>
      </c>
      <c r="O15" s="52">
        <f>O16+O17</f>
        <v>0</v>
      </c>
      <c r="P15" s="315">
        <f t="shared" si="3"/>
        <v>0</v>
      </c>
    </row>
    <row r="16" spans="1:44" s="231" customFormat="1" ht="25.5" x14ac:dyDescent="0.2">
      <c r="A16" s="230" t="s">
        <v>73</v>
      </c>
      <c r="B16" s="54" t="s">
        <v>583</v>
      </c>
      <c r="C16" s="60" t="s">
        <v>45</v>
      </c>
      <c r="D16" s="60" t="s">
        <v>46</v>
      </c>
      <c r="E16" s="60" t="s">
        <v>70</v>
      </c>
      <c r="F16" s="52">
        <v>10</v>
      </c>
      <c r="G16" s="52">
        <v>10</v>
      </c>
      <c r="H16" s="315">
        <f t="shared" si="0"/>
        <v>0</v>
      </c>
      <c r="I16" s="52">
        <v>0</v>
      </c>
      <c r="J16" s="52">
        <v>10</v>
      </c>
      <c r="K16" s="315">
        <f t="shared" si="1"/>
        <v>0</v>
      </c>
      <c r="L16" s="52">
        <v>0</v>
      </c>
      <c r="M16" s="320">
        <f t="shared" si="2"/>
        <v>0</v>
      </c>
      <c r="N16" s="65">
        <v>0</v>
      </c>
      <c r="O16" s="52">
        <v>0</v>
      </c>
      <c r="P16" s="315">
        <f t="shared" si="3"/>
        <v>0</v>
      </c>
      <c r="Q16" s="39"/>
      <c r="R16" s="40"/>
      <c r="S16" s="40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</row>
    <row r="17" spans="1:44" s="231" customFormat="1" x14ac:dyDescent="0.2">
      <c r="A17" s="95" t="s">
        <v>98</v>
      </c>
      <c r="B17" s="54" t="s">
        <v>583</v>
      </c>
      <c r="C17" s="60" t="s">
        <v>45</v>
      </c>
      <c r="D17" s="60" t="s">
        <v>46</v>
      </c>
      <c r="E17" s="60" t="s">
        <v>81</v>
      </c>
      <c r="F17" s="52">
        <v>80</v>
      </c>
      <c r="G17" s="52">
        <v>80</v>
      </c>
      <c r="H17" s="315">
        <f t="shared" si="0"/>
        <v>0</v>
      </c>
      <c r="I17" s="52">
        <v>0</v>
      </c>
      <c r="J17" s="52">
        <v>80</v>
      </c>
      <c r="K17" s="315">
        <f t="shared" si="1"/>
        <v>0</v>
      </c>
      <c r="L17" s="52">
        <v>0</v>
      </c>
      <c r="M17" s="320">
        <f t="shared" si="2"/>
        <v>0</v>
      </c>
      <c r="N17" s="65">
        <v>0</v>
      </c>
      <c r="O17" s="52">
        <v>0</v>
      </c>
      <c r="P17" s="315">
        <f t="shared" si="3"/>
        <v>0</v>
      </c>
      <c r="Q17" s="39"/>
      <c r="R17" s="40"/>
      <c r="S17" s="40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</row>
    <row r="18" spans="1:44" s="231" customFormat="1" ht="25.5" hidden="1" x14ac:dyDescent="0.2">
      <c r="A18" s="84" t="s">
        <v>582</v>
      </c>
      <c r="B18" s="54" t="s">
        <v>580</v>
      </c>
      <c r="C18" s="60"/>
      <c r="D18" s="60"/>
      <c r="E18" s="60"/>
      <c r="F18" s="52">
        <f t="shared" ref="F18:O19" si="5">F19</f>
        <v>0</v>
      </c>
      <c r="G18" s="52">
        <f t="shared" si="5"/>
        <v>0</v>
      </c>
      <c r="H18" s="315">
        <f t="shared" si="0"/>
        <v>0</v>
      </c>
      <c r="I18" s="52">
        <f t="shared" si="5"/>
        <v>0</v>
      </c>
      <c r="J18" s="52">
        <f t="shared" si="5"/>
        <v>0</v>
      </c>
      <c r="K18" s="315">
        <f t="shared" si="1"/>
        <v>0</v>
      </c>
      <c r="L18" s="52">
        <f t="shared" si="5"/>
        <v>0</v>
      </c>
      <c r="M18" s="320">
        <f t="shared" si="2"/>
        <v>0</v>
      </c>
      <c r="N18" s="65">
        <f t="shared" si="5"/>
        <v>0</v>
      </c>
      <c r="O18" s="52">
        <f t="shared" si="5"/>
        <v>0</v>
      </c>
      <c r="P18" s="315">
        <f t="shared" si="3"/>
        <v>0</v>
      </c>
      <c r="Q18" s="39"/>
      <c r="R18" s="40"/>
      <c r="S18" s="40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</row>
    <row r="19" spans="1:44" s="231" customFormat="1" hidden="1" x14ac:dyDescent="0.2">
      <c r="A19" s="67" t="s">
        <v>581</v>
      </c>
      <c r="B19" s="54" t="s">
        <v>580</v>
      </c>
      <c r="C19" s="60" t="s">
        <v>45</v>
      </c>
      <c r="D19" s="60" t="s">
        <v>46</v>
      </c>
      <c r="E19" s="60"/>
      <c r="F19" s="52">
        <f t="shared" si="5"/>
        <v>0</v>
      </c>
      <c r="G19" s="52">
        <f t="shared" si="5"/>
        <v>0</v>
      </c>
      <c r="H19" s="315">
        <f t="shared" si="0"/>
        <v>0</v>
      </c>
      <c r="I19" s="52">
        <f t="shared" si="5"/>
        <v>0</v>
      </c>
      <c r="J19" s="52">
        <f t="shared" si="5"/>
        <v>0</v>
      </c>
      <c r="K19" s="315">
        <f t="shared" si="1"/>
        <v>0</v>
      </c>
      <c r="L19" s="52">
        <f t="shared" si="5"/>
        <v>0</v>
      </c>
      <c r="M19" s="320">
        <f t="shared" si="2"/>
        <v>0</v>
      </c>
      <c r="N19" s="65">
        <f t="shared" si="5"/>
        <v>0</v>
      </c>
      <c r="O19" s="52">
        <f t="shared" si="5"/>
        <v>0</v>
      </c>
      <c r="P19" s="315">
        <f t="shared" si="3"/>
        <v>0</v>
      </c>
      <c r="Q19" s="39"/>
      <c r="R19" s="40"/>
      <c r="S19" s="40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</row>
    <row r="20" spans="1:44" s="231" customFormat="1" hidden="1" x14ac:dyDescent="0.2">
      <c r="A20" s="95" t="s">
        <v>98</v>
      </c>
      <c r="B20" s="54" t="s">
        <v>580</v>
      </c>
      <c r="C20" s="60" t="s">
        <v>45</v>
      </c>
      <c r="D20" s="60" t="s">
        <v>46</v>
      </c>
      <c r="E20" s="60" t="s">
        <v>81</v>
      </c>
      <c r="F20" s="52"/>
      <c r="G20" s="52"/>
      <c r="H20" s="315">
        <f t="shared" si="0"/>
        <v>0</v>
      </c>
      <c r="I20" s="52"/>
      <c r="J20" s="52"/>
      <c r="K20" s="315">
        <f t="shared" si="1"/>
        <v>0</v>
      </c>
      <c r="L20" s="52"/>
      <c r="M20" s="320">
        <f t="shared" si="2"/>
        <v>0</v>
      </c>
      <c r="N20" s="65"/>
      <c r="O20" s="52"/>
      <c r="P20" s="315">
        <f t="shared" si="3"/>
        <v>0</v>
      </c>
      <c r="Q20" s="39"/>
      <c r="R20" s="40"/>
      <c r="S20" s="40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</row>
    <row r="21" spans="1:44" s="231" customFormat="1" x14ac:dyDescent="0.2">
      <c r="A21" s="229" t="s">
        <v>52</v>
      </c>
      <c r="B21" s="54" t="s">
        <v>104</v>
      </c>
      <c r="C21" s="60"/>
      <c r="D21" s="60"/>
      <c r="E21" s="60"/>
      <c r="F21" s="52">
        <f>F22+F43</f>
        <v>13160.5</v>
      </c>
      <c r="G21" s="52">
        <f>G22+G43</f>
        <v>13160.5</v>
      </c>
      <c r="H21" s="315">
        <f t="shared" si="0"/>
        <v>0</v>
      </c>
      <c r="I21" s="52">
        <f>I22+I43</f>
        <v>7156.7999999999993</v>
      </c>
      <c r="J21" s="52">
        <f>J22+J43</f>
        <v>13334.5</v>
      </c>
      <c r="K21" s="315">
        <f t="shared" si="1"/>
        <v>174</v>
      </c>
      <c r="L21" s="52">
        <f>L22+L43</f>
        <v>7156.7999999999993</v>
      </c>
      <c r="M21" s="320">
        <f t="shared" si="2"/>
        <v>0</v>
      </c>
      <c r="N21" s="65">
        <f>N22+N43</f>
        <v>7156.7999999999993</v>
      </c>
      <c r="O21" s="52">
        <f>O22+O43</f>
        <v>7156.7999999999993</v>
      </c>
      <c r="P21" s="315">
        <f t="shared" si="3"/>
        <v>0</v>
      </c>
      <c r="Q21" s="39"/>
      <c r="R21" s="40"/>
      <c r="S21" s="40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</row>
    <row r="22" spans="1:44" s="231" customFormat="1" ht="25.5" x14ac:dyDescent="0.2">
      <c r="A22" s="229" t="s">
        <v>103</v>
      </c>
      <c r="B22" s="54" t="s">
        <v>102</v>
      </c>
      <c r="C22" s="60"/>
      <c r="D22" s="60"/>
      <c r="E22" s="60"/>
      <c r="F22" s="52">
        <f>F23+F29+F34+F37</f>
        <v>12124.4</v>
      </c>
      <c r="G22" s="52">
        <f>G23+G29+G34+G37+G39+G41</f>
        <v>12124.4</v>
      </c>
      <c r="H22" s="52">
        <f t="shared" ref="H22:O22" si="6">H23+H29+H34+H37+H39+H41</f>
        <v>0</v>
      </c>
      <c r="I22" s="52">
        <f t="shared" si="6"/>
        <v>6120.6999999999989</v>
      </c>
      <c r="J22" s="52">
        <f t="shared" si="6"/>
        <v>12298.4</v>
      </c>
      <c r="K22" s="315">
        <f t="shared" si="1"/>
        <v>174</v>
      </c>
      <c r="L22" s="52">
        <f t="shared" si="6"/>
        <v>6120.6999999999989</v>
      </c>
      <c r="M22" s="52">
        <f t="shared" si="6"/>
        <v>0</v>
      </c>
      <c r="N22" s="52">
        <f t="shared" si="6"/>
        <v>6120.6999999999989</v>
      </c>
      <c r="O22" s="52">
        <f t="shared" si="6"/>
        <v>6120.6999999999989</v>
      </c>
      <c r="P22" s="315">
        <f t="shared" si="3"/>
        <v>0</v>
      </c>
      <c r="Q22" s="39"/>
      <c r="R22" s="40"/>
      <c r="S22" s="40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</row>
    <row r="23" spans="1:44" s="231" customFormat="1" x14ac:dyDescent="0.2">
      <c r="A23" s="56" t="s">
        <v>146</v>
      </c>
      <c r="B23" s="54" t="s">
        <v>143</v>
      </c>
      <c r="C23" s="60"/>
      <c r="D23" s="60"/>
      <c r="E23" s="60"/>
      <c r="F23" s="52">
        <f>F24+F25+F26+F27+F28</f>
        <v>3207.1</v>
      </c>
      <c r="G23" s="52">
        <f>G24+G25+G26+G27+G28</f>
        <v>3207.1</v>
      </c>
      <c r="H23" s="315">
        <f t="shared" si="0"/>
        <v>0</v>
      </c>
      <c r="I23" s="52">
        <f>I24+I25+I26+I27+I28</f>
        <v>3207.1</v>
      </c>
      <c r="J23" s="52">
        <f>J24+J25+J26+J27+J28</f>
        <v>3207.1</v>
      </c>
      <c r="K23" s="315">
        <f t="shared" si="1"/>
        <v>0</v>
      </c>
      <c r="L23" s="52">
        <f>L24+L25+L26+L27+L28</f>
        <v>3207.1</v>
      </c>
      <c r="M23" s="320">
        <f t="shared" si="2"/>
        <v>0</v>
      </c>
      <c r="N23" s="65">
        <f>N24+N25+N26+N27+N28</f>
        <v>3207.1</v>
      </c>
      <c r="O23" s="52">
        <f>O24+O25+O26+O27+O28</f>
        <v>3207.1</v>
      </c>
      <c r="P23" s="315">
        <f t="shared" si="3"/>
        <v>0</v>
      </c>
      <c r="Q23" s="39"/>
      <c r="R23" s="40"/>
      <c r="S23" s="40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</row>
    <row r="24" spans="1:44" s="231" customFormat="1" x14ac:dyDescent="0.2">
      <c r="A24" s="85" t="s">
        <v>145</v>
      </c>
      <c r="B24" s="54" t="s">
        <v>143</v>
      </c>
      <c r="C24" s="60" t="s">
        <v>97</v>
      </c>
      <c r="D24" s="60" t="s">
        <v>111</v>
      </c>
      <c r="E24" s="60" t="s">
        <v>144</v>
      </c>
      <c r="F24" s="52">
        <v>540</v>
      </c>
      <c r="G24" s="52">
        <v>540</v>
      </c>
      <c r="H24" s="315">
        <f t="shared" si="0"/>
        <v>0</v>
      </c>
      <c r="I24" s="52">
        <v>540</v>
      </c>
      <c r="J24" s="52">
        <v>540</v>
      </c>
      <c r="K24" s="315">
        <f t="shared" si="1"/>
        <v>0</v>
      </c>
      <c r="L24" s="52">
        <v>540</v>
      </c>
      <c r="M24" s="320">
        <f t="shared" si="2"/>
        <v>0</v>
      </c>
      <c r="N24" s="65">
        <v>540</v>
      </c>
      <c r="O24" s="52">
        <v>540</v>
      </c>
      <c r="P24" s="315">
        <f t="shared" si="3"/>
        <v>0</v>
      </c>
      <c r="Q24" s="39"/>
      <c r="R24" s="40"/>
      <c r="S24" s="40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</row>
    <row r="25" spans="1:44" s="231" customFormat="1" ht="25.5" x14ac:dyDescent="0.2">
      <c r="A25" s="56" t="s">
        <v>73</v>
      </c>
      <c r="B25" s="54" t="s">
        <v>143</v>
      </c>
      <c r="C25" s="60" t="s">
        <v>97</v>
      </c>
      <c r="D25" s="60" t="s">
        <v>111</v>
      </c>
      <c r="E25" s="60" t="s">
        <v>70</v>
      </c>
      <c r="F25" s="52">
        <v>18</v>
      </c>
      <c r="G25" s="52">
        <v>18</v>
      </c>
      <c r="H25" s="315">
        <f t="shared" si="0"/>
        <v>0</v>
      </c>
      <c r="I25" s="52">
        <v>18</v>
      </c>
      <c r="J25" s="52">
        <v>18</v>
      </c>
      <c r="K25" s="315">
        <f t="shared" si="1"/>
        <v>0</v>
      </c>
      <c r="L25" s="52">
        <v>18</v>
      </c>
      <c r="M25" s="320">
        <f t="shared" si="2"/>
        <v>0</v>
      </c>
      <c r="N25" s="65">
        <v>18</v>
      </c>
      <c r="O25" s="52">
        <v>18</v>
      </c>
      <c r="P25" s="315">
        <f t="shared" si="3"/>
        <v>0</v>
      </c>
      <c r="Q25" s="39"/>
      <c r="R25" s="40"/>
      <c r="S25" s="40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</row>
    <row r="26" spans="1:44" s="231" customFormat="1" ht="25.5" x14ac:dyDescent="0.2">
      <c r="A26" s="64" t="s">
        <v>100</v>
      </c>
      <c r="B26" s="54" t="s">
        <v>143</v>
      </c>
      <c r="C26" s="60" t="s">
        <v>97</v>
      </c>
      <c r="D26" s="60" t="s">
        <v>111</v>
      </c>
      <c r="E26" s="60" t="s">
        <v>99</v>
      </c>
      <c r="F26" s="52">
        <v>1800</v>
      </c>
      <c r="G26" s="52">
        <v>1800</v>
      </c>
      <c r="H26" s="315">
        <f t="shared" si="0"/>
        <v>0</v>
      </c>
      <c r="I26" s="52">
        <v>1800</v>
      </c>
      <c r="J26" s="52">
        <v>1800</v>
      </c>
      <c r="K26" s="315">
        <f t="shared" si="1"/>
        <v>0</v>
      </c>
      <c r="L26" s="52">
        <v>1800</v>
      </c>
      <c r="M26" s="320">
        <f t="shared" si="2"/>
        <v>0</v>
      </c>
      <c r="N26" s="65">
        <v>1800</v>
      </c>
      <c r="O26" s="52">
        <v>1800</v>
      </c>
      <c r="P26" s="315">
        <f t="shared" si="3"/>
        <v>0</v>
      </c>
      <c r="Q26" s="39"/>
      <c r="R26" s="40"/>
      <c r="S26" s="40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</row>
    <row r="27" spans="1:44" s="231" customFormat="1" ht="16.5" customHeight="1" x14ac:dyDescent="0.2">
      <c r="A27" s="64" t="s">
        <v>98</v>
      </c>
      <c r="B27" s="54" t="s">
        <v>143</v>
      </c>
      <c r="C27" s="60" t="s">
        <v>97</v>
      </c>
      <c r="D27" s="60" t="s">
        <v>111</v>
      </c>
      <c r="E27" s="60" t="s">
        <v>81</v>
      </c>
      <c r="F27" s="52">
        <v>499.1</v>
      </c>
      <c r="G27" s="52">
        <v>499.1</v>
      </c>
      <c r="H27" s="315">
        <f t="shared" si="0"/>
        <v>0</v>
      </c>
      <c r="I27" s="52">
        <v>499.1</v>
      </c>
      <c r="J27" s="52">
        <v>499.1</v>
      </c>
      <c r="K27" s="315">
        <f t="shared" si="1"/>
        <v>0</v>
      </c>
      <c r="L27" s="52">
        <v>499.1</v>
      </c>
      <c r="M27" s="320">
        <f t="shared" si="2"/>
        <v>0</v>
      </c>
      <c r="N27" s="65">
        <v>499.1</v>
      </c>
      <c r="O27" s="52">
        <v>499.1</v>
      </c>
      <c r="P27" s="315">
        <f t="shared" si="3"/>
        <v>0</v>
      </c>
      <c r="Q27" s="39"/>
      <c r="R27" s="40"/>
      <c r="S27" s="40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</row>
    <row r="28" spans="1:44" s="231" customFormat="1" ht="15" customHeight="1" x14ac:dyDescent="0.2">
      <c r="A28" s="187" t="s">
        <v>61</v>
      </c>
      <c r="B28" s="54" t="s">
        <v>143</v>
      </c>
      <c r="C28" s="60" t="s">
        <v>97</v>
      </c>
      <c r="D28" s="60" t="s">
        <v>111</v>
      </c>
      <c r="E28" s="60" t="s">
        <v>57</v>
      </c>
      <c r="F28" s="52">
        <v>350</v>
      </c>
      <c r="G28" s="52">
        <v>350</v>
      </c>
      <c r="H28" s="315">
        <f t="shared" si="0"/>
        <v>0</v>
      </c>
      <c r="I28" s="52">
        <v>350</v>
      </c>
      <c r="J28" s="52">
        <v>350</v>
      </c>
      <c r="K28" s="315">
        <f t="shared" si="1"/>
        <v>0</v>
      </c>
      <c r="L28" s="52">
        <v>350</v>
      </c>
      <c r="M28" s="320">
        <f t="shared" si="2"/>
        <v>0</v>
      </c>
      <c r="N28" s="65">
        <v>350</v>
      </c>
      <c r="O28" s="52">
        <v>350</v>
      </c>
      <c r="P28" s="315">
        <f t="shared" si="3"/>
        <v>0</v>
      </c>
      <c r="Q28" s="39"/>
      <c r="R28" s="40"/>
      <c r="S28" s="40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</row>
    <row r="29" spans="1:44" s="231" customFormat="1" ht="25.5" x14ac:dyDescent="0.2">
      <c r="A29" s="56" t="s">
        <v>101</v>
      </c>
      <c r="B29" s="54" t="s">
        <v>95</v>
      </c>
      <c r="C29" s="60"/>
      <c r="D29" s="60"/>
      <c r="E29" s="60"/>
      <c r="F29" s="52">
        <f>F30+F31+F32+F33</f>
        <v>6003.7</v>
      </c>
      <c r="G29" s="52">
        <f>G30+G31+G32+G33</f>
        <v>6003.7</v>
      </c>
      <c r="H29" s="315">
        <f t="shared" si="0"/>
        <v>0</v>
      </c>
      <c r="I29" s="52">
        <f>I30+I31+I32+I33</f>
        <v>0</v>
      </c>
      <c r="J29" s="52">
        <f>J30+J31+J32+J33</f>
        <v>6003.7</v>
      </c>
      <c r="K29" s="315">
        <f t="shared" si="1"/>
        <v>0</v>
      </c>
      <c r="L29" s="52">
        <f>L30+L31+L32+L33</f>
        <v>0</v>
      </c>
      <c r="M29" s="320">
        <f t="shared" si="2"/>
        <v>0</v>
      </c>
      <c r="N29" s="65">
        <f>N30+N31+N32+N33</f>
        <v>0</v>
      </c>
      <c r="O29" s="52">
        <f>O30+O31+O32+O33</f>
        <v>0</v>
      </c>
      <c r="P29" s="315">
        <f t="shared" si="3"/>
        <v>0</v>
      </c>
      <c r="Q29" s="39"/>
      <c r="R29" s="40"/>
      <c r="S29" s="40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</row>
    <row r="30" spans="1:44" s="231" customFormat="1" x14ac:dyDescent="0.2">
      <c r="A30" s="75" t="s">
        <v>129</v>
      </c>
      <c r="B30" s="54" t="s">
        <v>95</v>
      </c>
      <c r="C30" s="60" t="s">
        <v>97</v>
      </c>
      <c r="D30" s="60" t="s">
        <v>111</v>
      </c>
      <c r="E30" s="60" t="s">
        <v>127</v>
      </c>
      <c r="F30" s="52">
        <v>4860</v>
      </c>
      <c r="G30" s="52">
        <v>4860</v>
      </c>
      <c r="H30" s="315">
        <f t="shared" si="0"/>
        <v>0</v>
      </c>
      <c r="I30" s="52">
        <v>0</v>
      </c>
      <c r="J30" s="52">
        <v>4860</v>
      </c>
      <c r="K30" s="315">
        <f t="shared" si="1"/>
        <v>0</v>
      </c>
      <c r="L30" s="52">
        <v>0</v>
      </c>
      <c r="M30" s="320">
        <f t="shared" si="2"/>
        <v>0</v>
      </c>
      <c r="N30" s="65">
        <v>0</v>
      </c>
      <c r="O30" s="52">
        <v>0</v>
      </c>
      <c r="P30" s="315">
        <f t="shared" si="3"/>
        <v>0</v>
      </c>
      <c r="Q30" s="39"/>
      <c r="R30" s="40"/>
      <c r="S30" s="40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</row>
    <row r="31" spans="1:44" s="231" customFormat="1" ht="25.5" x14ac:dyDescent="0.2">
      <c r="A31" s="56" t="s">
        <v>73</v>
      </c>
      <c r="B31" s="54" t="s">
        <v>95</v>
      </c>
      <c r="C31" s="60" t="s">
        <v>97</v>
      </c>
      <c r="D31" s="60" t="s">
        <v>96</v>
      </c>
      <c r="E31" s="60" t="s">
        <v>70</v>
      </c>
      <c r="F31" s="52">
        <v>150</v>
      </c>
      <c r="G31" s="52">
        <v>150</v>
      </c>
      <c r="H31" s="315">
        <f t="shared" si="0"/>
        <v>0</v>
      </c>
      <c r="I31" s="52">
        <v>0</v>
      </c>
      <c r="J31" s="52">
        <v>150</v>
      </c>
      <c r="K31" s="315">
        <f t="shared" si="1"/>
        <v>0</v>
      </c>
      <c r="L31" s="52">
        <v>0</v>
      </c>
      <c r="M31" s="320">
        <f t="shared" si="2"/>
        <v>0</v>
      </c>
      <c r="N31" s="65">
        <v>0</v>
      </c>
      <c r="O31" s="52">
        <v>0</v>
      </c>
      <c r="P31" s="315">
        <f t="shared" si="3"/>
        <v>0</v>
      </c>
      <c r="Q31" s="39"/>
      <c r="R31" s="40"/>
      <c r="S31" s="40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</row>
    <row r="32" spans="1:44" ht="25.5" x14ac:dyDescent="0.2">
      <c r="A32" s="64" t="s">
        <v>100</v>
      </c>
      <c r="B32" s="54" t="s">
        <v>95</v>
      </c>
      <c r="C32" s="60" t="s">
        <v>97</v>
      </c>
      <c r="D32" s="60" t="s">
        <v>96</v>
      </c>
      <c r="E32" s="60" t="s">
        <v>99</v>
      </c>
      <c r="F32" s="52">
        <v>420</v>
      </c>
      <c r="G32" s="52">
        <v>420</v>
      </c>
      <c r="H32" s="315">
        <f t="shared" si="0"/>
        <v>0</v>
      </c>
      <c r="I32" s="52">
        <v>0</v>
      </c>
      <c r="J32" s="52">
        <v>420</v>
      </c>
      <c r="K32" s="315">
        <f t="shared" si="1"/>
        <v>0</v>
      </c>
      <c r="L32" s="52">
        <v>0</v>
      </c>
      <c r="M32" s="320">
        <f t="shared" si="2"/>
        <v>0</v>
      </c>
      <c r="N32" s="65">
        <v>0</v>
      </c>
      <c r="O32" s="52">
        <v>0</v>
      </c>
      <c r="P32" s="315">
        <f t="shared" si="3"/>
        <v>0</v>
      </c>
    </row>
    <row r="33" spans="1:44" x14ac:dyDescent="0.2">
      <c r="A33" s="64" t="s">
        <v>98</v>
      </c>
      <c r="B33" s="54" t="s">
        <v>95</v>
      </c>
      <c r="C33" s="60" t="s">
        <v>97</v>
      </c>
      <c r="D33" s="60" t="s">
        <v>96</v>
      </c>
      <c r="E33" s="60" t="s">
        <v>81</v>
      </c>
      <c r="F33" s="52">
        <v>573.70000000000005</v>
      </c>
      <c r="G33" s="52">
        <v>573.70000000000005</v>
      </c>
      <c r="H33" s="315">
        <f t="shared" si="0"/>
        <v>0</v>
      </c>
      <c r="I33" s="52">
        <v>0</v>
      </c>
      <c r="J33" s="52">
        <v>573.70000000000005</v>
      </c>
      <c r="K33" s="315">
        <f t="shared" si="1"/>
        <v>0</v>
      </c>
      <c r="L33" s="52">
        <v>0</v>
      </c>
      <c r="M33" s="320">
        <f t="shared" si="2"/>
        <v>0</v>
      </c>
      <c r="N33" s="65">
        <v>0</v>
      </c>
      <c r="O33" s="52">
        <v>0</v>
      </c>
      <c r="P33" s="315">
        <f t="shared" si="3"/>
        <v>0</v>
      </c>
    </row>
    <row r="34" spans="1:44" x14ac:dyDescent="0.2">
      <c r="A34" s="69" t="s">
        <v>155</v>
      </c>
      <c r="B34" s="54" t="s">
        <v>153</v>
      </c>
      <c r="C34" s="60" t="s">
        <v>97</v>
      </c>
      <c r="D34" s="60" t="s">
        <v>45</v>
      </c>
      <c r="E34" s="60"/>
      <c r="F34" s="52">
        <f>F35+F36</f>
        <v>2803.2</v>
      </c>
      <c r="G34" s="52">
        <f>G35+G36</f>
        <v>2803.2</v>
      </c>
      <c r="H34" s="315">
        <f t="shared" si="0"/>
        <v>0</v>
      </c>
      <c r="I34" s="52">
        <f>I35+I36</f>
        <v>2803.2</v>
      </c>
      <c r="J34" s="52">
        <f>J35+J36</f>
        <v>2803.2</v>
      </c>
      <c r="K34" s="315">
        <f t="shared" si="1"/>
        <v>0</v>
      </c>
      <c r="L34" s="52">
        <f>L35+L36</f>
        <v>2803.2</v>
      </c>
      <c r="M34" s="320">
        <f t="shared" si="2"/>
        <v>0</v>
      </c>
      <c r="N34" s="65">
        <f>N35+N36</f>
        <v>2803.2</v>
      </c>
      <c r="O34" s="52">
        <f>O35+O36</f>
        <v>2803.2</v>
      </c>
      <c r="P34" s="315">
        <f t="shared" si="3"/>
        <v>0</v>
      </c>
    </row>
    <row r="35" spans="1:44" ht="25.5" x14ac:dyDescent="0.2">
      <c r="A35" s="69" t="s">
        <v>73</v>
      </c>
      <c r="B35" s="54" t="s">
        <v>153</v>
      </c>
      <c r="C35" s="60" t="s">
        <v>97</v>
      </c>
      <c r="D35" s="60" t="s">
        <v>45</v>
      </c>
      <c r="E35" s="60" t="s">
        <v>70</v>
      </c>
      <c r="F35" s="52">
        <v>23</v>
      </c>
      <c r="G35" s="52">
        <v>23</v>
      </c>
      <c r="H35" s="315">
        <f t="shared" si="0"/>
        <v>0</v>
      </c>
      <c r="I35" s="52">
        <v>23</v>
      </c>
      <c r="J35" s="52">
        <v>23</v>
      </c>
      <c r="K35" s="315">
        <f t="shared" si="1"/>
        <v>0</v>
      </c>
      <c r="L35" s="52">
        <v>23</v>
      </c>
      <c r="M35" s="320">
        <f t="shared" si="2"/>
        <v>0</v>
      </c>
      <c r="N35" s="65">
        <v>23</v>
      </c>
      <c r="O35" s="52">
        <v>23</v>
      </c>
      <c r="P35" s="315">
        <f t="shared" si="3"/>
        <v>0</v>
      </c>
    </row>
    <row r="36" spans="1:44" ht="16.5" customHeight="1" x14ac:dyDescent="0.2">
      <c r="A36" s="88" t="s">
        <v>129</v>
      </c>
      <c r="B36" s="54" t="s">
        <v>153</v>
      </c>
      <c r="C36" s="60" t="s">
        <v>97</v>
      </c>
      <c r="D36" s="60" t="s">
        <v>45</v>
      </c>
      <c r="E36" s="60" t="s">
        <v>127</v>
      </c>
      <c r="F36" s="52">
        <v>2780.2</v>
      </c>
      <c r="G36" s="52">
        <v>2780.2</v>
      </c>
      <c r="H36" s="315">
        <f t="shared" si="0"/>
        <v>0</v>
      </c>
      <c r="I36" s="52">
        <v>2780.2</v>
      </c>
      <c r="J36" s="52">
        <v>2780.2</v>
      </c>
      <c r="K36" s="315">
        <f t="shared" si="1"/>
        <v>0</v>
      </c>
      <c r="L36" s="52">
        <v>2780.2</v>
      </c>
      <c r="M36" s="320">
        <f t="shared" si="2"/>
        <v>0</v>
      </c>
      <c r="N36" s="65">
        <v>2780.2</v>
      </c>
      <c r="O36" s="52">
        <v>2780.2</v>
      </c>
      <c r="P36" s="315">
        <f t="shared" si="3"/>
        <v>0</v>
      </c>
    </row>
    <row r="37" spans="1:44" ht="25.5" x14ac:dyDescent="0.2">
      <c r="A37" s="174" t="s">
        <v>579</v>
      </c>
      <c r="B37" s="53" t="s">
        <v>578</v>
      </c>
      <c r="C37" s="53" t="s">
        <v>45</v>
      </c>
      <c r="D37" s="60" t="s">
        <v>46</v>
      </c>
      <c r="E37" s="60"/>
      <c r="F37" s="52">
        <f>F38</f>
        <v>110.4</v>
      </c>
      <c r="G37" s="52">
        <f>G38</f>
        <v>110.4</v>
      </c>
      <c r="H37" s="315">
        <f t="shared" si="0"/>
        <v>0</v>
      </c>
      <c r="I37" s="52">
        <f>I38</f>
        <v>110.4</v>
      </c>
      <c r="J37" s="52">
        <f>J38</f>
        <v>110.4</v>
      </c>
      <c r="K37" s="315">
        <f t="shared" si="1"/>
        <v>0</v>
      </c>
      <c r="L37" s="52">
        <f>L38</f>
        <v>110.4</v>
      </c>
      <c r="M37" s="320">
        <f t="shared" si="2"/>
        <v>0</v>
      </c>
      <c r="N37" s="65">
        <f>N38</f>
        <v>110.4</v>
      </c>
      <c r="O37" s="52">
        <f>O38</f>
        <v>110.4</v>
      </c>
      <c r="P37" s="315">
        <f t="shared" si="3"/>
        <v>0</v>
      </c>
    </row>
    <row r="38" spans="1:44" ht="15.75" customHeight="1" x14ac:dyDescent="0.2">
      <c r="A38" s="137" t="s">
        <v>573</v>
      </c>
      <c r="B38" s="53" t="s">
        <v>578</v>
      </c>
      <c r="C38" s="53" t="s">
        <v>45</v>
      </c>
      <c r="D38" s="60" t="s">
        <v>46</v>
      </c>
      <c r="E38" s="60" t="s">
        <v>571</v>
      </c>
      <c r="F38" s="52">
        <v>110.4</v>
      </c>
      <c r="G38" s="52">
        <v>110.4</v>
      </c>
      <c r="H38" s="315">
        <f t="shared" si="0"/>
        <v>0</v>
      </c>
      <c r="I38" s="52">
        <v>110.4</v>
      </c>
      <c r="J38" s="52">
        <v>110.4</v>
      </c>
      <c r="K38" s="315">
        <f t="shared" si="1"/>
        <v>0</v>
      </c>
      <c r="L38" s="52">
        <v>110.4</v>
      </c>
      <c r="M38" s="320">
        <f t="shared" si="2"/>
        <v>0</v>
      </c>
      <c r="N38" s="65">
        <v>110.4</v>
      </c>
      <c r="O38" s="52">
        <v>110.4</v>
      </c>
      <c r="P38" s="315">
        <f t="shared" si="3"/>
        <v>0</v>
      </c>
    </row>
    <row r="39" spans="1:44" ht="39" customHeight="1" x14ac:dyDescent="0.2">
      <c r="A39" s="174" t="s">
        <v>1115</v>
      </c>
      <c r="B39" s="53" t="s">
        <v>1118</v>
      </c>
      <c r="C39" s="53" t="s">
        <v>45</v>
      </c>
      <c r="D39" s="60" t="s">
        <v>46</v>
      </c>
      <c r="E39" s="60"/>
      <c r="F39" s="52"/>
      <c r="G39" s="52">
        <f>G40</f>
        <v>0</v>
      </c>
      <c r="H39" s="52">
        <f t="shared" ref="H39:O39" si="7">H40</f>
        <v>0</v>
      </c>
      <c r="I39" s="52">
        <f t="shared" si="7"/>
        <v>0</v>
      </c>
      <c r="J39" s="52">
        <f t="shared" si="7"/>
        <v>15</v>
      </c>
      <c r="K39" s="315">
        <f t="shared" si="1"/>
        <v>15</v>
      </c>
      <c r="L39" s="52">
        <f t="shared" si="7"/>
        <v>0</v>
      </c>
      <c r="M39" s="52">
        <f t="shared" si="7"/>
        <v>0</v>
      </c>
      <c r="N39" s="52">
        <f t="shared" si="7"/>
        <v>0</v>
      </c>
      <c r="O39" s="52">
        <f t="shared" si="7"/>
        <v>0</v>
      </c>
      <c r="P39" s="315"/>
      <c r="Q39" s="32"/>
    </row>
    <row r="40" spans="1:44" ht="15.75" customHeight="1" x14ac:dyDescent="0.2">
      <c r="A40" s="88" t="s">
        <v>1116</v>
      </c>
      <c r="B40" s="53" t="s">
        <v>1118</v>
      </c>
      <c r="C40" s="53" t="s">
        <v>45</v>
      </c>
      <c r="D40" s="60" t="s">
        <v>46</v>
      </c>
      <c r="E40" s="60" t="s">
        <v>571</v>
      </c>
      <c r="F40" s="52"/>
      <c r="G40" s="52">
        <v>0</v>
      </c>
      <c r="H40" s="315"/>
      <c r="I40" s="52"/>
      <c r="J40" s="52">
        <v>15</v>
      </c>
      <c r="K40" s="315">
        <f t="shared" si="1"/>
        <v>15</v>
      </c>
      <c r="L40" s="52">
        <v>0</v>
      </c>
      <c r="M40" s="320"/>
      <c r="N40" s="65"/>
      <c r="O40" s="52">
        <v>0</v>
      </c>
      <c r="P40" s="315"/>
      <c r="Q40" s="32"/>
    </row>
    <row r="41" spans="1:44" ht="28.5" customHeight="1" x14ac:dyDescent="0.2">
      <c r="A41" s="399" t="s">
        <v>1117</v>
      </c>
      <c r="B41" s="53" t="s">
        <v>1119</v>
      </c>
      <c r="C41" s="53" t="s">
        <v>45</v>
      </c>
      <c r="D41" s="60" t="s">
        <v>46</v>
      </c>
      <c r="E41" s="60"/>
      <c r="F41" s="52"/>
      <c r="G41" s="52">
        <f>G42</f>
        <v>0</v>
      </c>
      <c r="H41" s="52">
        <f t="shared" ref="H41:O41" si="8">H42</f>
        <v>0</v>
      </c>
      <c r="I41" s="52">
        <f t="shared" si="8"/>
        <v>0</v>
      </c>
      <c r="J41" s="52">
        <f t="shared" si="8"/>
        <v>159</v>
      </c>
      <c r="K41" s="315">
        <f t="shared" si="1"/>
        <v>159</v>
      </c>
      <c r="L41" s="52">
        <f t="shared" si="8"/>
        <v>0</v>
      </c>
      <c r="M41" s="52">
        <f t="shared" si="8"/>
        <v>0</v>
      </c>
      <c r="N41" s="52">
        <f t="shared" si="8"/>
        <v>0</v>
      </c>
      <c r="O41" s="52">
        <f t="shared" si="8"/>
        <v>0</v>
      </c>
      <c r="P41" s="315"/>
      <c r="Q41" s="32"/>
    </row>
    <row r="42" spans="1:44" ht="15.75" customHeight="1" x14ac:dyDescent="0.2">
      <c r="A42" s="88" t="s">
        <v>1116</v>
      </c>
      <c r="B42" s="53" t="s">
        <v>1119</v>
      </c>
      <c r="C42" s="53" t="s">
        <v>45</v>
      </c>
      <c r="D42" s="60" t="s">
        <v>46</v>
      </c>
      <c r="E42" s="60" t="s">
        <v>571</v>
      </c>
      <c r="F42" s="52"/>
      <c r="G42" s="52">
        <v>0</v>
      </c>
      <c r="H42" s="315"/>
      <c r="I42" s="52"/>
      <c r="J42" s="52">
        <v>159</v>
      </c>
      <c r="K42" s="315">
        <f t="shared" si="1"/>
        <v>159</v>
      </c>
      <c r="L42" s="52">
        <v>0</v>
      </c>
      <c r="M42" s="320"/>
      <c r="N42" s="65"/>
      <c r="O42" s="52">
        <v>0</v>
      </c>
      <c r="P42" s="315"/>
    </row>
    <row r="43" spans="1:44" ht="38.25" x14ac:dyDescent="0.2">
      <c r="A43" s="139" t="s">
        <v>648</v>
      </c>
      <c r="B43" s="54" t="s">
        <v>647</v>
      </c>
      <c r="C43" s="60" t="s">
        <v>45</v>
      </c>
      <c r="D43" s="60" t="s">
        <v>108</v>
      </c>
      <c r="E43" s="60"/>
      <c r="F43" s="52">
        <f>F44</f>
        <v>1036.0999999999999</v>
      </c>
      <c r="G43" s="52">
        <f>G44</f>
        <v>1036.0999999999999</v>
      </c>
      <c r="H43" s="315">
        <f t="shared" si="0"/>
        <v>0</v>
      </c>
      <c r="I43" s="52">
        <f>I44</f>
        <v>1036.0999999999999</v>
      </c>
      <c r="J43" s="52">
        <f>J44</f>
        <v>1036.0999999999999</v>
      </c>
      <c r="K43" s="315">
        <f t="shared" si="1"/>
        <v>0</v>
      </c>
      <c r="L43" s="52">
        <f>L44</f>
        <v>1036.0999999999999</v>
      </c>
      <c r="M43" s="320">
        <f t="shared" si="2"/>
        <v>0</v>
      </c>
      <c r="N43" s="65">
        <f>N44</f>
        <v>1036.0999999999999</v>
      </c>
      <c r="O43" s="52">
        <f>O44</f>
        <v>1036.0999999999999</v>
      </c>
      <c r="P43" s="315">
        <f t="shared" si="3"/>
        <v>0</v>
      </c>
    </row>
    <row r="44" spans="1:44" ht="89.25" x14ac:dyDescent="0.2">
      <c r="A44" s="131" t="s">
        <v>646</v>
      </c>
      <c r="B44" s="54" t="s">
        <v>645</v>
      </c>
      <c r="C44" s="60" t="s">
        <v>45</v>
      </c>
      <c r="D44" s="60" t="s">
        <v>108</v>
      </c>
      <c r="E44" s="60"/>
      <c r="F44" s="52">
        <f>F45+F46</f>
        <v>1036.0999999999999</v>
      </c>
      <c r="G44" s="52">
        <f>G45+G46</f>
        <v>1036.0999999999999</v>
      </c>
      <c r="H44" s="315">
        <f t="shared" si="0"/>
        <v>0</v>
      </c>
      <c r="I44" s="52">
        <f>I45+I46</f>
        <v>1036.0999999999999</v>
      </c>
      <c r="J44" s="52">
        <f>J45+J46</f>
        <v>1036.0999999999999</v>
      </c>
      <c r="K44" s="315">
        <f t="shared" si="1"/>
        <v>0</v>
      </c>
      <c r="L44" s="52">
        <f>L45+L46</f>
        <v>1036.0999999999999</v>
      </c>
      <c r="M44" s="320">
        <f t="shared" si="2"/>
        <v>0</v>
      </c>
      <c r="N44" s="65">
        <f>N45+N46</f>
        <v>1036.0999999999999</v>
      </c>
      <c r="O44" s="52">
        <f>O45+O46</f>
        <v>1036.0999999999999</v>
      </c>
      <c r="P44" s="315">
        <f t="shared" si="3"/>
        <v>0</v>
      </c>
    </row>
    <row r="45" spans="1:44" x14ac:dyDescent="0.2">
      <c r="A45" s="84" t="s">
        <v>84</v>
      </c>
      <c r="B45" s="54" t="s">
        <v>645</v>
      </c>
      <c r="C45" s="60" t="s">
        <v>45</v>
      </c>
      <c r="D45" s="60" t="s">
        <v>108</v>
      </c>
      <c r="E45" s="60" t="s">
        <v>83</v>
      </c>
      <c r="F45" s="52">
        <v>740.1</v>
      </c>
      <c r="G45" s="52">
        <v>740.1</v>
      </c>
      <c r="H45" s="315">
        <f t="shared" si="0"/>
        <v>0</v>
      </c>
      <c r="I45" s="52">
        <v>740.1</v>
      </c>
      <c r="J45" s="52">
        <v>740.1</v>
      </c>
      <c r="K45" s="315">
        <f t="shared" si="1"/>
        <v>0</v>
      </c>
      <c r="L45" s="52">
        <v>740.1</v>
      </c>
      <c r="M45" s="320">
        <f t="shared" si="2"/>
        <v>0</v>
      </c>
      <c r="N45" s="65">
        <v>740.1</v>
      </c>
      <c r="O45" s="52">
        <v>740.1</v>
      </c>
      <c r="P45" s="315">
        <f t="shared" si="3"/>
        <v>0</v>
      </c>
    </row>
    <row r="46" spans="1:44" ht="25.5" x14ac:dyDescent="0.2">
      <c r="A46" s="84" t="s">
        <v>73</v>
      </c>
      <c r="B46" s="54" t="s">
        <v>645</v>
      </c>
      <c r="C46" s="60" t="s">
        <v>45</v>
      </c>
      <c r="D46" s="60" t="s">
        <v>108</v>
      </c>
      <c r="E46" s="60" t="s">
        <v>70</v>
      </c>
      <c r="F46" s="52">
        <v>296</v>
      </c>
      <c r="G46" s="52">
        <v>296</v>
      </c>
      <c r="H46" s="315">
        <f t="shared" si="0"/>
        <v>0</v>
      </c>
      <c r="I46" s="52">
        <v>296</v>
      </c>
      <c r="J46" s="52">
        <v>296</v>
      </c>
      <c r="K46" s="315">
        <f t="shared" si="1"/>
        <v>0</v>
      </c>
      <c r="L46" s="52">
        <v>296</v>
      </c>
      <c r="M46" s="320">
        <f t="shared" si="2"/>
        <v>0</v>
      </c>
      <c r="N46" s="65">
        <v>296</v>
      </c>
      <c r="O46" s="52">
        <v>296</v>
      </c>
      <c r="P46" s="315">
        <f t="shared" si="3"/>
        <v>0</v>
      </c>
    </row>
    <row r="47" spans="1:44" s="31" customFormat="1" ht="29.25" customHeight="1" x14ac:dyDescent="0.2">
      <c r="A47" s="232" t="s">
        <v>712</v>
      </c>
      <c r="B47" s="225" t="s">
        <v>470</v>
      </c>
      <c r="C47" s="226"/>
      <c r="D47" s="226"/>
      <c r="E47" s="226"/>
      <c r="F47" s="227">
        <f>F48+F54</f>
        <v>36075.800000000003</v>
      </c>
      <c r="G47" s="227">
        <f>G48+G54</f>
        <v>40337.4</v>
      </c>
      <c r="H47" s="315">
        <f t="shared" si="0"/>
        <v>4261.5999999999985</v>
      </c>
      <c r="I47" s="227">
        <f>I48+I54</f>
        <v>37415.200000000004</v>
      </c>
      <c r="J47" s="227">
        <f>J48+J54</f>
        <v>40337.4</v>
      </c>
      <c r="K47" s="315">
        <f t="shared" si="1"/>
        <v>0</v>
      </c>
      <c r="L47" s="227">
        <f>L48+L54</f>
        <v>37415.200000000004</v>
      </c>
      <c r="M47" s="320">
        <f t="shared" si="2"/>
        <v>0</v>
      </c>
      <c r="N47" s="228">
        <f>N48+N54</f>
        <v>27852.200000000004</v>
      </c>
      <c r="O47" s="227">
        <f>O48+O54</f>
        <v>27852.200000000004</v>
      </c>
      <c r="P47" s="315">
        <f t="shared" si="3"/>
        <v>0</v>
      </c>
      <c r="Q47" s="39"/>
      <c r="R47" s="40"/>
      <c r="S47" s="40"/>
      <c r="T47" s="214"/>
      <c r="U47" s="214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</row>
    <row r="48" spans="1:44" s="31" customFormat="1" x14ac:dyDescent="0.2">
      <c r="A48" s="95" t="s">
        <v>66</v>
      </c>
      <c r="B48" s="54" t="s">
        <v>469</v>
      </c>
      <c r="C48" s="60"/>
      <c r="D48" s="60"/>
      <c r="E48" s="60"/>
      <c r="F48" s="52">
        <f>F49</f>
        <v>2370.3000000000002</v>
      </c>
      <c r="G48" s="52">
        <f>G49</f>
        <v>2370.3000000000002</v>
      </c>
      <c r="H48" s="315">
        <f t="shared" si="0"/>
        <v>0</v>
      </c>
      <c r="I48" s="52">
        <f>I49</f>
        <v>3551.9</v>
      </c>
      <c r="J48" s="52">
        <f>J49</f>
        <v>2370.3000000000002</v>
      </c>
      <c r="K48" s="315">
        <f t="shared" si="1"/>
        <v>0</v>
      </c>
      <c r="L48" s="52">
        <f>L49</f>
        <v>3551.9</v>
      </c>
      <c r="M48" s="320">
        <f t="shared" si="2"/>
        <v>0</v>
      </c>
      <c r="N48" s="65">
        <f>N49</f>
        <v>3581.9</v>
      </c>
      <c r="O48" s="52">
        <f>O49</f>
        <v>3581.9</v>
      </c>
      <c r="P48" s="315">
        <f t="shared" si="3"/>
        <v>0</v>
      </c>
      <c r="Q48" s="39"/>
      <c r="R48" s="40"/>
      <c r="S48" s="40"/>
      <c r="T48" s="214"/>
      <c r="U48" s="214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</row>
    <row r="49" spans="1:44" s="31" customFormat="1" ht="25.5" x14ac:dyDescent="0.2">
      <c r="A49" s="84" t="s">
        <v>468</v>
      </c>
      <c r="B49" s="54" t="s">
        <v>467</v>
      </c>
      <c r="C49" s="60" t="s">
        <v>108</v>
      </c>
      <c r="D49" s="60" t="s">
        <v>160</v>
      </c>
      <c r="E49" s="60"/>
      <c r="F49" s="52">
        <f>F50+F52</f>
        <v>2370.3000000000002</v>
      </c>
      <c r="G49" s="52">
        <f>G50+G52</f>
        <v>2370.3000000000002</v>
      </c>
      <c r="H49" s="315">
        <f t="shared" si="0"/>
        <v>0</v>
      </c>
      <c r="I49" s="52">
        <f>I50+I52</f>
        <v>3551.9</v>
      </c>
      <c r="J49" s="52">
        <f>J50+J52</f>
        <v>2370.3000000000002</v>
      </c>
      <c r="K49" s="315">
        <f t="shared" si="1"/>
        <v>0</v>
      </c>
      <c r="L49" s="52">
        <f>L50+L52</f>
        <v>3551.9</v>
      </c>
      <c r="M49" s="320">
        <f t="shared" si="2"/>
        <v>0</v>
      </c>
      <c r="N49" s="65">
        <f>N50+N52</f>
        <v>3581.9</v>
      </c>
      <c r="O49" s="52">
        <f>O50+O52</f>
        <v>3581.9</v>
      </c>
      <c r="P49" s="315">
        <f t="shared" si="3"/>
        <v>0</v>
      </c>
      <c r="Q49" s="39"/>
      <c r="R49" s="40"/>
      <c r="S49" s="40"/>
      <c r="T49" s="214"/>
      <c r="U49" s="214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</row>
    <row r="50" spans="1:44" s="31" customFormat="1" ht="38.25" x14ac:dyDescent="0.2">
      <c r="A50" s="84" t="s">
        <v>466</v>
      </c>
      <c r="B50" s="54" t="s">
        <v>465</v>
      </c>
      <c r="C50" s="60" t="s">
        <v>108</v>
      </c>
      <c r="D50" s="60" t="s">
        <v>160</v>
      </c>
      <c r="E50" s="60"/>
      <c r="F50" s="52">
        <f>F51</f>
        <v>631.9</v>
      </c>
      <c r="G50" s="52">
        <f>G51</f>
        <v>631.9</v>
      </c>
      <c r="H50" s="315">
        <f t="shared" si="0"/>
        <v>0</v>
      </c>
      <c r="I50" s="52">
        <f>I51</f>
        <v>631.9</v>
      </c>
      <c r="J50" s="52">
        <f>J51</f>
        <v>631.9</v>
      </c>
      <c r="K50" s="315">
        <f t="shared" si="1"/>
        <v>0</v>
      </c>
      <c r="L50" s="52">
        <f>L51</f>
        <v>631.9</v>
      </c>
      <c r="M50" s="320">
        <f t="shared" si="2"/>
        <v>0</v>
      </c>
      <c r="N50" s="65">
        <f>N51</f>
        <v>631.9</v>
      </c>
      <c r="O50" s="52">
        <f>O51</f>
        <v>631.9</v>
      </c>
      <c r="P50" s="315">
        <f t="shared" si="3"/>
        <v>0</v>
      </c>
      <c r="Q50" s="233"/>
      <c r="R50" s="40"/>
      <c r="S50" s="40"/>
      <c r="T50" s="214"/>
      <c r="U50" s="214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</row>
    <row r="51" spans="1:44" s="31" customFormat="1" ht="25.5" x14ac:dyDescent="0.2">
      <c r="A51" s="230" t="s">
        <v>73</v>
      </c>
      <c r="B51" s="54" t="s">
        <v>465</v>
      </c>
      <c r="C51" s="60" t="s">
        <v>108</v>
      </c>
      <c r="D51" s="60" t="s">
        <v>160</v>
      </c>
      <c r="E51" s="60" t="s">
        <v>70</v>
      </c>
      <c r="F51" s="52">
        <f>612.9+19</f>
        <v>631.9</v>
      </c>
      <c r="G51" s="52">
        <f>612.9+19</f>
        <v>631.9</v>
      </c>
      <c r="H51" s="315">
        <f t="shared" si="0"/>
        <v>0</v>
      </c>
      <c r="I51" s="52">
        <f>612.9+19</f>
        <v>631.9</v>
      </c>
      <c r="J51" s="52">
        <f>612.9+19</f>
        <v>631.9</v>
      </c>
      <c r="K51" s="315">
        <f t="shared" si="1"/>
        <v>0</v>
      </c>
      <c r="L51" s="52">
        <f>612.9+19</f>
        <v>631.9</v>
      </c>
      <c r="M51" s="320">
        <f t="shared" si="2"/>
        <v>0</v>
      </c>
      <c r="N51" s="65">
        <f>612.9+19</f>
        <v>631.9</v>
      </c>
      <c r="O51" s="52">
        <f>612.9+19</f>
        <v>631.9</v>
      </c>
      <c r="P51" s="315">
        <f t="shared" si="3"/>
        <v>0</v>
      </c>
      <c r="Q51" s="39"/>
      <c r="R51" s="40"/>
      <c r="S51" s="40"/>
      <c r="T51" s="214"/>
      <c r="U51" s="214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</row>
    <row r="52" spans="1:44" s="31" customFormat="1" ht="25.5" x14ac:dyDescent="0.2">
      <c r="A52" s="56" t="s">
        <v>464</v>
      </c>
      <c r="B52" s="54" t="s">
        <v>463</v>
      </c>
      <c r="C52" s="60" t="s">
        <v>108</v>
      </c>
      <c r="D52" s="60" t="s">
        <v>160</v>
      </c>
      <c r="E52" s="60"/>
      <c r="F52" s="52">
        <f>F53</f>
        <v>1738.4</v>
      </c>
      <c r="G52" s="52">
        <f>G53</f>
        <v>1738.4</v>
      </c>
      <c r="H52" s="315">
        <f t="shared" si="0"/>
        <v>0</v>
      </c>
      <c r="I52" s="52">
        <f>I53</f>
        <v>2920</v>
      </c>
      <c r="J52" s="52">
        <f>J53</f>
        <v>1738.4</v>
      </c>
      <c r="K52" s="315">
        <f t="shared" si="1"/>
        <v>0</v>
      </c>
      <c r="L52" s="52">
        <f>L53</f>
        <v>2920</v>
      </c>
      <c r="M52" s="320">
        <f t="shared" si="2"/>
        <v>0</v>
      </c>
      <c r="N52" s="65">
        <f>N53</f>
        <v>2950</v>
      </c>
      <c r="O52" s="52">
        <f>O53</f>
        <v>2950</v>
      </c>
      <c r="P52" s="315">
        <f t="shared" si="3"/>
        <v>0</v>
      </c>
      <c r="Q52" s="39"/>
      <c r="R52" s="40"/>
      <c r="S52" s="40"/>
      <c r="T52" s="214"/>
      <c r="U52" s="214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</row>
    <row r="53" spans="1:44" s="31" customFormat="1" ht="25.5" x14ac:dyDescent="0.2">
      <c r="A53" s="230" t="s">
        <v>73</v>
      </c>
      <c r="B53" s="54" t="s">
        <v>463</v>
      </c>
      <c r="C53" s="60" t="s">
        <v>108</v>
      </c>
      <c r="D53" s="60" t="s">
        <v>160</v>
      </c>
      <c r="E53" s="60" t="s">
        <v>70</v>
      </c>
      <c r="F53" s="52">
        <v>1738.4</v>
      </c>
      <c r="G53" s="52">
        <v>1738.4</v>
      </c>
      <c r="H53" s="315">
        <f t="shared" si="0"/>
        <v>0</v>
      </c>
      <c r="I53" s="52">
        <v>2920</v>
      </c>
      <c r="J53" s="52">
        <v>1738.4</v>
      </c>
      <c r="K53" s="315">
        <f t="shared" si="1"/>
        <v>0</v>
      </c>
      <c r="L53" s="52">
        <v>2920</v>
      </c>
      <c r="M53" s="320">
        <f t="shared" si="2"/>
        <v>0</v>
      </c>
      <c r="N53" s="52">
        <v>2950</v>
      </c>
      <c r="O53" s="52">
        <v>2950</v>
      </c>
      <c r="P53" s="315">
        <f t="shared" si="3"/>
        <v>0</v>
      </c>
      <c r="Q53" s="39"/>
      <c r="R53" s="40"/>
      <c r="S53" s="40"/>
      <c r="T53" s="214"/>
      <c r="U53" s="214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</row>
    <row r="54" spans="1:44" s="31" customFormat="1" x14ac:dyDescent="0.2">
      <c r="A54" s="84" t="s">
        <v>52</v>
      </c>
      <c r="B54" s="54" t="s">
        <v>462</v>
      </c>
      <c r="C54" s="60"/>
      <c r="D54" s="60"/>
      <c r="E54" s="60"/>
      <c r="F54" s="52">
        <f>F55+F58+F61+F64</f>
        <v>33705.5</v>
      </c>
      <c r="G54" s="52">
        <f>G55+G58+G61+G64</f>
        <v>37967.1</v>
      </c>
      <c r="H54" s="315">
        <f t="shared" si="0"/>
        <v>4261.5999999999985</v>
      </c>
      <c r="I54" s="52">
        <f>I55+I58+I61+I64</f>
        <v>33863.300000000003</v>
      </c>
      <c r="J54" s="52">
        <f>J55+J58+J61+J64</f>
        <v>37967.1</v>
      </c>
      <c r="K54" s="315">
        <f t="shared" si="1"/>
        <v>0</v>
      </c>
      <c r="L54" s="52">
        <f>L55+L58+L61+L64</f>
        <v>33863.300000000003</v>
      </c>
      <c r="M54" s="320">
        <f t="shared" si="2"/>
        <v>0</v>
      </c>
      <c r="N54" s="65">
        <f>N55+N58+N61+N64</f>
        <v>24270.300000000003</v>
      </c>
      <c r="O54" s="52">
        <f>O55+O58+O61+O64</f>
        <v>24270.300000000003</v>
      </c>
      <c r="P54" s="315">
        <f t="shared" si="3"/>
        <v>0</v>
      </c>
      <c r="Q54" s="39"/>
      <c r="R54" s="40"/>
      <c r="S54" s="40"/>
      <c r="T54" s="214"/>
      <c r="U54" s="214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</row>
    <row r="55" spans="1:44" s="31" customFormat="1" ht="25.5" x14ac:dyDescent="0.2">
      <c r="A55" s="84" t="s">
        <v>461</v>
      </c>
      <c r="B55" s="54" t="s">
        <v>460</v>
      </c>
      <c r="C55" s="60" t="s">
        <v>108</v>
      </c>
      <c r="D55" s="60" t="s">
        <v>160</v>
      </c>
      <c r="E55" s="60"/>
      <c r="F55" s="52">
        <f t="shared" ref="F55:O56" si="9">F56</f>
        <v>13050</v>
      </c>
      <c r="G55" s="52">
        <f t="shared" si="9"/>
        <v>13050</v>
      </c>
      <c r="H55" s="315">
        <f t="shared" si="0"/>
        <v>0</v>
      </c>
      <c r="I55" s="52">
        <f t="shared" si="9"/>
        <v>13000</v>
      </c>
      <c r="J55" s="52">
        <f t="shared" si="9"/>
        <v>13050</v>
      </c>
      <c r="K55" s="315">
        <f t="shared" si="1"/>
        <v>0</v>
      </c>
      <c r="L55" s="52">
        <f t="shared" si="9"/>
        <v>13000</v>
      </c>
      <c r="M55" s="320">
        <f t="shared" si="2"/>
        <v>0</v>
      </c>
      <c r="N55" s="65">
        <f t="shared" si="9"/>
        <v>13300</v>
      </c>
      <c r="O55" s="52">
        <f t="shared" si="9"/>
        <v>13300</v>
      </c>
      <c r="P55" s="315">
        <f t="shared" si="3"/>
        <v>0</v>
      </c>
      <c r="Q55" s="39"/>
      <c r="R55" s="40"/>
      <c r="S55" s="40"/>
      <c r="T55" s="214"/>
      <c r="U55" s="214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</row>
    <row r="56" spans="1:44" s="31" customFormat="1" ht="25.5" x14ac:dyDescent="0.2">
      <c r="A56" s="84" t="s">
        <v>459</v>
      </c>
      <c r="B56" s="54" t="s">
        <v>458</v>
      </c>
      <c r="C56" s="60" t="s">
        <v>108</v>
      </c>
      <c r="D56" s="60" t="s">
        <v>160</v>
      </c>
      <c r="E56" s="60"/>
      <c r="F56" s="52">
        <f t="shared" si="9"/>
        <v>13050</v>
      </c>
      <c r="G56" s="52">
        <f t="shared" si="9"/>
        <v>13050</v>
      </c>
      <c r="H56" s="315">
        <f t="shared" si="0"/>
        <v>0</v>
      </c>
      <c r="I56" s="52">
        <f t="shared" si="9"/>
        <v>13000</v>
      </c>
      <c r="J56" s="52">
        <f t="shared" si="9"/>
        <v>13050</v>
      </c>
      <c r="K56" s="315">
        <f t="shared" si="1"/>
        <v>0</v>
      </c>
      <c r="L56" s="52">
        <f t="shared" si="9"/>
        <v>13000</v>
      </c>
      <c r="M56" s="320">
        <f t="shared" si="2"/>
        <v>0</v>
      </c>
      <c r="N56" s="65">
        <f t="shared" si="9"/>
        <v>13300</v>
      </c>
      <c r="O56" s="52">
        <f t="shared" si="9"/>
        <v>13300</v>
      </c>
      <c r="P56" s="315">
        <f t="shared" si="3"/>
        <v>0</v>
      </c>
      <c r="Q56" s="233"/>
      <c r="R56" s="234"/>
      <c r="S56" s="234"/>
      <c r="T56" s="235"/>
      <c r="U56" s="214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</row>
    <row r="57" spans="1:44" s="31" customFormat="1" ht="25.5" x14ac:dyDescent="0.2">
      <c r="A57" s="230" t="s">
        <v>73</v>
      </c>
      <c r="B57" s="54" t="s">
        <v>458</v>
      </c>
      <c r="C57" s="60" t="s">
        <v>108</v>
      </c>
      <c r="D57" s="60" t="s">
        <v>160</v>
      </c>
      <c r="E57" s="60" t="s">
        <v>70</v>
      </c>
      <c r="F57" s="52">
        <f>12000+1050</f>
        <v>13050</v>
      </c>
      <c r="G57" s="52">
        <f>12000+1050</f>
        <v>13050</v>
      </c>
      <c r="H57" s="315">
        <f t="shared" si="0"/>
        <v>0</v>
      </c>
      <c r="I57" s="52">
        <v>13000</v>
      </c>
      <c r="J57" s="52">
        <f>12000+1050</f>
        <v>13050</v>
      </c>
      <c r="K57" s="315">
        <f t="shared" si="1"/>
        <v>0</v>
      </c>
      <c r="L57" s="52">
        <v>13000</v>
      </c>
      <c r="M57" s="320">
        <f t="shared" si="2"/>
        <v>0</v>
      </c>
      <c r="N57" s="65">
        <v>13300</v>
      </c>
      <c r="O57" s="52">
        <v>13300</v>
      </c>
      <c r="P57" s="315">
        <f t="shared" si="3"/>
        <v>0</v>
      </c>
      <c r="Q57" s="233"/>
      <c r="R57" s="234"/>
      <c r="S57" s="234"/>
      <c r="T57" s="214"/>
      <c r="U57" s="214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</row>
    <row r="58" spans="1:44" s="31" customFormat="1" ht="16.5" customHeight="1" x14ac:dyDescent="0.2">
      <c r="A58" s="56" t="s">
        <v>479</v>
      </c>
      <c r="B58" s="54" t="s">
        <v>478</v>
      </c>
      <c r="C58" s="60" t="s">
        <v>108</v>
      </c>
      <c r="D58" s="60" t="s">
        <v>166</v>
      </c>
      <c r="E58" s="78"/>
      <c r="F58" s="133">
        <f t="shared" ref="F58:O59" si="10">F59</f>
        <v>4093.2</v>
      </c>
      <c r="G58" s="133">
        <f t="shared" si="10"/>
        <v>4093.2</v>
      </c>
      <c r="H58" s="315">
        <f t="shared" si="0"/>
        <v>0</v>
      </c>
      <c r="I58" s="133">
        <f t="shared" si="10"/>
        <v>3977.9</v>
      </c>
      <c r="J58" s="133">
        <f t="shared" si="10"/>
        <v>4093.2</v>
      </c>
      <c r="K58" s="315">
        <f t="shared" si="1"/>
        <v>0</v>
      </c>
      <c r="L58" s="133">
        <f t="shared" si="10"/>
        <v>3977.9</v>
      </c>
      <c r="M58" s="320">
        <f t="shared" si="2"/>
        <v>0</v>
      </c>
      <c r="N58" s="236">
        <f t="shared" si="10"/>
        <v>3977.9</v>
      </c>
      <c r="O58" s="133">
        <f t="shared" si="10"/>
        <v>3977.9</v>
      </c>
      <c r="P58" s="315">
        <f t="shared" si="3"/>
        <v>0</v>
      </c>
      <c r="Q58" s="39"/>
      <c r="R58" s="40"/>
      <c r="S58" s="40"/>
      <c r="T58" s="214"/>
      <c r="U58" s="214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</row>
    <row r="59" spans="1:44" s="31" customFormat="1" ht="25.5" x14ac:dyDescent="0.2">
      <c r="A59" s="81" t="s">
        <v>477</v>
      </c>
      <c r="B59" s="54" t="s">
        <v>476</v>
      </c>
      <c r="C59" s="60" t="s">
        <v>108</v>
      </c>
      <c r="D59" s="60" t="s">
        <v>166</v>
      </c>
      <c r="E59" s="78"/>
      <c r="F59" s="133">
        <f t="shared" si="10"/>
        <v>4093.2</v>
      </c>
      <c r="G59" s="133">
        <f t="shared" si="10"/>
        <v>4093.2</v>
      </c>
      <c r="H59" s="315">
        <f t="shared" si="0"/>
        <v>0</v>
      </c>
      <c r="I59" s="133">
        <f t="shared" si="10"/>
        <v>3977.9</v>
      </c>
      <c r="J59" s="133">
        <f t="shared" si="10"/>
        <v>4093.2</v>
      </c>
      <c r="K59" s="315">
        <f t="shared" si="1"/>
        <v>0</v>
      </c>
      <c r="L59" s="133">
        <f t="shared" si="10"/>
        <v>3977.9</v>
      </c>
      <c r="M59" s="320">
        <f t="shared" si="2"/>
        <v>0</v>
      </c>
      <c r="N59" s="236">
        <f t="shared" si="10"/>
        <v>3977.9</v>
      </c>
      <c r="O59" s="133">
        <f t="shared" si="10"/>
        <v>3977.9</v>
      </c>
      <c r="P59" s="315">
        <f t="shared" si="3"/>
        <v>0</v>
      </c>
      <c r="Q59" s="39"/>
      <c r="R59" s="40"/>
      <c r="S59" s="40"/>
      <c r="T59" s="214"/>
      <c r="U59" s="214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</row>
    <row r="60" spans="1:44" s="31" customFormat="1" x14ac:dyDescent="0.2">
      <c r="A60" s="75" t="s">
        <v>82</v>
      </c>
      <c r="B60" s="54" t="s">
        <v>476</v>
      </c>
      <c r="C60" s="60" t="s">
        <v>108</v>
      </c>
      <c r="D60" s="60" t="s">
        <v>166</v>
      </c>
      <c r="E60" s="78" t="s">
        <v>81</v>
      </c>
      <c r="F60" s="52">
        <f>3929.5+163.7</f>
        <v>4093.2</v>
      </c>
      <c r="G60" s="52">
        <f>3929.5+163.7</f>
        <v>4093.2</v>
      </c>
      <c r="H60" s="315">
        <f t="shared" si="0"/>
        <v>0</v>
      </c>
      <c r="I60" s="52">
        <f>3818.8+159.1</f>
        <v>3977.9</v>
      </c>
      <c r="J60" s="52">
        <f>3929.5+163.7</f>
        <v>4093.2</v>
      </c>
      <c r="K60" s="315">
        <f t="shared" si="1"/>
        <v>0</v>
      </c>
      <c r="L60" s="52">
        <f>3818.8+159.1</f>
        <v>3977.9</v>
      </c>
      <c r="M60" s="320">
        <f t="shared" si="2"/>
        <v>0</v>
      </c>
      <c r="N60" s="65">
        <f>3818.8+159.1</f>
        <v>3977.9</v>
      </c>
      <c r="O60" s="52">
        <f>3818.8+159.1</f>
        <v>3977.9</v>
      </c>
      <c r="P60" s="315">
        <f t="shared" si="3"/>
        <v>0</v>
      </c>
      <c r="Q60" s="39"/>
      <c r="R60" s="40"/>
      <c r="S60" s="40"/>
      <c r="T60" s="214"/>
      <c r="U60" s="214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</row>
    <row r="61" spans="1:44" s="31" customFormat="1" ht="25.5" x14ac:dyDescent="0.2">
      <c r="A61" s="75" t="s">
        <v>475</v>
      </c>
      <c r="B61" s="54" t="s">
        <v>474</v>
      </c>
      <c r="C61" s="60" t="s">
        <v>108</v>
      </c>
      <c r="D61" s="60" t="s">
        <v>166</v>
      </c>
      <c r="E61" s="78"/>
      <c r="F61" s="52">
        <f t="shared" ref="F61:O62" si="11">F62</f>
        <v>16132.7</v>
      </c>
      <c r="G61" s="52">
        <f t="shared" si="11"/>
        <v>20394.300000000003</v>
      </c>
      <c r="H61" s="315">
        <f t="shared" si="0"/>
        <v>4261.6000000000022</v>
      </c>
      <c r="I61" s="52">
        <f t="shared" si="11"/>
        <v>16585.400000000001</v>
      </c>
      <c r="J61" s="52">
        <f t="shared" si="11"/>
        <v>20394.300000000003</v>
      </c>
      <c r="K61" s="315">
        <f t="shared" si="1"/>
        <v>0</v>
      </c>
      <c r="L61" s="52">
        <f t="shared" si="11"/>
        <v>16585.400000000001</v>
      </c>
      <c r="M61" s="320">
        <f t="shared" si="2"/>
        <v>0</v>
      </c>
      <c r="N61" s="65">
        <f t="shared" si="11"/>
        <v>6692.4000000000015</v>
      </c>
      <c r="O61" s="52">
        <f t="shared" si="11"/>
        <v>6692.4000000000015</v>
      </c>
      <c r="P61" s="315">
        <f t="shared" si="3"/>
        <v>0</v>
      </c>
      <c r="Q61" s="39"/>
      <c r="R61" s="40"/>
      <c r="S61" s="40"/>
      <c r="T61" s="214"/>
      <c r="U61" s="214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</row>
    <row r="62" spans="1:44" s="31" customFormat="1" ht="25.5" x14ac:dyDescent="0.2">
      <c r="A62" s="75" t="s">
        <v>1095</v>
      </c>
      <c r="B62" s="54" t="s">
        <v>473</v>
      </c>
      <c r="C62" s="60" t="s">
        <v>108</v>
      </c>
      <c r="D62" s="60" t="s">
        <v>166</v>
      </c>
      <c r="E62" s="78"/>
      <c r="F62" s="52">
        <f t="shared" si="11"/>
        <v>16132.7</v>
      </c>
      <c r="G62" s="52">
        <f t="shared" si="11"/>
        <v>20394.300000000003</v>
      </c>
      <c r="H62" s="315">
        <f t="shared" si="0"/>
        <v>4261.6000000000022</v>
      </c>
      <c r="I62" s="52">
        <f t="shared" si="11"/>
        <v>16585.400000000001</v>
      </c>
      <c r="J62" s="52">
        <f t="shared" si="11"/>
        <v>20394.300000000003</v>
      </c>
      <c r="K62" s="315">
        <f t="shared" si="1"/>
        <v>0</v>
      </c>
      <c r="L62" s="52">
        <f t="shared" si="11"/>
        <v>16585.400000000001</v>
      </c>
      <c r="M62" s="320">
        <f t="shared" si="2"/>
        <v>0</v>
      </c>
      <c r="N62" s="65">
        <f t="shared" si="11"/>
        <v>6692.4000000000015</v>
      </c>
      <c r="O62" s="52">
        <f t="shared" si="11"/>
        <v>6692.4000000000015</v>
      </c>
      <c r="P62" s="315">
        <f t="shared" si="3"/>
        <v>0</v>
      </c>
      <c r="Q62" s="39"/>
      <c r="R62" s="40"/>
      <c r="S62" s="40"/>
      <c r="T62" s="214"/>
      <c r="U62" s="214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</row>
    <row r="63" spans="1:44" s="31" customFormat="1" x14ac:dyDescent="0.2">
      <c r="A63" s="75" t="s">
        <v>82</v>
      </c>
      <c r="B63" s="54" t="s">
        <v>473</v>
      </c>
      <c r="C63" s="60" t="s">
        <v>108</v>
      </c>
      <c r="D63" s="60" t="s">
        <v>166</v>
      </c>
      <c r="E63" s="78" t="s">
        <v>81</v>
      </c>
      <c r="F63" s="52">
        <f>20225.9-4093.2</f>
        <v>16132.7</v>
      </c>
      <c r="G63" s="52">
        <f>16132.7+4261.6</f>
        <v>20394.300000000003</v>
      </c>
      <c r="H63" s="315">
        <f t="shared" si="0"/>
        <v>4261.6000000000022</v>
      </c>
      <c r="I63" s="52">
        <f>17938.3-3977.9+2625</f>
        <v>16585.400000000001</v>
      </c>
      <c r="J63" s="52">
        <f>16132.7+4261.6</f>
        <v>20394.300000000003</v>
      </c>
      <c r="K63" s="315">
        <f t="shared" si="1"/>
        <v>0</v>
      </c>
      <c r="L63" s="52">
        <f>17938.3-3977.9+2625</f>
        <v>16585.400000000001</v>
      </c>
      <c r="M63" s="320">
        <f t="shared" si="2"/>
        <v>0</v>
      </c>
      <c r="N63" s="52">
        <f>18683.4-3977.9-10656.1+2643</f>
        <v>6692.4000000000015</v>
      </c>
      <c r="O63" s="52">
        <f>18683.4-3977.9-10656.1+2643</f>
        <v>6692.4000000000015</v>
      </c>
      <c r="P63" s="315">
        <f t="shared" si="3"/>
        <v>0</v>
      </c>
      <c r="Q63" s="39"/>
      <c r="R63" s="40"/>
      <c r="S63" s="40"/>
      <c r="T63" s="214"/>
      <c r="U63" s="214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</row>
    <row r="64" spans="1:44" s="31" customFormat="1" x14ac:dyDescent="0.2">
      <c r="A64" s="117" t="s">
        <v>457</v>
      </c>
      <c r="B64" s="54" t="s">
        <v>456</v>
      </c>
      <c r="C64" s="53"/>
      <c r="D64" s="53"/>
      <c r="E64" s="78"/>
      <c r="F64" s="52">
        <f>F65+F67</f>
        <v>429.6</v>
      </c>
      <c r="G64" s="52">
        <f>G65+G67</f>
        <v>429.6</v>
      </c>
      <c r="H64" s="315">
        <f t="shared" si="0"/>
        <v>0</v>
      </c>
      <c r="I64" s="52">
        <f>I65+I67</f>
        <v>300</v>
      </c>
      <c r="J64" s="52">
        <f>J65+J67</f>
        <v>429.6</v>
      </c>
      <c r="K64" s="315">
        <f t="shared" si="1"/>
        <v>0</v>
      </c>
      <c r="L64" s="52">
        <f>L65+L67</f>
        <v>300</v>
      </c>
      <c r="M64" s="320">
        <f t="shared" si="2"/>
        <v>0</v>
      </c>
      <c r="N64" s="65">
        <f>N65+N67</f>
        <v>300</v>
      </c>
      <c r="O64" s="52">
        <f>O65+O67</f>
        <v>300</v>
      </c>
      <c r="P64" s="315">
        <f t="shared" si="3"/>
        <v>0</v>
      </c>
      <c r="Q64" s="39"/>
      <c r="R64" s="40"/>
      <c r="S64" s="40"/>
      <c r="T64" s="214"/>
      <c r="U64" s="214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</row>
    <row r="65" spans="1:44" s="31" customFormat="1" x14ac:dyDescent="0.2">
      <c r="A65" s="64" t="s">
        <v>455</v>
      </c>
      <c r="B65" s="54" t="s">
        <v>454</v>
      </c>
      <c r="C65" s="53" t="s">
        <v>108</v>
      </c>
      <c r="D65" s="53" t="s">
        <v>160</v>
      </c>
      <c r="E65" s="78"/>
      <c r="F65" s="52">
        <f>F66</f>
        <v>379.6</v>
      </c>
      <c r="G65" s="52">
        <f>G66</f>
        <v>379.6</v>
      </c>
      <c r="H65" s="315">
        <f t="shared" si="0"/>
        <v>0</v>
      </c>
      <c r="I65" s="52">
        <f>I66</f>
        <v>250</v>
      </c>
      <c r="J65" s="52">
        <f>J66</f>
        <v>379.6</v>
      </c>
      <c r="K65" s="315">
        <f t="shared" si="1"/>
        <v>0</v>
      </c>
      <c r="L65" s="52">
        <f>L66</f>
        <v>250</v>
      </c>
      <c r="M65" s="320">
        <f t="shared" si="2"/>
        <v>0</v>
      </c>
      <c r="N65" s="65">
        <f>N66</f>
        <v>250</v>
      </c>
      <c r="O65" s="52">
        <f>O66</f>
        <v>250</v>
      </c>
      <c r="P65" s="315">
        <f t="shared" si="3"/>
        <v>0</v>
      </c>
      <c r="Q65" s="39"/>
      <c r="R65" s="40"/>
      <c r="S65" s="40"/>
      <c r="T65" s="214"/>
      <c r="U65" s="214"/>
      <c r="V65" s="231"/>
      <c r="W65" s="23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31"/>
    </row>
    <row r="66" spans="1:44" s="31" customFormat="1" ht="25.5" x14ac:dyDescent="0.2">
      <c r="A66" s="230" t="s">
        <v>73</v>
      </c>
      <c r="B66" s="54" t="s">
        <v>454</v>
      </c>
      <c r="C66" s="53" t="s">
        <v>108</v>
      </c>
      <c r="D66" s="53" t="s">
        <v>160</v>
      </c>
      <c r="E66" s="78" t="s">
        <v>70</v>
      </c>
      <c r="F66" s="52">
        <v>379.6</v>
      </c>
      <c r="G66" s="52">
        <v>379.6</v>
      </c>
      <c r="H66" s="315">
        <f t="shared" si="0"/>
        <v>0</v>
      </c>
      <c r="I66" s="52">
        <v>250</v>
      </c>
      <c r="J66" s="52">
        <v>379.6</v>
      </c>
      <c r="K66" s="315">
        <f t="shared" si="1"/>
        <v>0</v>
      </c>
      <c r="L66" s="52">
        <v>250</v>
      </c>
      <c r="M66" s="320">
        <f t="shared" si="2"/>
        <v>0</v>
      </c>
      <c r="N66" s="65">
        <v>250</v>
      </c>
      <c r="O66" s="52">
        <v>250</v>
      </c>
      <c r="P66" s="315">
        <f t="shared" si="3"/>
        <v>0</v>
      </c>
      <c r="Q66" s="39"/>
      <c r="R66" s="40"/>
      <c r="S66" s="40"/>
      <c r="T66" s="214"/>
      <c r="U66" s="214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</row>
    <row r="67" spans="1:44" s="31" customFormat="1" ht="25.5" x14ac:dyDescent="0.2">
      <c r="A67" s="84" t="s">
        <v>448</v>
      </c>
      <c r="B67" s="54" t="s">
        <v>505</v>
      </c>
      <c r="C67" s="53" t="s">
        <v>111</v>
      </c>
      <c r="D67" s="53" t="s">
        <v>489</v>
      </c>
      <c r="E67" s="78"/>
      <c r="F67" s="52">
        <f>F68</f>
        <v>50</v>
      </c>
      <c r="G67" s="52">
        <f>G68+G69</f>
        <v>50</v>
      </c>
      <c r="H67" s="52">
        <f t="shared" ref="H67:O67" si="12">H68+H69</f>
        <v>0</v>
      </c>
      <c r="I67" s="52">
        <f t="shared" si="12"/>
        <v>50</v>
      </c>
      <c r="J67" s="52">
        <f t="shared" si="12"/>
        <v>50</v>
      </c>
      <c r="K67" s="315">
        <f t="shared" si="1"/>
        <v>0</v>
      </c>
      <c r="L67" s="52">
        <f t="shared" si="12"/>
        <v>50</v>
      </c>
      <c r="M67" s="52">
        <f t="shared" si="12"/>
        <v>0</v>
      </c>
      <c r="N67" s="52">
        <f t="shared" si="12"/>
        <v>50</v>
      </c>
      <c r="O67" s="52">
        <f t="shared" si="12"/>
        <v>50</v>
      </c>
      <c r="P67" s="315">
        <f t="shared" si="3"/>
        <v>0</v>
      </c>
      <c r="Q67" s="39"/>
      <c r="R67" s="40"/>
      <c r="S67" s="40"/>
      <c r="T67" s="214"/>
      <c r="U67" s="214"/>
      <c r="V67" s="231"/>
      <c r="W67" s="231"/>
      <c r="X67" s="231"/>
      <c r="Y67" s="231"/>
      <c r="Z67" s="231"/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</row>
    <row r="68" spans="1:44" s="31" customFormat="1" ht="25.5" x14ac:dyDescent="0.2">
      <c r="A68" s="84" t="s">
        <v>73</v>
      </c>
      <c r="B68" s="54" t="s">
        <v>505</v>
      </c>
      <c r="C68" s="53" t="s">
        <v>111</v>
      </c>
      <c r="D68" s="53" t="s">
        <v>489</v>
      </c>
      <c r="E68" s="60" t="s">
        <v>70</v>
      </c>
      <c r="F68" s="52">
        <v>50</v>
      </c>
      <c r="G68" s="52">
        <v>50</v>
      </c>
      <c r="H68" s="315">
        <f t="shared" si="0"/>
        <v>0</v>
      </c>
      <c r="I68" s="52">
        <v>50</v>
      </c>
      <c r="J68" s="52">
        <f>50-10</f>
        <v>40</v>
      </c>
      <c r="K68" s="315">
        <f t="shared" si="1"/>
        <v>-10</v>
      </c>
      <c r="L68" s="52">
        <v>50</v>
      </c>
      <c r="M68" s="320">
        <f t="shared" si="2"/>
        <v>0</v>
      </c>
      <c r="N68" s="65">
        <v>50</v>
      </c>
      <c r="O68" s="52">
        <v>50</v>
      </c>
      <c r="P68" s="315">
        <f t="shared" si="3"/>
        <v>0</v>
      </c>
      <c r="Q68" s="39"/>
      <c r="R68" s="40"/>
      <c r="S68" s="40"/>
      <c r="T68" s="214"/>
      <c r="U68" s="214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</row>
    <row r="69" spans="1:44" s="31" customFormat="1" x14ac:dyDescent="0.2">
      <c r="A69" s="75" t="s">
        <v>82</v>
      </c>
      <c r="B69" s="54" t="s">
        <v>505</v>
      </c>
      <c r="C69" s="53" t="s">
        <v>111</v>
      </c>
      <c r="D69" s="53" t="s">
        <v>489</v>
      </c>
      <c r="E69" s="60" t="s">
        <v>81</v>
      </c>
      <c r="F69" s="52"/>
      <c r="G69" s="52">
        <v>0</v>
      </c>
      <c r="H69" s="315"/>
      <c r="I69" s="52"/>
      <c r="J69" s="52">
        <v>10</v>
      </c>
      <c r="K69" s="315">
        <f t="shared" si="1"/>
        <v>10</v>
      </c>
      <c r="L69" s="52">
        <v>0</v>
      </c>
      <c r="M69" s="320"/>
      <c r="N69" s="65"/>
      <c r="O69" s="52">
        <v>0</v>
      </c>
      <c r="P69" s="315"/>
      <c r="Q69" s="39"/>
      <c r="R69" s="40"/>
      <c r="S69" s="40"/>
      <c r="T69" s="214"/>
      <c r="U69" s="214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231"/>
      <c r="AH69" s="231"/>
      <c r="AI69" s="231"/>
      <c r="AJ69" s="231"/>
      <c r="AK69" s="231"/>
      <c r="AL69" s="231"/>
      <c r="AM69" s="231"/>
      <c r="AN69" s="231"/>
      <c r="AO69" s="231"/>
      <c r="AP69" s="231"/>
      <c r="AQ69" s="231"/>
      <c r="AR69" s="231"/>
    </row>
    <row r="70" spans="1:44" ht="27.75" customHeight="1" x14ac:dyDescent="0.2">
      <c r="A70" s="237" t="s">
        <v>713</v>
      </c>
      <c r="B70" s="225" t="s">
        <v>351</v>
      </c>
      <c r="C70" s="226"/>
      <c r="D70" s="226"/>
      <c r="E70" s="226"/>
      <c r="F70" s="227">
        <f>F77+F99+F71</f>
        <v>25691.1</v>
      </c>
      <c r="G70" s="227">
        <f>G77+G99+G71</f>
        <v>33326</v>
      </c>
      <c r="H70" s="315">
        <f t="shared" si="0"/>
        <v>7634.9000000000015</v>
      </c>
      <c r="I70" s="227">
        <f>I77+I99+I71</f>
        <v>14814.8</v>
      </c>
      <c r="J70" s="227">
        <f>J77+J99+J71</f>
        <v>36362.699999999997</v>
      </c>
      <c r="K70" s="315">
        <f t="shared" si="1"/>
        <v>3036.6999999999971</v>
      </c>
      <c r="L70" s="227">
        <f>L77+L99+L71</f>
        <v>14814.8</v>
      </c>
      <c r="M70" s="320">
        <f t="shared" si="2"/>
        <v>0</v>
      </c>
      <c r="N70" s="227">
        <f>N77+N99+N71</f>
        <v>13934.2</v>
      </c>
      <c r="O70" s="227">
        <f>O77+O99+O71</f>
        <v>13934.2</v>
      </c>
      <c r="P70" s="315">
        <f t="shared" si="3"/>
        <v>0</v>
      </c>
    </row>
    <row r="71" spans="1:44" ht="12.75" customHeight="1" x14ac:dyDescent="0.2">
      <c r="A71" s="109" t="s">
        <v>270</v>
      </c>
      <c r="B71" s="54" t="s">
        <v>350</v>
      </c>
      <c r="C71" s="60"/>
      <c r="D71" s="60"/>
      <c r="E71" s="60"/>
      <c r="F71" s="52">
        <f>F72</f>
        <v>3152</v>
      </c>
      <c r="G71" s="52">
        <f>G72</f>
        <v>3152</v>
      </c>
      <c r="H71" s="315">
        <f t="shared" si="0"/>
        <v>0</v>
      </c>
      <c r="I71" s="52">
        <f t="shared" ref="I71:O71" si="13">I72</f>
        <v>1384</v>
      </c>
      <c r="J71" s="52">
        <f>J72</f>
        <v>3152</v>
      </c>
      <c r="K71" s="315">
        <f t="shared" si="1"/>
        <v>0</v>
      </c>
      <c r="L71" s="52">
        <f t="shared" si="13"/>
        <v>1384</v>
      </c>
      <c r="M71" s="320">
        <f t="shared" si="2"/>
        <v>0</v>
      </c>
      <c r="N71" s="52">
        <f t="shared" si="13"/>
        <v>1328.8000000000002</v>
      </c>
      <c r="O71" s="52">
        <f t="shared" si="13"/>
        <v>1328.8000000000002</v>
      </c>
      <c r="P71" s="315">
        <f t="shared" si="3"/>
        <v>0</v>
      </c>
    </row>
    <row r="72" spans="1:44" ht="14.25" customHeight="1" x14ac:dyDescent="0.2">
      <c r="A72" s="238" t="s">
        <v>349</v>
      </c>
      <c r="B72" s="54" t="s">
        <v>348</v>
      </c>
      <c r="C72" s="60"/>
      <c r="D72" s="60"/>
      <c r="E72" s="60"/>
      <c r="F72" s="52">
        <f>F73+F75</f>
        <v>3152</v>
      </c>
      <c r="G72" s="52">
        <f>G73+G75</f>
        <v>3152</v>
      </c>
      <c r="H72" s="315">
        <f t="shared" si="0"/>
        <v>0</v>
      </c>
      <c r="I72" s="52">
        <f t="shared" ref="I72" si="14">I73+I75</f>
        <v>1384</v>
      </c>
      <c r="J72" s="52">
        <f>J73+J75</f>
        <v>3152</v>
      </c>
      <c r="K72" s="315">
        <f t="shared" si="1"/>
        <v>0</v>
      </c>
      <c r="L72" s="52">
        <f t="shared" ref="L72:O72" si="15">L73+L75</f>
        <v>1384</v>
      </c>
      <c r="M72" s="320">
        <f t="shared" si="2"/>
        <v>0</v>
      </c>
      <c r="N72" s="52">
        <f t="shared" ref="N72" si="16">N73+N75</f>
        <v>1328.8000000000002</v>
      </c>
      <c r="O72" s="52">
        <f t="shared" si="15"/>
        <v>1328.8000000000002</v>
      </c>
      <c r="P72" s="315">
        <f t="shared" si="3"/>
        <v>0</v>
      </c>
    </row>
    <row r="73" spans="1:44" ht="13.5" customHeight="1" x14ac:dyDescent="0.2">
      <c r="A73" s="121" t="s">
        <v>347</v>
      </c>
      <c r="B73" s="54" t="s">
        <v>346</v>
      </c>
      <c r="C73" s="60" t="s">
        <v>59</v>
      </c>
      <c r="D73" s="60" t="s">
        <v>111</v>
      </c>
      <c r="E73" s="60"/>
      <c r="F73" s="52">
        <f>F74</f>
        <v>1440.3</v>
      </c>
      <c r="G73" s="52">
        <f>G74</f>
        <v>1440.3</v>
      </c>
      <c r="H73" s="315">
        <f t="shared" si="0"/>
        <v>0</v>
      </c>
      <c r="I73" s="52">
        <f t="shared" ref="I73:O73" si="17">I74</f>
        <v>1384</v>
      </c>
      <c r="J73" s="52">
        <f>J74</f>
        <v>1440.3</v>
      </c>
      <c r="K73" s="315">
        <f t="shared" si="1"/>
        <v>0</v>
      </c>
      <c r="L73" s="52">
        <f t="shared" si="17"/>
        <v>1384</v>
      </c>
      <c r="M73" s="320">
        <f t="shared" si="2"/>
        <v>0</v>
      </c>
      <c r="N73" s="52">
        <f t="shared" si="17"/>
        <v>1328.8000000000002</v>
      </c>
      <c r="O73" s="52">
        <f t="shared" si="17"/>
        <v>1328.8000000000002</v>
      </c>
      <c r="P73" s="315">
        <f t="shared" si="3"/>
        <v>0</v>
      </c>
    </row>
    <row r="74" spans="1:44" ht="27" customHeight="1" x14ac:dyDescent="0.2">
      <c r="A74" s="69" t="s">
        <v>73</v>
      </c>
      <c r="B74" s="54" t="s">
        <v>346</v>
      </c>
      <c r="C74" s="60" t="s">
        <v>59</v>
      </c>
      <c r="D74" s="60" t="s">
        <v>111</v>
      </c>
      <c r="E74" s="60" t="s">
        <v>70</v>
      </c>
      <c r="F74" s="52">
        <f>1296.3+144</f>
        <v>1440.3</v>
      </c>
      <c r="G74" s="52">
        <f>1296.3+144</f>
        <v>1440.3</v>
      </c>
      <c r="H74" s="315">
        <f t="shared" si="0"/>
        <v>0</v>
      </c>
      <c r="I74" s="52">
        <f>1245.6+138.4</f>
        <v>1384</v>
      </c>
      <c r="J74" s="52">
        <f>1296.3+144</f>
        <v>1440.3</v>
      </c>
      <c r="K74" s="315">
        <f t="shared" si="1"/>
        <v>0</v>
      </c>
      <c r="L74" s="52">
        <f>1245.6+138.4</f>
        <v>1384</v>
      </c>
      <c r="M74" s="320">
        <f t="shared" si="2"/>
        <v>0</v>
      </c>
      <c r="N74" s="65">
        <f>1195.9+132.9</f>
        <v>1328.8000000000002</v>
      </c>
      <c r="O74" s="52">
        <f>1195.9+132.9</f>
        <v>1328.8000000000002</v>
      </c>
      <c r="P74" s="315">
        <f t="shared" si="3"/>
        <v>0</v>
      </c>
      <c r="Q74" s="32"/>
    </row>
    <row r="75" spans="1:44" ht="15" customHeight="1" x14ac:dyDescent="0.2">
      <c r="A75" s="64" t="s">
        <v>345</v>
      </c>
      <c r="B75" s="54" t="s">
        <v>344</v>
      </c>
      <c r="C75" s="60" t="s">
        <v>59</v>
      </c>
      <c r="D75" s="60" t="s">
        <v>111</v>
      </c>
      <c r="E75" s="60"/>
      <c r="F75" s="52">
        <f>F76</f>
        <v>1711.7</v>
      </c>
      <c r="G75" s="52">
        <f>G76</f>
        <v>1711.7</v>
      </c>
      <c r="H75" s="315">
        <f t="shared" si="0"/>
        <v>0</v>
      </c>
      <c r="I75" s="52">
        <f t="shared" ref="I75:O75" si="18">I76</f>
        <v>0</v>
      </c>
      <c r="J75" s="52">
        <f>J76</f>
        <v>1711.7</v>
      </c>
      <c r="K75" s="315">
        <f t="shared" si="1"/>
        <v>0</v>
      </c>
      <c r="L75" s="52">
        <f t="shared" si="18"/>
        <v>0</v>
      </c>
      <c r="M75" s="320">
        <f t="shared" si="2"/>
        <v>0</v>
      </c>
      <c r="N75" s="52">
        <f t="shared" si="18"/>
        <v>0</v>
      </c>
      <c r="O75" s="52">
        <f t="shared" si="18"/>
        <v>0</v>
      </c>
      <c r="P75" s="315">
        <f t="shared" si="3"/>
        <v>0</v>
      </c>
    </row>
    <row r="76" spans="1:44" ht="27" customHeight="1" x14ac:dyDescent="0.2">
      <c r="A76" s="69" t="s">
        <v>73</v>
      </c>
      <c r="B76" s="54" t="s">
        <v>344</v>
      </c>
      <c r="C76" s="60" t="s">
        <v>59</v>
      </c>
      <c r="D76" s="60" t="s">
        <v>111</v>
      </c>
      <c r="E76" s="60" t="s">
        <v>70</v>
      </c>
      <c r="F76" s="52">
        <f>1540.5+171.2</f>
        <v>1711.7</v>
      </c>
      <c r="G76" s="52">
        <f>1540.5+171.2</f>
        <v>1711.7</v>
      </c>
      <c r="H76" s="315">
        <f t="shared" si="0"/>
        <v>0</v>
      </c>
      <c r="I76" s="52">
        <v>0</v>
      </c>
      <c r="J76" s="52">
        <f>1540.5+171.2</f>
        <v>1711.7</v>
      </c>
      <c r="K76" s="315">
        <f t="shared" si="1"/>
        <v>0</v>
      </c>
      <c r="L76" s="52">
        <v>0</v>
      </c>
      <c r="M76" s="320">
        <f t="shared" si="2"/>
        <v>0</v>
      </c>
      <c r="N76" s="65">
        <v>0</v>
      </c>
      <c r="O76" s="52">
        <v>0</v>
      </c>
      <c r="P76" s="315">
        <f t="shared" si="3"/>
        <v>0</v>
      </c>
      <c r="Q76" s="32"/>
    </row>
    <row r="77" spans="1:44" s="32" customFormat="1" x14ac:dyDescent="0.2">
      <c r="A77" s="95" t="s">
        <v>66</v>
      </c>
      <c r="B77" s="54" t="s">
        <v>343</v>
      </c>
      <c r="C77" s="60"/>
      <c r="D77" s="60"/>
      <c r="E77" s="60"/>
      <c r="F77" s="52">
        <f>F78+F83+F86</f>
        <v>11557.8</v>
      </c>
      <c r="G77" s="52">
        <f>G78+G83+G86</f>
        <v>19192.699999999997</v>
      </c>
      <c r="H77" s="315">
        <f t="shared" si="0"/>
        <v>7634.8999999999978</v>
      </c>
      <c r="I77" s="52">
        <f>I78+I83+I86</f>
        <v>2587.9</v>
      </c>
      <c r="J77" s="52">
        <f>J78+J83+J86</f>
        <v>22029.399999999998</v>
      </c>
      <c r="K77" s="315">
        <f t="shared" si="1"/>
        <v>2836.7000000000007</v>
      </c>
      <c r="L77" s="52">
        <f>L78+L83+L86</f>
        <v>2587.9</v>
      </c>
      <c r="M77" s="320">
        <f t="shared" si="2"/>
        <v>0</v>
      </c>
      <c r="N77" s="65">
        <f>N78+N83+N86</f>
        <v>1725.3</v>
      </c>
      <c r="O77" s="52">
        <f>O78+O83+O86</f>
        <v>1725.3</v>
      </c>
      <c r="P77" s="315">
        <f t="shared" si="3"/>
        <v>0</v>
      </c>
      <c r="Q77" s="39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s="31" customFormat="1" ht="25.5" x14ac:dyDescent="0.2">
      <c r="A78" s="95" t="s">
        <v>342</v>
      </c>
      <c r="B78" s="54" t="s">
        <v>341</v>
      </c>
      <c r="C78" s="60"/>
      <c r="D78" s="60"/>
      <c r="E78" s="94"/>
      <c r="F78" s="52">
        <f>F81+F79</f>
        <v>6551.9</v>
      </c>
      <c r="G78" s="52">
        <f>G81+G79</f>
        <v>6551.9</v>
      </c>
      <c r="H78" s="315">
        <f t="shared" si="0"/>
        <v>0</v>
      </c>
      <c r="I78" s="52">
        <f t="shared" ref="I78" si="19">I81+I79</f>
        <v>0</v>
      </c>
      <c r="J78" s="52">
        <f>J81+J79</f>
        <v>6551.9</v>
      </c>
      <c r="K78" s="315">
        <f t="shared" si="1"/>
        <v>0</v>
      </c>
      <c r="L78" s="52">
        <f t="shared" ref="L78:O78" si="20">L81+L79</f>
        <v>0</v>
      </c>
      <c r="M78" s="320">
        <f t="shared" si="2"/>
        <v>0</v>
      </c>
      <c r="N78" s="52">
        <f t="shared" ref="N78" si="21">N81+N79</f>
        <v>0</v>
      </c>
      <c r="O78" s="52">
        <f t="shared" si="20"/>
        <v>0</v>
      </c>
      <c r="P78" s="315">
        <f t="shared" si="3"/>
        <v>0</v>
      </c>
      <c r="Q78" s="39"/>
      <c r="R78" s="40"/>
      <c r="S78" s="40"/>
      <c r="T78" s="231"/>
      <c r="U78" s="231"/>
      <c r="V78" s="231"/>
      <c r="W78" s="231"/>
      <c r="X78" s="231"/>
      <c r="Y78" s="231"/>
      <c r="Z78" s="231"/>
      <c r="AA78" s="231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31"/>
    </row>
    <row r="79" spans="1:44" s="31" customFormat="1" ht="25.5" x14ac:dyDescent="0.2">
      <c r="A79" s="95" t="s">
        <v>340</v>
      </c>
      <c r="B79" s="54" t="s">
        <v>339</v>
      </c>
      <c r="C79" s="60" t="s">
        <v>59</v>
      </c>
      <c r="D79" s="60" t="s">
        <v>111</v>
      </c>
      <c r="E79" s="60"/>
      <c r="F79" s="52">
        <f>F80</f>
        <v>3286.2999999999997</v>
      </c>
      <c r="G79" s="52">
        <f>G80</f>
        <v>3286.2999999999997</v>
      </c>
      <c r="H79" s="315">
        <f t="shared" ref="H79:H151" si="22">G79-F79</f>
        <v>0</v>
      </c>
      <c r="I79" s="52">
        <f t="shared" ref="I79:O79" si="23">I80</f>
        <v>0</v>
      </c>
      <c r="J79" s="52">
        <f>J80</f>
        <v>3286.2999999999997</v>
      </c>
      <c r="K79" s="315">
        <f t="shared" ref="K79:K144" si="24">J79-G79</f>
        <v>0</v>
      </c>
      <c r="L79" s="52">
        <f t="shared" si="23"/>
        <v>0</v>
      </c>
      <c r="M79" s="320">
        <f t="shared" ref="M79:M151" si="25">L79-I79</f>
        <v>0</v>
      </c>
      <c r="N79" s="52">
        <f t="shared" si="23"/>
        <v>0</v>
      </c>
      <c r="O79" s="52">
        <f t="shared" si="23"/>
        <v>0</v>
      </c>
      <c r="P79" s="315">
        <f t="shared" ref="P79:P151" si="26">O79-N79</f>
        <v>0</v>
      </c>
      <c r="Q79" s="39"/>
      <c r="R79" s="40"/>
      <c r="S79" s="40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1"/>
      <c r="AQ79" s="231"/>
      <c r="AR79" s="231"/>
    </row>
    <row r="80" spans="1:44" s="31" customFormat="1" ht="25.5" x14ac:dyDescent="0.2">
      <c r="A80" s="230" t="s">
        <v>73</v>
      </c>
      <c r="B80" s="54" t="s">
        <v>339</v>
      </c>
      <c r="C80" s="60" t="s">
        <v>59</v>
      </c>
      <c r="D80" s="60" t="s">
        <v>111</v>
      </c>
      <c r="E80" s="60" t="s">
        <v>70</v>
      </c>
      <c r="F80" s="52">
        <f>3889-931.3+328.6</f>
        <v>3286.2999999999997</v>
      </c>
      <c r="G80" s="52">
        <f>3889-931.3+328.6</f>
        <v>3286.2999999999997</v>
      </c>
      <c r="H80" s="315">
        <f t="shared" si="22"/>
        <v>0</v>
      </c>
      <c r="I80" s="52">
        <v>0</v>
      </c>
      <c r="J80" s="52">
        <f>3889-931.3+328.6</f>
        <v>3286.2999999999997</v>
      </c>
      <c r="K80" s="315">
        <f t="shared" si="24"/>
        <v>0</v>
      </c>
      <c r="L80" s="52">
        <v>0</v>
      </c>
      <c r="M80" s="320">
        <f t="shared" si="25"/>
        <v>0</v>
      </c>
      <c r="N80" s="65">
        <v>0</v>
      </c>
      <c r="O80" s="52">
        <v>0</v>
      </c>
      <c r="P80" s="315">
        <f t="shared" si="26"/>
        <v>0</v>
      </c>
      <c r="Q80" s="39"/>
      <c r="R80" s="40"/>
      <c r="S80" s="40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231"/>
      <c r="AI80" s="231"/>
      <c r="AJ80" s="231"/>
      <c r="AK80" s="231"/>
      <c r="AL80" s="231"/>
      <c r="AM80" s="231"/>
      <c r="AN80" s="231"/>
      <c r="AO80" s="231"/>
      <c r="AP80" s="231"/>
      <c r="AQ80" s="231"/>
      <c r="AR80" s="231"/>
    </row>
    <row r="81" spans="1:44" s="31" customFormat="1" x14ac:dyDescent="0.2">
      <c r="A81" s="95" t="s">
        <v>338</v>
      </c>
      <c r="B81" s="54" t="s">
        <v>337</v>
      </c>
      <c r="C81" s="60" t="s">
        <v>59</v>
      </c>
      <c r="D81" s="60" t="s">
        <v>111</v>
      </c>
      <c r="E81" s="60"/>
      <c r="F81" s="52">
        <f t="shared" ref="F81:O81" si="27">F82</f>
        <v>3265.6000000000004</v>
      </c>
      <c r="G81" s="52">
        <f t="shared" si="27"/>
        <v>3265.6000000000004</v>
      </c>
      <c r="H81" s="315">
        <f t="shared" si="22"/>
        <v>0</v>
      </c>
      <c r="I81" s="52">
        <f t="shared" si="27"/>
        <v>0</v>
      </c>
      <c r="J81" s="52">
        <f t="shared" si="27"/>
        <v>3265.6000000000004</v>
      </c>
      <c r="K81" s="315">
        <f t="shared" si="24"/>
        <v>0</v>
      </c>
      <c r="L81" s="52">
        <f t="shared" si="27"/>
        <v>0</v>
      </c>
      <c r="M81" s="320">
        <f t="shared" si="25"/>
        <v>0</v>
      </c>
      <c r="N81" s="65">
        <f t="shared" si="27"/>
        <v>0</v>
      </c>
      <c r="O81" s="52">
        <f t="shared" si="27"/>
        <v>0</v>
      </c>
      <c r="P81" s="315">
        <f t="shared" si="26"/>
        <v>0</v>
      </c>
      <c r="Q81" s="39"/>
      <c r="R81" s="40"/>
      <c r="S81" s="40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  <c r="AQ81" s="231"/>
      <c r="AR81" s="231"/>
    </row>
    <row r="82" spans="1:44" s="31" customFormat="1" ht="25.5" x14ac:dyDescent="0.2">
      <c r="A82" s="230" t="s">
        <v>73</v>
      </c>
      <c r="B82" s="54" t="s">
        <v>337</v>
      </c>
      <c r="C82" s="60" t="s">
        <v>59</v>
      </c>
      <c r="D82" s="60" t="s">
        <v>111</v>
      </c>
      <c r="E82" s="60" t="s">
        <v>70</v>
      </c>
      <c r="F82" s="52">
        <f>745+82.8+2194+243.8</f>
        <v>3265.6000000000004</v>
      </c>
      <c r="G82" s="52">
        <f>745+82.8+2194+243.8</f>
        <v>3265.6000000000004</v>
      </c>
      <c r="H82" s="315">
        <f t="shared" si="22"/>
        <v>0</v>
      </c>
      <c r="I82" s="52">
        <v>0</v>
      </c>
      <c r="J82" s="52">
        <f>745+82.8+2194+243.8</f>
        <v>3265.6000000000004</v>
      </c>
      <c r="K82" s="315">
        <f t="shared" si="24"/>
        <v>0</v>
      </c>
      <c r="L82" s="52">
        <v>0</v>
      </c>
      <c r="M82" s="320">
        <f t="shared" si="25"/>
        <v>0</v>
      </c>
      <c r="N82" s="65">
        <v>0</v>
      </c>
      <c r="O82" s="52">
        <v>0</v>
      </c>
      <c r="P82" s="315">
        <f t="shared" si="26"/>
        <v>0</v>
      </c>
      <c r="Q82" s="39"/>
      <c r="R82" s="40"/>
      <c r="S82" s="40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  <c r="AQ82" s="231"/>
      <c r="AR82" s="231"/>
    </row>
    <row r="83" spans="1:44" s="31" customFormat="1" ht="25.5" x14ac:dyDescent="0.2">
      <c r="A83" s="62" t="s">
        <v>336</v>
      </c>
      <c r="B83" s="54" t="s">
        <v>335</v>
      </c>
      <c r="C83" s="60"/>
      <c r="D83" s="60"/>
      <c r="E83" s="60"/>
      <c r="F83" s="52">
        <f t="shared" ref="F83:O84" si="28">F84</f>
        <v>4143.2</v>
      </c>
      <c r="G83" s="52">
        <f t="shared" si="28"/>
        <v>4143.2</v>
      </c>
      <c r="H83" s="315">
        <f t="shared" si="22"/>
        <v>0</v>
      </c>
      <c r="I83" s="52">
        <f t="shared" si="28"/>
        <v>0</v>
      </c>
      <c r="J83" s="52">
        <f t="shared" si="28"/>
        <v>4143.2</v>
      </c>
      <c r="K83" s="315">
        <f t="shared" si="24"/>
        <v>0</v>
      </c>
      <c r="L83" s="52">
        <f t="shared" si="28"/>
        <v>0</v>
      </c>
      <c r="M83" s="320">
        <f t="shared" si="25"/>
        <v>0</v>
      </c>
      <c r="N83" s="65">
        <f t="shared" si="28"/>
        <v>0</v>
      </c>
      <c r="O83" s="52">
        <f t="shared" si="28"/>
        <v>0</v>
      </c>
      <c r="P83" s="315">
        <f t="shared" si="26"/>
        <v>0</v>
      </c>
      <c r="Q83" s="39"/>
      <c r="R83" s="40"/>
      <c r="S83" s="40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31"/>
    </row>
    <row r="84" spans="1:44" s="31" customFormat="1" ht="25.5" x14ac:dyDescent="0.2">
      <c r="A84" s="62" t="s">
        <v>334</v>
      </c>
      <c r="B84" s="54" t="s">
        <v>333</v>
      </c>
      <c r="C84" s="60" t="s">
        <v>59</v>
      </c>
      <c r="D84" s="60" t="s">
        <v>111</v>
      </c>
      <c r="E84" s="60"/>
      <c r="F84" s="52">
        <f t="shared" si="28"/>
        <v>4143.2</v>
      </c>
      <c r="G84" s="52">
        <f t="shared" si="28"/>
        <v>4143.2</v>
      </c>
      <c r="H84" s="315">
        <f t="shared" si="22"/>
        <v>0</v>
      </c>
      <c r="I84" s="52">
        <f t="shared" si="28"/>
        <v>0</v>
      </c>
      <c r="J84" s="52">
        <f t="shared" si="28"/>
        <v>4143.2</v>
      </c>
      <c r="K84" s="315">
        <f t="shared" si="24"/>
        <v>0</v>
      </c>
      <c r="L84" s="52">
        <f t="shared" si="28"/>
        <v>0</v>
      </c>
      <c r="M84" s="320">
        <f t="shared" si="25"/>
        <v>0</v>
      </c>
      <c r="N84" s="65">
        <f t="shared" si="28"/>
        <v>0</v>
      </c>
      <c r="O84" s="52">
        <f t="shared" si="28"/>
        <v>0</v>
      </c>
      <c r="P84" s="315">
        <f t="shared" si="26"/>
        <v>0</v>
      </c>
      <c r="Q84" s="39"/>
      <c r="R84" s="40"/>
      <c r="S84" s="40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</row>
    <row r="85" spans="1:44" s="31" customFormat="1" ht="25.5" x14ac:dyDescent="0.2">
      <c r="A85" s="230" t="s">
        <v>73</v>
      </c>
      <c r="B85" s="54" t="s">
        <v>333</v>
      </c>
      <c r="C85" s="60" t="s">
        <v>59</v>
      </c>
      <c r="D85" s="60" t="s">
        <v>111</v>
      </c>
      <c r="E85" s="60" t="s">
        <v>70</v>
      </c>
      <c r="F85" s="52">
        <f>4101.8+41.4</f>
        <v>4143.2</v>
      </c>
      <c r="G85" s="52">
        <f>4101.8+41.4</f>
        <v>4143.2</v>
      </c>
      <c r="H85" s="315">
        <f t="shared" si="22"/>
        <v>0</v>
      </c>
      <c r="I85" s="52">
        <v>0</v>
      </c>
      <c r="J85" s="52">
        <f>4101.8+41.4</f>
        <v>4143.2</v>
      </c>
      <c r="K85" s="315">
        <f t="shared" si="24"/>
        <v>0</v>
      </c>
      <c r="L85" s="52">
        <v>0</v>
      </c>
      <c r="M85" s="320">
        <f t="shared" si="25"/>
        <v>0</v>
      </c>
      <c r="N85" s="65">
        <v>0</v>
      </c>
      <c r="O85" s="52">
        <v>0</v>
      </c>
      <c r="P85" s="315">
        <f t="shared" si="26"/>
        <v>0</v>
      </c>
      <c r="Q85" s="39"/>
      <c r="R85" s="40"/>
      <c r="S85" s="40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1"/>
      <c r="AQ85" s="231"/>
      <c r="AR85" s="231"/>
    </row>
    <row r="86" spans="1:44" s="31" customFormat="1" ht="24.75" customHeight="1" x14ac:dyDescent="0.2">
      <c r="A86" s="95" t="s">
        <v>1108</v>
      </c>
      <c r="B86" s="54" t="s">
        <v>331</v>
      </c>
      <c r="C86" s="60"/>
      <c r="D86" s="60"/>
      <c r="E86" s="94"/>
      <c r="F86" s="52">
        <f>F87+F95+F89+F91+F93</f>
        <v>862.69999999999993</v>
      </c>
      <c r="G86" s="52">
        <f>G87+G95+G89+G91+G93+G97</f>
        <v>8497.6</v>
      </c>
      <c r="H86" s="52">
        <f t="shared" ref="H86:O86" si="29">H87+H95+H89+H91+H93+H97</f>
        <v>7634.9</v>
      </c>
      <c r="I86" s="52">
        <f t="shared" si="29"/>
        <v>2587.9</v>
      </c>
      <c r="J86" s="52">
        <f t="shared" si="29"/>
        <v>11334.3</v>
      </c>
      <c r="K86" s="315">
        <f t="shared" si="24"/>
        <v>2836.6999999999989</v>
      </c>
      <c r="L86" s="52">
        <f t="shared" si="29"/>
        <v>2587.9</v>
      </c>
      <c r="M86" s="52">
        <f t="shared" si="29"/>
        <v>0</v>
      </c>
      <c r="N86" s="52">
        <f t="shared" si="29"/>
        <v>1725.3</v>
      </c>
      <c r="O86" s="52">
        <f t="shared" si="29"/>
        <v>1725.3</v>
      </c>
      <c r="P86" s="315">
        <f t="shared" si="26"/>
        <v>0</v>
      </c>
      <c r="Q86" s="39"/>
      <c r="R86" s="40"/>
      <c r="S86" s="40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</row>
    <row r="87" spans="1:44" s="31" customFormat="1" x14ac:dyDescent="0.2">
      <c r="A87" s="95" t="s">
        <v>330</v>
      </c>
      <c r="B87" s="54" t="s">
        <v>329</v>
      </c>
      <c r="C87" s="60" t="s">
        <v>59</v>
      </c>
      <c r="D87" s="60" t="s">
        <v>111</v>
      </c>
      <c r="E87" s="60"/>
      <c r="F87" s="52">
        <f>F88</f>
        <v>0</v>
      </c>
      <c r="G87" s="52">
        <f>G88</f>
        <v>3988.9</v>
      </c>
      <c r="H87" s="315">
        <f t="shared" si="22"/>
        <v>3988.9</v>
      </c>
      <c r="I87" s="52">
        <f>I88</f>
        <v>0</v>
      </c>
      <c r="J87" s="52">
        <f>J88</f>
        <v>4688.8999999999996</v>
      </c>
      <c r="K87" s="315">
        <f t="shared" si="24"/>
        <v>699.99999999999955</v>
      </c>
      <c r="L87" s="52">
        <f>L88</f>
        <v>0</v>
      </c>
      <c r="M87" s="320">
        <f t="shared" si="25"/>
        <v>0</v>
      </c>
      <c r="N87" s="65">
        <f>N88</f>
        <v>0</v>
      </c>
      <c r="O87" s="52">
        <f>O88</f>
        <v>0</v>
      </c>
      <c r="P87" s="315">
        <f t="shared" si="26"/>
        <v>0</v>
      </c>
      <c r="Q87" s="39"/>
      <c r="R87" s="40"/>
      <c r="S87" s="40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31"/>
      <c r="AH87" s="231"/>
      <c r="AI87" s="231"/>
      <c r="AJ87" s="231"/>
      <c r="AK87" s="231"/>
      <c r="AL87" s="231"/>
      <c r="AM87" s="231"/>
      <c r="AN87" s="231"/>
      <c r="AO87" s="231"/>
      <c r="AP87" s="231"/>
      <c r="AQ87" s="231"/>
      <c r="AR87" s="231"/>
    </row>
    <row r="88" spans="1:44" s="31" customFormat="1" ht="25.5" x14ac:dyDescent="0.2">
      <c r="A88" s="230" t="s">
        <v>73</v>
      </c>
      <c r="B88" s="54" t="s">
        <v>329</v>
      </c>
      <c r="C88" s="60" t="s">
        <v>59</v>
      </c>
      <c r="D88" s="60" t="s">
        <v>111</v>
      </c>
      <c r="E88" s="60" t="s">
        <v>70</v>
      </c>
      <c r="F88" s="52">
        <v>0</v>
      </c>
      <c r="G88" s="52">
        <f>2484.9+300+1204</f>
        <v>3988.9</v>
      </c>
      <c r="H88" s="315">
        <f t="shared" si="22"/>
        <v>3988.9</v>
      </c>
      <c r="I88" s="52">
        <v>0</v>
      </c>
      <c r="J88" s="52">
        <f>3988.9+700</f>
        <v>4688.8999999999996</v>
      </c>
      <c r="K88" s="315">
        <f t="shared" si="24"/>
        <v>699.99999999999955</v>
      </c>
      <c r="L88" s="52">
        <v>0</v>
      </c>
      <c r="M88" s="320">
        <f t="shared" si="25"/>
        <v>0</v>
      </c>
      <c r="N88" s="65">
        <v>0</v>
      </c>
      <c r="O88" s="52">
        <v>0</v>
      </c>
      <c r="P88" s="315">
        <f t="shared" si="26"/>
        <v>0</v>
      </c>
      <c r="Q88" s="32"/>
      <c r="R88" s="40"/>
      <c r="S88" s="40"/>
      <c r="T88" s="231"/>
      <c r="U88" s="231"/>
      <c r="V88" s="231"/>
      <c r="W88" s="231"/>
      <c r="X88" s="231"/>
      <c r="Y88" s="231"/>
      <c r="Z88" s="231"/>
      <c r="AA88" s="231"/>
      <c r="AB88" s="231"/>
      <c r="AC88" s="231"/>
      <c r="AD88" s="231"/>
      <c r="AE88" s="231"/>
      <c r="AF88" s="231"/>
      <c r="AG88" s="231"/>
      <c r="AH88" s="231"/>
      <c r="AI88" s="231"/>
      <c r="AJ88" s="231"/>
      <c r="AK88" s="231"/>
      <c r="AL88" s="231"/>
      <c r="AM88" s="231"/>
      <c r="AN88" s="231"/>
      <c r="AO88" s="231"/>
      <c r="AP88" s="231"/>
      <c r="AQ88" s="231"/>
      <c r="AR88" s="231"/>
    </row>
    <row r="89" spans="1:44" s="31" customFormat="1" ht="25.5" x14ac:dyDescent="0.2">
      <c r="A89" s="337" t="s">
        <v>1079</v>
      </c>
      <c r="B89" s="54" t="s">
        <v>1080</v>
      </c>
      <c r="C89" s="60" t="s">
        <v>59</v>
      </c>
      <c r="D89" s="60" t="s">
        <v>111</v>
      </c>
      <c r="E89" s="60"/>
      <c r="F89" s="52">
        <f>F90</f>
        <v>0</v>
      </c>
      <c r="G89" s="52">
        <f t="shared" ref="G89:O89" si="30">G90</f>
        <v>240</v>
      </c>
      <c r="H89" s="315">
        <f t="shared" si="22"/>
        <v>240</v>
      </c>
      <c r="I89" s="52">
        <f t="shared" si="30"/>
        <v>0</v>
      </c>
      <c r="J89" s="52">
        <f t="shared" si="30"/>
        <v>240</v>
      </c>
      <c r="K89" s="315">
        <f t="shared" si="24"/>
        <v>0</v>
      </c>
      <c r="L89" s="52">
        <f t="shared" si="30"/>
        <v>0</v>
      </c>
      <c r="M89" s="320">
        <f t="shared" si="25"/>
        <v>0</v>
      </c>
      <c r="N89" s="52">
        <f t="shared" si="30"/>
        <v>0</v>
      </c>
      <c r="O89" s="52">
        <f t="shared" si="30"/>
        <v>0</v>
      </c>
      <c r="P89" s="315">
        <f t="shared" si="26"/>
        <v>0</v>
      </c>
      <c r="Q89" s="39"/>
      <c r="R89" s="40"/>
      <c r="S89" s="40"/>
      <c r="T89" s="231"/>
      <c r="U89" s="231"/>
      <c r="V89" s="231"/>
      <c r="W89" s="231"/>
      <c r="X89" s="231"/>
      <c r="Y89" s="231"/>
      <c r="Z89" s="231"/>
      <c r="AA89" s="231"/>
      <c r="AB89" s="231"/>
      <c r="AC89" s="231"/>
      <c r="AD89" s="231"/>
      <c r="AE89" s="231"/>
      <c r="AF89" s="231"/>
      <c r="AG89" s="231"/>
      <c r="AH89" s="231"/>
      <c r="AI89" s="231"/>
      <c r="AJ89" s="231"/>
      <c r="AK89" s="231"/>
      <c r="AL89" s="231"/>
      <c r="AM89" s="231"/>
      <c r="AN89" s="231"/>
      <c r="AO89" s="231"/>
      <c r="AP89" s="231"/>
      <c r="AQ89" s="231"/>
      <c r="AR89" s="231"/>
    </row>
    <row r="90" spans="1:44" s="31" customFormat="1" ht="25.5" x14ac:dyDescent="0.2">
      <c r="A90" s="230" t="s">
        <v>73</v>
      </c>
      <c r="B90" s="54" t="s">
        <v>1080</v>
      </c>
      <c r="C90" s="60" t="s">
        <v>59</v>
      </c>
      <c r="D90" s="60" t="s">
        <v>111</v>
      </c>
      <c r="E90" s="60" t="s">
        <v>70</v>
      </c>
      <c r="F90" s="52">
        <v>0</v>
      </c>
      <c r="G90" s="52">
        <v>240</v>
      </c>
      <c r="H90" s="315">
        <f t="shared" si="22"/>
        <v>240</v>
      </c>
      <c r="I90" s="52">
        <v>0</v>
      </c>
      <c r="J90" s="52">
        <v>240</v>
      </c>
      <c r="K90" s="315">
        <f t="shared" si="24"/>
        <v>0</v>
      </c>
      <c r="L90" s="52">
        <v>0</v>
      </c>
      <c r="M90" s="320">
        <f t="shared" si="25"/>
        <v>0</v>
      </c>
      <c r="N90" s="65">
        <v>0</v>
      </c>
      <c r="O90" s="52">
        <v>0</v>
      </c>
      <c r="P90" s="315">
        <f t="shared" si="26"/>
        <v>0</v>
      </c>
      <c r="Q90" s="39"/>
      <c r="R90" s="40"/>
      <c r="S90" s="40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1"/>
      <c r="AM90" s="231"/>
      <c r="AN90" s="231"/>
      <c r="AO90" s="231"/>
      <c r="AP90" s="231"/>
      <c r="AQ90" s="231"/>
      <c r="AR90" s="231"/>
    </row>
    <row r="91" spans="1:44" s="31" customFormat="1" ht="25.5" x14ac:dyDescent="0.2">
      <c r="A91" s="64" t="s">
        <v>1081</v>
      </c>
      <c r="B91" s="54" t="s">
        <v>1082</v>
      </c>
      <c r="C91" s="60" t="s">
        <v>59</v>
      </c>
      <c r="D91" s="60" t="s">
        <v>111</v>
      </c>
      <c r="E91" s="60"/>
      <c r="F91" s="52">
        <f>F92</f>
        <v>0</v>
      </c>
      <c r="G91" s="52">
        <f t="shared" ref="G91:O91" si="31">G92</f>
        <v>206</v>
      </c>
      <c r="H91" s="315">
        <f t="shared" si="22"/>
        <v>206</v>
      </c>
      <c r="I91" s="52">
        <f t="shared" si="31"/>
        <v>0</v>
      </c>
      <c r="J91" s="52">
        <f t="shared" si="31"/>
        <v>206</v>
      </c>
      <c r="K91" s="315">
        <f t="shared" si="24"/>
        <v>0</v>
      </c>
      <c r="L91" s="52">
        <f t="shared" si="31"/>
        <v>0</v>
      </c>
      <c r="M91" s="320">
        <f t="shared" si="25"/>
        <v>0</v>
      </c>
      <c r="N91" s="52">
        <f t="shared" si="31"/>
        <v>0</v>
      </c>
      <c r="O91" s="52">
        <f t="shared" si="31"/>
        <v>0</v>
      </c>
      <c r="P91" s="315">
        <f t="shared" si="26"/>
        <v>0</v>
      </c>
      <c r="Q91" s="39"/>
      <c r="R91" s="40"/>
      <c r="S91" s="40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231"/>
      <c r="AJ91" s="231"/>
      <c r="AK91" s="231"/>
      <c r="AL91" s="231"/>
      <c r="AM91" s="231"/>
      <c r="AN91" s="231"/>
      <c r="AO91" s="231"/>
      <c r="AP91" s="231"/>
      <c r="AQ91" s="231"/>
      <c r="AR91" s="231"/>
    </row>
    <row r="92" spans="1:44" s="31" customFormat="1" ht="25.5" x14ac:dyDescent="0.2">
      <c r="A92" s="121" t="s">
        <v>73</v>
      </c>
      <c r="B92" s="54" t="s">
        <v>1082</v>
      </c>
      <c r="C92" s="60" t="s">
        <v>59</v>
      </c>
      <c r="D92" s="60" t="s">
        <v>111</v>
      </c>
      <c r="E92" s="60" t="s">
        <v>70</v>
      </c>
      <c r="F92" s="52">
        <v>0</v>
      </c>
      <c r="G92" s="52">
        <v>206</v>
      </c>
      <c r="H92" s="315">
        <f t="shared" si="22"/>
        <v>206</v>
      </c>
      <c r="I92" s="52">
        <v>0</v>
      </c>
      <c r="J92" s="52">
        <v>206</v>
      </c>
      <c r="K92" s="315">
        <f t="shared" si="24"/>
        <v>0</v>
      </c>
      <c r="L92" s="52">
        <v>0</v>
      </c>
      <c r="M92" s="320">
        <f t="shared" si="25"/>
        <v>0</v>
      </c>
      <c r="N92" s="65">
        <v>0</v>
      </c>
      <c r="O92" s="52">
        <v>0</v>
      </c>
      <c r="P92" s="315">
        <f t="shared" si="26"/>
        <v>0</v>
      </c>
      <c r="Q92" s="39"/>
      <c r="R92" s="40"/>
      <c r="S92" s="40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231"/>
      <c r="AJ92" s="231"/>
      <c r="AK92" s="231"/>
      <c r="AL92" s="231"/>
      <c r="AM92" s="231"/>
      <c r="AN92" s="231"/>
      <c r="AO92" s="231"/>
      <c r="AP92" s="231"/>
      <c r="AQ92" s="231"/>
      <c r="AR92" s="231"/>
    </row>
    <row r="93" spans="1:44" s="31" customFormat="1" ht="25.5" x14ac:dyDescent="0.2">
      <c r="A93" s="62" t="s">
        <v>1103</v>
      </c>
      <c r="B93" s="54" t="s">
        <v>1091</v>
      </c>
      <c r="C93" s="60" t="s">
        <v>59</v>
      </c>
      <c r="D93" s="60" t="s">
        <v>111</v>
      </c>
      <c r="E93" s="60"/>
      <c r="F93" s="52">
        <f>F94</f>
        <v>0</v>
      </c>
      <c r="G93" s="52">
        <f t="shared" ref="G93:O93" si="32">G94</f>
        <v>3200</v>
      </c>
      <c r="H93" s="299">
        <f>G93-F93</f>
        <v>3200</v>
      </c>
      <c r="I93" s="52">
        <f t="shared" si="32"/>
        <v>0</v>
      </c>
      <c r="J93" s="52">
        <f t="shared" si="32"/>
        <v>3200</v>
      </c>
      <c r="K93" s="315">
        <f t="shared" si="24"/>
        <v>0</v>
      </c>
      <c r="L93" s="52">
        <f t="shared" si="32"/>
        <v>0</v>
      </c>
      <c r="M93" s="299">
        <f>L93-I93</f>
        <v>0</v>
      </c>
      <c r="N93" s="52">
        <f t="shared" si="32"/>
        <v>0</v>
      </c>
      <c r="O93" s="52">
        <f t="shared" si="32"/>
        <v>0</v>
      </c>
      <c r="P93" s="299">
        <f>O93-N93</f>
        <v>0</v>
      </c>
      <c r="Q93" s="39"/>
      <c r="R93" s="40"/>
      <c r="S93" s="40"/>
      <c r="T93" s="231"/>
      <c r="U93" s="231"/>
      <c r="V93" s="231"/>
      <c r="W93" s="231"/>
      <c r="X93" s="231"/>
      <c r="Y93" s="231"/>
      <c r="Z93" s="231"/>
      <c r="AA93" s="231"/>
      <c r="AB93" s="231"/>
      <c r="AC93" s="231"/>
      <c r="AD93" s="231"/>
      <c r="AE93" s="231"/>
      <c r="AF93" s="231"/>
      <c r="AG93" s="231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  <c r="AR93" s="231"/>
    </row>
    <row r="94" spans="1:44" s="31" customFormat="1" ht="25.5" x14ac:dyDescent="0.2">
      <c r="A94" s="56" t="s">
        <v>73</v>
      </c>
      <c r="B94" s="54" t="s">
        <v>1091</v>
      </c>
      <c r="C94" s="60" t="s">
        <v>59</v>
      </c>
      <c r="D94" s="60" t="s">
        <v>111</v>
      </c>
      <c r="E94" s="60" t="s">
        <v>70</v>
      </c>
      <c r="F94" s="52">
        <v>0</v>
      </c>
      <c r="G94" s="52">
        <f>3000+200</f>
        <v>3200</v>
      </c>
      <c r="H94" s="299">
        <f>G94-F94</f>
        <v>3200</v>
      </c>
      <c r="I94" s="52">
        <v>0</v>
      </c>
      <c r="J94" s="52">
        <f>3000+200</f>
        <v>3200</v>
      </c>
      <c r="K94" s="315">
        <f t="shared" si="24"/>
        <v>0</v>
      </c>
      <c r="L94" s="52">
        <v>0</v>
      </c>
      <c r="M94" s="299">
        <f>L94-I94</f>
        <v>0</v>
      </c>
      <c r="N94" s="52">
        <v>0</v>
      </c>
      <c r="O94" s="52">
        <v>0</v>
      </c>
      <c r="P94" s="299">
        <f>O94-N94</f>
        <v>0</v>
      </c>
      <c r="Q94" s="39"/>
      <c r="R94" s="40"/>
      <c r="S94" s="40"/>
      <c r="T94" s="231"/>
      <c r="U94" s="231"/>
      <c r="V94" s="231"/>
      <c r="W94" s="231"/>
      <c r="X94" s="231"/>
      <c r="Y94" s="231"/>
      <c r="Z94" s="231"/>
      <c r="AA94" s="231"/>
      <c r="AB94" s="231"/>
      <c r="AC94" s="231"/>
      <c r="AD94" s="231"/>
      <c r="AE94" s="231"/>
      <c r="AF94" s="231"/>
      <c r="AG94" s="231"/>
      <c r="AH94" s="231"/>
      <c r="AI94" s="231"/>
      <c r="AJ94" s="231"/>
      <c r="AK94" s="231"/>
      <c r="AL94" s="231"/>
      <c r="AM94" s="231"/>
      <c r="AN94" s="231"/>
      <c r="AO94" s="231"/>
      <c r="AP94" s="231"/>
      <c r="AQ94" s="231"/>
      <c r="AR94" s="231"/>
    </row>
    <row r="95" spans="1:44" s="31" customFormat="1" x14ac:dyDescent="0.2">
      <c r="A95" s="95" t="s">
        <v>328</v>
      </c>
      <c r="B95" s="54" t="s">
        <v>327</v>
      </c>
      <c r="C95" s="60" t="s">
        <v>59</v>
      </c>
      <c r="D95" s="60" t="s">
        <v>111</v>
      </c>
      <c r="E95" s="60"/>
      <c r="F95" s="52">
        <f>F96</f>
        <v>862.69999999999993</v>
      </c>
      <c r="G95" s="52">
        <f>G96</f>
        <v>862.69999999999993</v>
      </c>
      <c r="H95" s="315">
        <f t="shared" si="22"/>
        <v>0</v>
      </c>
      <c r="I95" s="52">
        <f>I96</f>
        <v>2587.9</v>
      </c>
      <c r="J95" s="52">
        <f>J96</f>
        <v>862.69999999999993</v>
      </c>
      <c r="K95" s="315">
        <f t="shared" si="24"/>
        <v>0</v>
      </c>
      <c r="L95" s="52">
        <f>L96</f>
        <v>2587.9</v>
      </c>
      <c r="M95" s="320">
        <f t="shared" si="25"/>
        <v>0</v>
      </c>
      <c r="N95" s="65">
        <f>N96</f>
        <v>1725.3</v>
      </c>
      <c r="O95" s="52">
        <f>O96</f>
        <v>1725.3</v>
      </c>
      <c r="P95" s="315">
        <f t="shared" si="26"/>
        <v>0</v>
      </c>
      <c r="Q95" s="39"/>
      <c r="R95" s="40"/>
      <c r="S95" s="40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  <c r="AF95" s="231"/>
      <c r="AG95" s="231"/>
      <c r="AH95" s="231"/>
      <c r="AI95" s="231"/>
      <c r="AJ95" s="231"/>
      <c r="AK95" s="231"/>
      <c r="AL95" s="231"/>
      <c r="AM95" s="231"/>
      <c r="AN95" s="231"/>
      <c r="AO95" s="231"/>
      <c r="AP95" s="231"/>
      <c r="AQ95" s="231"/>
      <c r="AR95" s="231"/>
    </row>
    <row r="96" spans="1:44" s="31" customFormat="1" ht="25.5" x14ac:dyDescent="0.2">
      <c r="A96" s="230" t="s">
        <v>73</v>
      </c>
      <c r="B96" s="54" t="s">
        <v>327</v>
      </c>
      <c r="C96" s="60" t="s">
        <v>59</v>
      </c>
      <c r="D96" s="60" t="s">
        <v>111</v>
      </c>
      <c r="E96" s="60" t="s">
        <v>70</v>
      </c>
      <c r="F96" s="52">
        <f>836.8+25.9</f>
        <v>862.69999999999993</v>
      </c>
      <c r="G96" s="52">
        <f>836.8+25.9</f>
        <v>862.69999999999993</v>
      </c>
      <c r="H96" s="315">
        <f t="shared" si="22"/>
        <v>0</v>
      </c>
      <c r="I96" s="52">
        <f>2510.3+77.6</f>
        <v>2587.9</v>
      </c>
      <c r="J96" s="52">
        <f>836.8+25.9</f>
        <v>862.69999999999993</v>
      </c>
      <c r="K96" s="315">
        <f t="shared" si="24"/>
        <v>0</v>
      </c>
      <c r="L96" s="52">
        <f>2510.3+77.6</f>
        <v>2587.9</v>
      </c>
      <c r="M96" s="320">
        <f t="shared" si="25"/>
        <v>0</v>
      </c>
      <c r="N96" s="65">
        <f>1673.5+51.8</f>
        <v>1725.3</v>
      </c>
      <c r="O96" s="52">
        <f>1673.5+51.8</f>
        <v>1725.3</v>
      </c>
      <c r="P96" s="315">
        <f t="shared" si="26"/>
        <v>0</v>
      </c>
      <c r="Q96" s="39"/>
      <c r="R96" s="40"/>
      <c r="S96" s="40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1"/>
      <c r="AK96" s="231"/>
      <c r="AL96" s="231"/>
      <c r="AM96" s="231"/>
      <c r="AN96" s="231"/>
      <c r="AO96" s="231"/>
      <c r="AP96" s="231"/>
      <c r="AQ96" s="231"/>
      <c r="AR96" s="231"/>
    </row>
    <row r="97" spans="1:44" s="31" customFormat="1" x14ac:dyDescent="0.2">
      <c r="A97" s="337" t="s">
        <v>1109</v>
      </c>
      <c r="B97" s="54" t="s">
        <v>1110</v>
      </c>
      <c r="C97" s="60" t="s">
        <v>59</v>
      </c>
      <c r="D97" s="60" t="s">
        <v>111</v>
      </c>
      <c r="E97" s="60"/>
      <c r="F97" s="52"/>
      <c r="G97" s="52">
        <f>G98</f>
        <v>0</v>
      </c>
      <c r="H97" s="52">
        <f t="shared" ref="H97:O97" si="33">H98</f>
        <v>0</v>
      </c>
      <c r="I97" s="52">
        <f t="shared" si="33"/>
        <v>0</v>
      </c>
      <c r="J97" s="52">
        <f t="shared" si="33"/>
        <v>2136.6999999999998</v>
      </c>
      <c r="K97" s="315">
        <f t="shared" si="24"/>
        <v>2136.6999999999998</v>
      </c>
      <c r="L97" s="52">
        <f t="shared" si="33"/>
        <v>0</v>
      </c>
      <c r="M97" s="52">
        <f t="shared" si="33"/>
        <v>0</v>
      </c>
      <c r="N97" s="52">
        <f t="shared" si="33"/>
        <v>0</v>
      </c>
      <c r="O97" s="52">
        <f t="shared" si="33"/>
        <v>0</v>
      </c>
      <c r="P97" s="315"/>
      <c r="Q97" s="39"/>
      <c r="R97" s="40"/>
      <c r="S97" s="40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31"/>
    </row>
    <row r="98" spans="1:44" s="31" customFormat="1" ht="25.5" x14ac:dyDescent="0.2">
      <c r="A98" s="230" t="s">
        <v>73</v>
      </c>
      <c r="B98" s="54" t="s">
        <v>1110</v>
      </c>
      <c r="C98" s="60" t="s">
        <v>59</v>
      </c>
      <c r="D98" s="60" t="s">
        <v>111</v>
      </c>
      <c r="E98" s="60" t="s">
        <v>70</v>
      </c>
      <c r="F98" s="52"/>
      <c r="G98" s="52">
        <v>0</v>
      </c>
      <c r="H98" s="315"/>
      <c r="I98" s="52"/>
      <c r="J98" s="52">
        <f>1923+213.7</f>
        <v>2136.6999999999998</v>
      </c>
      <c r="K98" s="315">
        <f t="shared" si="24"/>
        <v>2136.6999999999998</v>
      </c>
      <c r="L98" s="52">
        <v>0</v>
      </c>
      <c r="M98" s="320"/>
      <c r="N98" s="65"/>
      <c r="O98" s="52">
        <v>0</v>
      </c>
      <c r="P98" s="315"/>
      <c r="Q98" s="39"/>
      <c r="R98" s="40"/>
      <c r="S98" s="40"/>
      <c r="T98" s="231"/>
      <c r="U98" s="231"/>
      <c r="V98" s="231"/>
      <c r="W98" s="231"/>
      <c r="X98" s="231"/>
      <c r="Y98" s="231"/>
      <c r="Z98" s="231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31"/>
      <c r="AN98" s="231"/>
      <c r="AO98" s="231"/>
      <c r="AP98" s="231"/>
      <c r="AQ98" s="231"/>
      <c r="AR98" s="231"/>
    </row>
    <row r="99" spans="1:44" s="31" customFormat="1" x14ac:dyDescent="0.2">
      <c r="A99" s="93" t="s">
        <v>52</v>
      </c>
      <c r="B99" s="54" t="s">
        <v>326</v>
      </c>
      <c r="C99" s="60"/>
      <c r="D99" s="60"/>
      <c r="E99" s="60"/>
      <c r="F99" s="52">
        <f>F100+F106+F109</f>
        <v>10981.3</v>
      </c>
      <c r="G99" s="52">
        <f>G100+G106+G109</f>
        <v>10981.3</v>
      </c>
      <c r="H99" s="315">
        <f t="shared" si="22"/>
        <v>0</v>
      </c>
      <c r="I99" s="52">
        <f>I100+I106+I109</f>
        <v>10842.9</v>
      </c>
      <c r="J99" s="52">
        <f>J100+J106+J109</f>
        <v>11181.3</v>
      </c>
      <c r="K99" s="315">
        <f t="shared" si="24"/>
        <v>200</v>
      </c>
      <c r="L99" s="52">
        <f>L100+L106+L109</f>
        <v>10842.9</v>
      </c>
      <c r="M99" s="320">
        <f t="shared" si="25"/>
        <v>0</v>
      </c>
      <c r="N99" s="65">
        <f>N100+N106+N109</f>
        <v>10880.1</v>
      </c>
      <c r="O99" s="52">
        <f>O100+O106+O109</f>
        <v>10880.1</v>
      </c>
      <c r="P99" s="315">
        <f t="shared" si="26"/>
        <v>0</v>
      </c>
      <c r="Q99" s="39"/>
      <c r="R99" s="40"/>
      <c r="S99" s="40"/>
      <c r="T99" s="231"/>
      <c r="U99" s="231"/>
      <c r="V99" s="231"/>
      <c r="W99" s="231"/>
      <c r="X99" s="231"/>
      <c r="Y99" s="231"/>
      <c r="Z99" s="231"/>
      <c r="AA99" s="231"/>
      <c r="AB99" s="231"/>
      <c r="AC99" s="231"/>
      <c r="AD99" s="231"/>
      <c r="AE99" s="231"/>
      <c r="AF99" s="231"/>
      <c r="AG99" s="231"/>
      <c r="AH99" s="231"/>
      <c r="AI99" s="231"/>
      <c r="AJ99" s="231"/>
      <c r="AK99" s="231"/>
      <c r="AL99" s="231"/>
      <c r="AM99" s="231"/>
      <c r="AN99" s="231"/>
      <c r="AO99" s="231"/>
      <c r="AP99" s="231"/>
      <c r="AQ99" s="231"/>
      <c r="AR99" s="231"/>
    </row>
    <row r="100" spans="1:44" s="31" customFormat="1" x14ac:dyDescent="0.2">
      <c r="A100" s="95" t="s">
        <v>325</v>
      </c>
      <c r="B100" s="54" t="s">
        <v>324</v>
      </c>
      <c r="C100" s="60"/>
      <c r="D100" s="60"/>
      <c r="E100" s="60"/>
      <c r="F100" s="52">
        <f>F101+F104</f>
        <v>7889.3</v>
      </c>
      <c r="G100" s="52">
        <f>G101+G104</f>
        <v>7889.3</v>
      </c>
      <c r="H100" s="315">
        <f t="shared" si="22"/>
        <v>0</v>
      </c>
      <c r="I100" s="52">
        <f>I101+I104</f>
        <v>7889.3</v>
      </c>
      <c r="J100" s="52">
        <f>J101+J104</f>
        <v>7889.3</v>
      </c>
      <c r="K100" s="315">
        <f t="shared" si="24"/>
        <v>0</v>
      </c>
      <c r="L100" s="52">
        <f>L101+L104</f>
        <v>7889.3</v>
      </c>
      <c r="M100" s="320">
        <f t="shared" si="25"/>
        <v>0</v>
      </c>
      <c r="N100" s="65">
        <f>N101+N104</f>
        <v>7889.3</v>
      </c>
      <c r="O100" s="52">
        <f>O101+O104</f>
        <v>7889.3</v>
      </c>
      <c r="P100" s="315">
        <f t="shared" si="26"/>
        <v>0</v>
      </c>
      <c r="Q100" s="39"/>
      <c r="R100" s="40"/>
      <c r="S100" s="40"/>
      <c r="T100" s="214"/>
      <c r="U100" s="214"/>
      <c r="V100" s="231"/>
      <c r="W100" s="231"/>
      <c r="X100" s="231"/>
      <c r="Y100" s="231"/>
      <c r="Z100" s="231"/>
      <c r="AA100" s="231"/>
      <c r="AB100" s="231"/>
      <c r="AC100" s="231"/>
      <c r="AD100" s="231"/>
      <c r="AE100" s="231"/>
      <c r="AF100" s="231"/>
      <c r="AG100" s="231"/>
      <c r="AH100" s="231"/>
      <c r="AI100" s="231"/>
      <c r="AJ100" s="231"/>
      <c r="AK100" s="231"/>
      <c r="AL100" s="231"/>
      <c r="AM100" s="231"/>
      <c r="AN100" s="231"/>
      <c r="AO100" s="231"/>
      <c r="AP100" s="231"/>
      <c r="AQ100" s="231"/>
      <c r="AR100" s="231"/>
    </row>
    <row r="101" spans="1:44" s="31" customFormat="1" x14ac:dyDescent="0.2">
      <c r="A101" s="95" t="s">
        <v>323</v>
      </c>
      <c r="B101" s="54" t="s">
        <v>321</v>
      </c>
      <c r="C101" s="60" t="s">
        <v>59</v>
      </c>
      <c r="D101" s="60" t="s">
        <v>111</v>
      </c>
      <c r="E101" s="60"/>
      <c r="F101" s="52">
        <f>F102+F103</f>
        <v>7639.3</v>
      </c>
      <c r="G101" s="52">
        <f>G102+G103</f>
        <v>7639.3</v>
      </c>
      <c r="H101" s="315">
        <f t="shared" si="22"/>
        <v>0</v>
      </c>
      <c r="I101" s="52">
        <f>I102+I103</f>
        <v>7639.3</v>
      </c>
      <c r="J101" s="52">
        <f>J102+J103</f>
        <v>7639.3</v>
      </c>
      <c r="K101" s="315">
        <f t="shared" si="24"/>
        <v>0</v>
      </c>
      <c r="L101" s="52">
        <f>L102+L103</f>
        <v>7639.3</v>
      </c>
      <c r="M101" s="320">
        <f t="shared" si="25"/>
        <v>0</v>
      </c>
      <c r="N101" s="65">
        <f>N102+N103</f>
        <v>7639.3</v>
      </c>
      <c r="O101" s="52">
        <f>O102+O103</f>
        <v>7639.3</v>
      </c>
      <c r="P101" s="315">
        <f t="shared" si="26"/>
        <v>0</v>
      </c>
      <c r="Q101" s="39"/>
      <c r="R101" s="40"/>
      <c r="S101" s="40"/>
      <c r="T101" s="214"/>
      <c r="U101" s="214"/>
      <c r="V101" s="231"/>
      <c r="W101" s="231"/>
      <c r="X101" s="231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  <c r="AR101" s="231"/>
    </row>
    <row r="102" spans="1:44" s="31" customFormat="1" ht="25.5" x14ac:dyDescent="0.2">
      <c r="A102" s="230" t="s">
        <v>73</v>
      </c>
      <c r="B102" s="54" t="s">
        <v>321</v>
      </c>
      <c r="C102" s="60" t="s">
        <v>59</v>
      </c>
      <c r="D102" s="60" t="s">
        <v>111</v>
      </c>
      <c r="E102" s="60" t="s">
        <v>70</v>
      </c>
      <c r="F102" s="52">
        <f>5729.5+1909.8</f>
        <v>7639.3</v>
      </c>
      <c r="G102" s="52">
        <f>7639.3-0.4</f>
        <v>7638.9000000000005</v>
      </c>
      <c r="H102" s="315">
        <f t="shared" si="22"/>
        <v>-0.3999999999996362</v>
      </c>
      <c r="I102" s="52">
        <f>5729.5+1909.8</f>
        <v>7639.3</v>
      </c>
      <c r="J102" s="52">
        <f>7639.3-0.4</f>
        <v>7638.9000000000005</v>
      </c>
      <c r="K102" s="315">
        <f t="shared" si="24"/>
        <v>0</v>
      </c>
      <c r="L102" s="52">
        <f>5729.5+1909.8</f>
        <v>7639.3</v>
      </c>
      <c r="M102" s="320">
        <f t="shared" si="25"/>
        <v>0</v>
      </c>
      <c r="N102" s="65">
        <f>5729.5+1909.8</f>
        <v>7639.3</v>
      </c>
      <c r="O102" s="52">
        <f>5729.5+1909.8</f>
        <v>7639.3</v>
      </c>
      <c r="P102" s="315">
        <f t="shared" si="26"/>
        <v>0</v>
      </c>
      <c r="Q102" s="39"/>
      <c r="R102" s="40"/>
      <c r="S102" s="40"/>
      <c r="T102" s="214"/>
      <c r="U102" s="214"/>
      <c r="V102" s="231"/>
      <c r="W102" s="231"/>
      <c r="X102" s="231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1"/>
      <c r="AQ102" s="231"/>
      <c r="AR102" s="231"/>
    </row>
    <row r="103" spans="1:44" s="31" customFormat="1" ht="14.25" customHeight="1" x14ac:dyDescent="0.2">
      <c r="A103" s="180" t="s">
        <v>322</v>
      </c>
      <c r="B103" s="54" t="s">
        <v>321</v>
      </c>
      <c r="C103" s="60" t="s">
        <v>59</v>
      </c>
      <c r="D103" s="60" t="s">
        <v>111</v>
      </c>
      <c r="E103" s="60" t="s">
        <v>320</v>
      </c>
      <c r="F103" s="52">
        <v>0</v>
      </c>
      <c r="G103" s="52">
        <v>0.4</v>
      </c>
      <c r="H103" s="315">
        <f t="shared" si="22"/>
        <v>0.4</v>
      </c>
      <c r="I103" s="52">
        <v>0</v>
      </c>
      <c r="J103" s="52">
        <v>0.4</v>
      </c>
      <c r="K103" s="315">
        <f t="shared" si="24"/>
        <v>0</v>
      </c>
      <c r="L103" s="52">
        <v>0</v>
      </c>
      <c r="M103" s="320">
        <f t="shared" si="25"/>
        <v>0</v>
      </c>
      <c r="N103" s="65">
        <v>0</v>
      </c>
      <c r="O103" s="52">
        <v>0</v>
      </c>
      <c r="P103" s="315">
        <f t="shared" si="26"/>
        <v>0</v>
      </c>
      <c r="Q103" s="39"/>
      <c r="R103" s="40"/>
      <c r="S103" s="40"/>
      <c r="T103" s="214"/>
      <c r="U103" s="214"/>
      <c r="V103" s="231"/>
      <c r="W103" s="231"/>
      <c r="X103" s="231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  <c r="AR103" s="231"/>
    </row>
    <row r="104" spans="1:44" s="31" customFormat="1" x14ac:dyDescent="0.2">
      <c r="A104" s="84" t="s">
        <v>319</v>
      </c>
      <c r="B104" s="54" t="s">
        <v>318</v>
      </c>
      <c r="C104" s="60" t="s">
        <v>59</v>
      </c>
      <c r="D104" s="60" t="s">
        <v>111</v>
      </c>
      <c r="E104" s="60"/>
      <c r="F104" s="52">
        <f>F105</f>
        <v>250</v>
      </c>
      <c r="G104" s="52">
        <f>G105</f>
        <v>250</v>
      </c>
      <c r="H104" s="315">
        <f t="shared" si="22"/>
        <v>0</v>
      </c>
      <c r="I104" s="52">
        <f>I105</f>
        <v>250</v>
      </c>
      <c r="J104" s="52">
        <f>J105</f>
        <v>250</v>
      </c>
      <c r="K104" s="315">
        <f t="shared" si="24"/>
        <v>0</v>
      </c>
      <c r="L104" s="52">
        <f>L105</f>
        <v>250</v>
      </c>
      <c r="M104" s="320">
        <f t="shared" si="25"/>
        <v>0</v>
      </c>
      <c r="N104" s="65">
        <f>N105</f>
        <v>250</v>
      </c>
      <c r="O104" s="52">
        <f>O105</f>
        <v>250</v>
      </c>
      <c r="P104" s="315">
        <f t="shared" si="26"/>
        <v>0</v>
      </c>
      <c r="Q104" s="39"/>
      <c r="R104" s="40"/>
      <c r="S104" s="40"/>
      <c r="T104" s="214"/>
      <c r="U104" s="214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1"/>
      <c r="AO104" s="231"/>
      <c r="AP104" s="231"/>
      <c r="AQ104" s="231"/>
      <c r="AR104" s="231"/>
    </row>
    <row r="105" spans="1:44" s="31" customFormat="1" ht="25.5" x14ac:dyDescent="0.2">
      <c r="A105" s="84" t="s">
        <v>73</v>
      </c>
      <c r="B105" s="54" t="s">
        <v>318</v>
      </c>
      <c r="C105" s="60" t="s">
        <v>59</v>
      </c>
      <c r="D105" s="60" t="s">
        <v>111</v>
      </c>
      <c r="E105" s="60" t="s">
        <v>70</v>
      </c>
      <c r="F105" s="52">
        <v>250</v>
      </c>
      <c r="G105" s="52">
        <v>250</v>
      </c>
      <c r="H105" s="315">
        <f t="shared" si="22"/>
        <v>0</v>
      </c>
      <c r="I105" s="52">
        <v>250</v>
      </c>
      <c r="J105" s="52">
        <v>250</v>
      </c>
      <c r="K105" s="315">
        <f t="shared" si="24"/>
        <v>0</v>
      </c>
      <c r="L105" s="52">
        <v>250</v>
      </c>
      <c r="M105" s="320">
        <f t="shared" si="25"/>
        <v>0</v>
      </c>
      <c r="N105" s="65">
        <v>250</v>
      </c>
      <c r="O105" s="52">
        <v>250</v>
      </c>
      <c r="P105" s="315">
        <f t="shared" si="26"/>
        <v>0</v>
      </c>
      <c r="Q105" s="39"/>
      <c r="R105" s="40"/>
      <c r="S105" s="40"/>
      <c r="T105" s="214"/>
      <c r="U105" s="214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1"/>
      <c r="AO105" s="231"/>
      <c r="AP105" s="231"/>
      <c r="AQ105" s="231"/>
      <c r="AR105" s="231"/>
    </row>
    <row r="106" spans="1:44" s="31" customFormat="1" ht="25.5" x14ac:dyDescent="0.2">
      <c r="A106" s="95" t="s">
        <v>317</v>
      </c>
      <c r="B106" s="54" t="s">
        <v>316</v>
      </c>
      <c r="C106" s="60"/>
      <c r="D106" s="60"/>
      <c r="E106" s="60"/>
      <c r="F106" s="52">
        <f t="shared" ref="F106:O107" si="34">F107</f>
        <v>2332</v>
      </c>
      <c r="G106" s="52">
        <f t="shared" si="34"/>
        <v>2332</v>
      </c>
      <c r="H106" s="315">
        <f t="shared" si="22"/>
        <v>0</v>
      </c>
      <c r="I106" s="52">
        <f t="shared" si="34"/>
        <v>2193.6</v>
      </c>
      <c r="J106" s="52">
        <f t="shared" si="34"/>
        <v>2332</v>
      </c>
      <c r="K106" s="315">
        <f t="shared" si="24"/>
        <v>0</v>
      </c>
      <c r="L106" s="52">
        <f t="shared" si="34"/>
        <v>2193.6</v>
      </c>
      <c r="M106" s="320">
        <f t="shared" si="25"/>
        <v>0</v>
      </c>
      <c r="N106" s="65">
        <f t="shared" si="34"/>
        <v>2230.8000000000002</v>
      </c>
      <c r="O106" s="52">
        <f t="shared" si="34"/>
        <v>2230.8000000000002</v>
      </c>
      <c r="P106" s="315">
        <f t="shared" si="26"/>
        <v>0</v>
      </c>
      <c r="Q106" s="39"/>
      <c r="R106" s="40"/>
      <c r="S106" s="40"/>
      <c r="T106" s="214"/>
      <c r="U106" s="214"/>
      <c r="V106" s="231"/>
      <c r="W106" s="231"/>
      <c r="X106" s="231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1"/>
      <c r="AO106" s="231"/>
      <c r="AP106" s="231"/>
      <c r="AQ106" s="231"/>
      <c r="AR106" s="231"/>
    </row>
    <row r="107" spans="1:44" s="31" customFormat="1" x14ac:dyDescent="0.2">
      <c r="A107" s="84" t="s">
        <v>315</v>
      </c>
      <c r="B107" s="54" t="s">
        <v>314</v>
      </c>
      <c r="C107" s="60" t="s">
        <v>59</v>
      </c>
      <c r="D107" s="60" t="s">
        <v>111</v>
      </c>
      <c r="E107" s="60"/>
      <c r="F107" s="52">
        <f t="shared" si="34"/>
        <v>2332</v>
      </c>
      <c r="G107" s="52">
        <f t="shared" si="34"/>
        <v>2332</v>
      </c>
      <c r="H107" s="315">
        <f t="shared" si="22"/>
        <v>0</v>
      </c>
      <c r="I107" s="52">
        <f t="shared" si="34"/>
        <v>2193.6</v>
      </c>
      <c r="J107" s="52">
        <f t="shared" si="34"/>
        <v>2332</v>
      </c>
      <c r="K107" s="315">
        <f t="shared" si="24"/>
        <v>0</v>
      </c>
      <c r="L107" s="52">
        <f t="shared" si="34"/>
        <v>2193.6</v>
      </c>
      <c r="M107" s="320">
        <f t="shared" si="25"/>
        <v>0</v>
      </c>
      <c r="N107" s="65">
        <f t="shared" si="34"/>
        <v>2230.8000000000002</v>
      </c>
      <c r="O107" s="52">
        <f t="shared" si="34"/>
        <v>2230.8000000000002</v>
      </c>
      <c r="P107" s="315">
        <f t="shared" si="26"/>
        <v>0</v>
      </c>
      <c r="Q107" s="39"/>
      <c r="R107" s="40"/>
      <c r="S107" s="40"/>
      <c r="T107" s="214"/>
      <c r="U107" s="214"/>
      <c r="V107" s="231"/>
      <c r="W107" s="231"/>
      <c r="X107" s="231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1"/>
      <c r="AO107" s="231"/>
      <c r="AP107" s="231"/>
      <c r="AQ107" s="231"/>
      <c r="AR107" s="231"/>
    </row>
    <row r="108" spans="1:44" s="31" customFormat="1" ht="25.5" x14ac:dyDescent="0.2">
      <c r="A108" s="84" t="s">
        <v>73</v>
      </c>
      <c r="B108" s="54" t="s">
        <v>314</v>
      </c>
      <c r="C108" s="60" t="s">
        <v>59</v>
      </c>
      <c r="D108" s="60" t="s">
        <v>111</v>
      </c>
      <c r="E108" s="60" t="s">
        <v>70</v>
      </c>
      <c r="F108" s="52">
        <f>2332</f>
        <v>2332</v>
      </c>
      <c r="G108" s="52">
        <f>2332</f>
        <v>2332</v>
      </c>
      <c r="H108" s="315">
        <f t="shared" si="22"/>
        <v>0</v>
      </c>
      <c r="I108" s="52">
        <f>2332-138.4</f>
        <v>2193.6</v>
      </c>
      <c r="J108" s="52">
        <f>2332</f>
        <v>2332</v>
      </c>
      <c r="K108" s="315">
        <f t="shared" si="24"/>
        <v>0</v>
      </c>
      <c r="L108" s="52">
        <f>2332-138.4</f>
        <v>2193.6</v>
      </c>
      <c r="M108" s="320">
        <f t="shared" si="25"/>
        <v>0</v>
      </c>
      <c r="N108" s="65">
        <f>2332-101.2</f>
        <v>2230.8000000000002</v>
      </c>
      <c r="O108" s="52">
        <f>2332-101.2</f>
        <v>2230.8000000000002</v>
      </c>
      <c r="P108" s="315">
        <f t="shared" si="26"/>
        <v>0</v>
      </c>
      <c r="Q108" s="39"/>
      <c r="R108" s="40"/>
      <c r="S108" s="40"/>
      <c r="T108" s="214"/>
      <c r="U108" s="214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1"/>
      <c r="AO108" s="231"/>
      <c r="AP108" s="231"/>
      <c r="AQ108" s="231"/>
      <c r="AR108" s="231"/>
    </row>
    <row r="109" spans="1:44" s="31" customFormat="1" ht="25.5" x14ac:dyDescent="0.2">
      <c r="A109" s="56" t="s">
        <v>313</v>
      </c>
      <c r="B109" s="54" t="s">
        <v>312</v>
      </c>
      <c r="C109" s="60" t="s">
        <v>59</v>
      </c>
      <c r="D109" s="60" t="s">
        <v>111</v>
      </c>
      <c r="E109" s="60"/>
      <c r="F109" s="52">
        <f t="shared" ref="F109:O110" si="35">F110</f>
        <v>760</v>
      </c>
      <c r="G109" s="52">
        <f t="shared" si="35"/>
        <v>760</v>
      </c>
      <c r="H109" s="315">
        <f t="shared" si="22"/>
        <v>0</v>
      </c>
      <c r="I109" s="52">
        <f t="shared" si="35"/>
        <v>760</v>
      </c>
      <c r="J109" s="52">
        <f t="shared" si="35"/>
        <v>960</v>
      </c>
      <c r="K109" s="315">
        <f t="shared" si="24"/>
        <v>200</v>
      </c>
      <c r="L109" s="52">
        <f t="shared" si="35"/>
        <v>760</v>
      </c>
      <c r="M109" s="320">
        <f t="shared" si="25"/>
        <v>0</v>
      </c>
      <c r="N109" s="65">
        <f t="shared" si="35"/>
        <v>760</v>
      </c>
      <c r="O109" s="52">
        <f t="shared" si="35"/>
        <v>760</v>
      </c>
      <c r="P109" s="315">
        <f t="shared" si="26"/>
        <v>0</v>
      </c>
      <c r="Q109" s="39"/>
      <c r="R109" s="40"/>
      <c r="S109" s="40"/>
      <c r="T109" s="214"/>
      <c r="U109" s="214"/>
      <c r="V109" s="231"/>
      <c r="W109" s="231"/>
      <c r="X109" s="231"/>
      <c r="Y109" s="231"/>
      <c r="Z109" s="231"/>
      <c r="AA109" s="231"/>
      <c r="AB109" s="231"/>
      <c r="AC109" s="231"/>
      <c r="AD109" s="231"/>
      <c r="AE109" s="231"/>
      <c r="AF109" s="231"/>
      <c r="AG109" s="231"/>
      <c r="AH109" s="231"/>
      <c r="AI109" s="231"/>
      <c r="AJ109" s="231"/>
      <c r="AK109" s="231"/>
      <c r="AL109" s="231"/>
      <c r="AM109" s="231"/>
      <c r="AN109" s="231"/>
      <c r="AO109" s="231"/>
      <c r="AP109" s="231"/>
      <c r="AQ109" s="231"/>
      <c r="AR109" s="231"/>
    </row>
    <row r="110" spans="1:44" s="31" customFormat="1" x14ac:dyDescent="0.2">
      <c r="A110" s="84" t="s">
        <v>311</v>
      </c>
      <c r="B110" s="54" t="s">
        <v>310</v>
      </c>
      <c r="C110" s="60" t="s">
        <v>59</v>
      </c>
      <c r="D110" s="60" t="s">
        <v>111</v>
      </c>
      <c r="E110" s="60"/>
      <c r="F110" s="52">
        <f t="shared" si="35"/>
        <v>760</v>
      </c>
      <c r="G110" s="52">
        <f t="shared" si="35"/>
        <v>760</v>
      </c>
      <c r="H110" s="315">
        <f t="shared" si="22"/>
        <v>0</v>
      </c>
      <c r="I110" s="52">
        <f t="shared" si="35"/>
        <v>760</v>
      </c>
      <c r="J110" s="52">
        <f t="shared" si="35"/>
        <v>960</v>
      </c>
      <c r="K110" s="315">
        <f t="shared" si="24"/>
        <v>200</v>
      </c>
      <c r="L110" s="52">
        <f t="shared" si="35"/>
        <v>760</v>
      </c>
      <c r="M110" s="320">
        <f t="shared" si="25"/>
        <v>0</v>
      </c>
      <c r="N110" s="65">
        <f t="shared" si="35"/>
        <v>760</v>
      </c>
      <c r="O110" s="52">
        <f t="shared" si="35"/>
        <v>760</v>
      </c>
      <c r="P110" s="315">
        <f t="shared" si="26"/>
        <v>0</v>
      </c>
      <c r="Q110" s="39"/>
      <c r="R110" s="40"/>
      <c r="S110" s="40"/>
      <c r="T110" s="214"/>
      <c r="U110" s="214"/>
      <c r="V110" s="231"/>
      <c r="W110" s="231"/>
      <c r="X110" s="231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  <c r="AR110" s="231"/>
    </row>
    <row r="111" spans="1:44" s="31" customFormat="1" ht="25.5" x14ac:dyDescent="0.2">
      <c r="A111" s="84" t="s">
        <v>73</v>
      </c>
      <c r="B111" s="54" t="s">
        <v>310</v>
      </c>
      <c r="C111" s="60" t="s">
        <v>59</v>
      </c>
      <c r="D111" s="60" t="s">
        <v>111</v>
      </c>
      <c r="E111" s="60" t="s">
        <v>70</v>
      </c>
      <c r="F111" s="52">
        <v>760</v>
      </c>
      <c r="G111" s="52">
        <v>760</v>
      </c>
      <c r="H111" s="315">
        <f t="shared" si="22"/>
        <v>0</v>
      </c>
      <c r="I111" s="52">
        <v>760</v>
      </c>
      <c r="J111" s="52">
        <f>760+200</f>
        <v>960</v>
      </c>
      <c r="K111" s="315">
        <f t="shared" si="24"/>
        <v>200</v>
      </c>
      <c r="L111" s="52">
        <v>760</v>
      </c>
      <c r="M111" s="320">
        <f t="shared" si="25"/>
        <v>0</v>
      </c>
      <c r="N111" s="65">
        <v>760</v>
      </c>
      <c r="O111" s="52">
        <v>760</v>
      </c>
      <c r="P111" s="315">
        <f t="shared" si="26"/>
        <v>0</v>
      </c>
      <c r="Q111" s="39"/>
      <c r="R111" s="40"/>
      <c r="S111" s="40"/>
      <c r="T111" s="214"/>
      <c r="U111" s="214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</row>
    <row r="112" spans="1:44" s="31" customFormat="1" ht="25.5" x14ac:dyDescent="0.2">
      <c r="A112" s="232" t="s">
        <v>714</v>
      </c>
      <c r="B112" s="225" t="s">
        <v>535</v>
      </c>
      <c r="C112" s="226"/>
      <c r="D112" s="226"/>
      <c r="E112" s="226"/>
      <c r="F112" s="227">
        <f>F113+F151</f>
        <v>60129.7</v>
      </c>
      <c r="G112" s="227">
        <f>G113+G151</f>
        <v>56640</v>
      </c>
      <c r="H112" s="315">
        <f t="shared" si="22"/>
        <v>-3489.6999999999971</v>
      </c>
      <c r="I112" s="227">
        <f>I113+I151</f>
        <v>59313.799999999996</v>
      </c>
      <c r="J112" s="227">
        <f>J113+J151</f>
        <v>56589.4</v>
      </c>
      <c r="K112" s="315">
        <f t="shared" si="24"/>
        <v>-50.599999999998545</v>
      </c>
      <c r="L112" s="227">
        <f>L113+L151</f>
        <v>59313.799999999996</v>
      </c>
      <c r="M112" s="320">
        <f t="shared" si="25"/>
        <v>0</v>
      </c>
      <c r="N112" s="228">
        <f>N113+N151</f>
        <v>58367.7</v>
      </c>
      <c r="O112" s="227">
        <f>O113+O151</f>
        <v>58367.7</v>
      </c>
      <c r="P112" s="315">
        <f t="shared" si="26"/>
        <v>0</v>
      </c>
      <c r="Q112" s="39"/>
      <c r="R112" s="40"/>
      <c r="S112" s="40"/>
      <c r="T112" s="214"/>
      <c r="U112" s="214"/>
      <c r="V112" s="231"/>
      <c r="W112" s="231"/>
      <c r="X112" s="231"/>
      <c r="Y112" s="231"/>
      <c r="Z112" s="231"/>
      <c r="AA112" s="231"/>
      <c r="AB112" s="231"/>
      <c r="AC112" s="231"/>
      <c r="AD112" s="231"/>
      <c r="AE112" s="231"/>
      <c r="AF112" s="231"/>
      <c r="AG112" s="231"/>
      <c r="AH112" s="231"/>
      <c r="AI112" s="231"/>
      <c r="AJ112" s="231"/>
      <c r="AK112" s="231"/>
      <c r="AL112" s="231"/>
      <c r="AM112" s="231"/>
      <c r="AN112" s="231"/>
      <c r="AO112" s="231"/>
      <c r="AP112" s="231"/>
      <c r="AQ112" s="231"/>
      <c r="AR112" s="231"/>
    </row>
    <row r="113" spans="1:44" s="31" customFormat="1" x14ac:dyDescent="0.2">
      <c r="A113" s="145" t="s">
        <v>52</v>
      </c>
      <c r="B113" s="54" t="s">
        <v>534</v>
      </c>
      <c r="C113" s="94"/>
      <c r="D113" s="94"/>
      <c r="E113" s="94"/>
      <c r="F113" s="52">
        <f>F114+F117+F120+F123+F127+F145+F148</f>
        <v>58818.7</v>
      </c>
      <c r="G113" s="52">
        <f>G114+G117+G120+G123+G127+G145+G148</f>
        <v>55329</v>
      </c>
      <c r="H113" s="315">
        <f t="shared" si="22"/>
        <v>-3489.6999999999971</v>
      </c>
      <c r="I113" s="52">
        <f>I114+I117+I120+I123+I127+I145+I148</f>
        <v>58513.799999999996</v>
      </c>
      <c r="J113" s="52">
        <f>J114+J117+J120+J123+J127+J145+J148</f>
        <v>55278.400000000001</v>
      </c>
      <c r="K113" s="315">
        <f t="shared" si="24"/>
        <v>-50.599999999998545</v>
      </c>
      <c r="L113" s="52">
        <f>L114+L117+L120+L123+L127+L145+L148</f>
        <v>58513.799999999996</v>
      </c>
      <c r="M113" s="320">
        <f t="shared" si="25"/>
        <v>0</v>
      </c>
      <c r="N113" s="65">
        <f>N114+N117+N120+N123+N127+N145+N148</f>
        <v>57567.7</v>
      </c>
      <c r="O113" s="52">
        <f>O114+O117+O120+O123+O127+O145+O148</f>
        <v>57567.7</v>
      </c>
      <c r="P113" s="315">
        <f t="shared" si="26"/>
        <v>0</v>
      </c>
      <c r="Q113" s="39"/>
      <c r="R113" s="40"/>
      <c r="S113" s="40"/>
      <c r="T113" s="214"/>
      <c r="U113" s="214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231"/>
      <c r="AG113" s="231"/>
      <c r="AH113" s="231"/>
      <c r="AI113" s="231"/>
      <c r="AJ113" s="231"/>
      <c r="AK113" s="231"/>
      <c r="AL113" s="231"/>
      <c r="AM113" s="231"/>
      <c r="AN113" s="231"/>
      <c r="AO113" s="231"/>
      <c r="AP113" s="231"/>
      <c r="AQ113" s="231"/>
      <c r="AR113" s="231"/>
    </row>
    <row r="114" spans="1:44" s="31" customFormat="1" ht="25.5" x14ac:dyDescent="0.2">
      <c r="A114" s="145" t="s">
        <v>576</v>
      </c>
      <c r="B114" s="54" t="s">
        <v>575</v>
      </c>
      <c r="C114" s="94"/>
      <c r="D114" s="94"/>
      <c r="E114" s="94"/>
      <c r="F114" s="52">
        <f t="shared" ref="F114:O115" si="36">F115</f>
        <v>390</v>
      </c>
      <c r="G114" s="52">
        <f t="shared" si="36"/>
        <v>390</v>
      </c>
      <c r="H114" s="315">
        <f t="shared" si="22"/>
        <v>0</v>
      </c>
      <c r="I114" s="52">
        <f t="shared" si="36"/>
        <v>390</v>
      </c>
      <c r="J114" s="52">
        <f t="shared" si="36"/>
        <v>390</v>
      </c>
      <c r="K114" s="315">
        <f t="shared" si="24"/>
        <v>0</v>
      </c>
      <c r="L114" s="52">
        <f t="shared" si="36"/>
        <v>390</v>
      </c>
      <c r="M114" s="320">
        <f t="shared" si="25"/>
        <v>0</v>
      </c>
      <c r="N114" s="65">
        <f t="shared" si="36"/>
        <v>390</v>
      </c>
      <c r="O114" s="52">
        <f t="shared" si="36"/>
        <v>390</v>
      </c>
      <c r="P114" s="315">
        <f t="shared" si="26"/>
        <v>0</v>
      </c>
      <c r="Q114" s="39"/>
      <c r="R114" s="40"/>
      <c r="S114" s="40"/>
      <c r="T114" s="214"/>
      <c r="U114" s="214"/>
      <c r="V114" s="231"/>
      <c r="W114" s="231"/>
      <c r="X114" s="231"/>
      <c r="Y114" s="231"/>
      <c r="Z114" s="231"/>
      <c r="AA114" s="231"/>
      <c r="AB114" s="231"/>
      <c r="AC114" s="231"/>
      <c r="AD114" s="231"/>
      <c r="AE114" s="231"/>
      <c r="AF114" s="231"/>
      <c r="AG114" s="231"/>
      <c r="AH114" s="231"/>
      <c r="AI114" s="231"/>
      <c r="AJ114" s="231"/>
      <c r="AK114" s="231"/>
      <c r="AL114" s="231"/>
      <c r="AM114" s="231"/>
      <c r="AN114" s="231"/>
      <c r="AO114" s="231"/>
      <c r="AP114" s="231"/>
      <c r="AQ114" s="231"/>
      <c r="AR114" s="231"/>
    </row>
    <row r="115" spans="1:44" s="31" customFormat="1" ht="25.5" x14ac:dyDescent="0.2">
      <c r="A115" s="84" t="s">
        <v>574</v>
      </c>
      <c r="B115" s="54" t="s">
        <v>572</v>
      </c>
      <c r="C115" s="60" t="s">
        <v>45</v>
      </c>
      <c r="D115" s="60" t="s">
        <v>46</v>
      </c>
      <c r="E115" s="94"/>
      <c r="F115" s="52">
        <f t="shared" si="36"/>
        <v>390</v>
      </c>
      <c r="G115" s="52">
        <f t="shared" si="36"/>
        <v>390</v>
      </c>
      <c r="H115" s="315">
        <f t="shared" si="22"/>
        <v>0</v>
      </c>
      <c r="I115" s="52">
        <f t="shared" si="36"/>
        <v>390</v>
      </c>
      <c r="J115" s="52">
        <f t="shared" si="36"/>
        <v>390</v>
      </c>
      <c r="K115" s="315">
        <f t="shared" si="24"/>
        <v>0</v>
      </c>
      <c r="L115" s="52">
        <f t="shared" si="36"/>
        <v>390</v>
      </c>
      <c r="M115" s="320">
        <f t="shared" si="25"/>
        <v>0</v>
      </c>
      <c r="N115" s="65">
        <f t="shared" si="36"/>
        <v>390</v>
      </c>
      <c r="O115" s="52">
        <f t="shared" si="36"/>
        <v>390</v>
      </c>
      <c r="P115" s="315">
        <f t="shared" si="26"/>
        <v>0</v>
      </c>
      <c r="Q115" s="39"/>
      <c r="R115" s="40"/>
      <c r="S115" s="40"/>
      <c r="T115" s="214"/>
      <c r="U115" s="214"/>
      <c r="V115" s="231"/>
      <c r="W115" s="231"/>
      <c r="X115" s="231"/>
      <c r="Y115" s="231"/>
      <c r="Z115" s="231"/>
      <c r="AA115" s="231"/>
      <c r="AB115" s="231"/>
      <c r="AC115" s="231"/>
      <c r="AD115" s="231"/>
      <c r="AE115" s="231"/>
      <c r="AF115" s="231"/>
      <c r="AG115" s="231"/>
      <c r="AH115" s="231"/>
      <c r="AI115" s="231"/>
      <c r="AJ115" s="231"/>
      <c r="AK115" s="231"/>
      <c r="AL115" s="231"/>
      <c r="AM115" s="231"/>
      <c r="AN115" s="231"/>
      <c r="AO115" s="231"/>
      <c r="AP115" s="231"/>
      <c r="AQ115" s="231"/>
      <c r="AR115" s="231"/>
    </row>
    <row r="116" spans="1:44" s="31" customFormat="1" ht="16.5" customHeight="1" x14ac:dyDescent="0.2">
      <c r="A116" s="93" t="s">
        <v>573</v>
      </c>
      <c r="B116" s="54" t="s">
        <v>572</v>
      </c>
      <c r="C116" s="60" t="s">
        <v>45</v>
      </c>
      <c r="D116" s="60" t="s">
        <v>46</v>
      </c>
      <c r="E116" s="60" t="s">
        <v>571</v>
      </c>
      <c r="F116" s="52">
        <v>390</v>
      </c>
      <c r="G116" s="52">
        <v>390</v>
      </c>
      <c r="H116" s="315">
        <f t="shared" si="22"/>
        <v>0</v>
      </c>
      <c r="I116" s="52">
        <v>390</v>
      </c>
      <c r="J116" s="52">
        <v>390</v>
      </c>
      <c r="K116" s="315">
        <f t="shared" si="24"/>
        <v>0</v>
      </c>
      <c r="L116" s="52">
        <v>390</v>
      </c>
      <c r="M116" s="320">
        <f t="shared" si="25"/>
        <v>0</v>
      </c>
      <c r="N116" s="65">
        <v>390</v>
      </c>
      <c r="O116" s="52">
        <v>390</v>
      </c>
      <c r="P116" s="315">
        <f t="shared" si="26"/>
        <v>0</v>
      </c>
      <c r="Q116" s="39"/>
      <c r="R116" s="40"/>
      <c r="S116" s="40"/>
      <c r="T116" s="214"/>
      <c r="U116" s="214"/>
      <c r="V116" s="231"/>
      <c r="W116" s="231"/>
      <c r="X116" s="231"/>
      <c r="Y116" s="231"/>
      <c r="Z116" s="231"/>
      <c r="AA116" s="231"/>
      <c r="AB116" s="231"/>
      <c r="AC116" s="231"/>
      <c r="AD116" s="231"/>
      <c r="AE116" s="231"/>
      <c r="AF116" s="231"/>
      <c r="AG116" s="231"/>
      <c r="AH116" s="231"/>
      <c r="AI116" s="231"/>
      <c r="AJ116" s="231"/>
      <c r="AK116" s="231"/>
      <c r="AL116" s="231"/>
      <c r="AM116" s="231"/>
      <c r="AN116" s="231"/>
      <c r="AO116" s="231"/>
      <c r="AP116" s="231"/>
      <c r="AQ116" s="231"/>
      <c r="AR116" s="231"/>
    </row>
    <row r="117" spans="1:44" s="31" customFormat="1" ht="25.5" x14ac:dyDescent="0.2">
      <c r="A117" s="146" t="s">
        <v>570</v>
      </c>
      <c r="B117" s="54" t="s">
        <v>569</v>
      </c>
      <c r="C117" s="94"/>
      <c r="D117" s="94"/>
      <c r="E117" s="94"/>
      <c r="F117" s="52">
        <f t="shared" ref="F117:O118" si="37">F118</f>
        <v>80</v>
      </c>
      <c r="G117" s="52">
        <f t="shared" si="37"/>
        <v>680</v>
      </c>
      <c r="H117" s="315">
        <f t="shared" si="22"/>
        <v>600</v>
      </c>
      <c r="I117" s="52">
        <f t="shared" si="37"/>
        <v>80</v>
      </c>
      <c r="J117" s="52">
        <f t="shared" si="37"/>
        <v>680</v>
      </c>
      <c r="K117" s="315">
        <f t="shared" si="24"/>
        <v>0</v>
      </c>
      <c r="L117" s="52">
        <f t="shared" si="37"/>
        <v>80</v>
      </c>
      <c r="M117" s="320">
        <f t="shared" si="25"/>
        <v>0</v>
      </c>
      <c r="N117" s="65">
        <f t="shared" si="37"/>
        <v>80</v>
      </c>
      <c r="O117" s="52">
        <f t="shared" si="37"/>
        <v>80</v>
      </c>
      <c r="P117" s="315">
        <f t="shared" si="26"/>
        <v>0</v>
      </c>
      <c r="Q117" s="39"/>
      <c r="R117" s="40"/>
      <c r="S117" s="40"/>
      <c r="T117" s="214"/>
      <c r="U117" s="214"/>
      <c r="V117" s="231"/>
      <c r="W117" s="231"/>
      <c r="X117" s="231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  <c r="AJ117" s="231"/>
      <c r="AK117" s="231"/>
      <c r="AL117" s="231"/>
      <c r="AM117" s="231"/>
      <c r="AN117" s="231"/>
      <c r="AO117" s="231"/>
      <c r="AP117" s="231"/>
      <c r="AQ117" s="231"/>
      <c r="AR117" s="231"/>
    </row>
    <row r="118" spans="1:44" s="31" customFormat="1" x14ac:dyDescent="0.2">
      <c r="A118" s="84" t="s">
        <v>568</v>
      </c>
      <c r="B118" s="54" t="s">
        <v>567</v>
      </c>
      <c r="C118" s="60" t="s">
        <v>45</v>
      </c>
      <c r="D118" s="60" t="s">
        <v>46</v>
      </c>
      <c r="E118" s="60"/>
      <c r="F118" s="52">
        <f t="shared" si="37"/>
        <v>80</v>
      </c>
      <c r="G118" s="52">
        <f t="shared" si="37"/>
        <v>680</v>
      </c>
      <c r="H118" s="315">
        <f t="shared" si="22"/>
        <v>600</v>
      </c>
      <c r="I118" s="52">
        <f t="shared" si="37"/>
        <v>80</v>
      </c>
      <c r="J118" s="52">
        <f t="shared" si="37"/>
        <v>680</v>
      </c>
      <c r="K118" s="315">
        <f t="shared" si="24"/>
        <v>0</v>
      </c>
      <c r="L118" s="52">
        <f t="shared" si="37"/>
        <v>80</v>
      </c>
      <c r="M118" s="320">
        <f t="shared" si="25"/>
        <v>0</v>
      </c>
      <c r="N118" s="65">
        <f t="shared" si="37"/>
        <v>80</v>
      </c>
      <c r="O118" s="52">
        <f t="shared" si="37"/>
        <v>80</v>
      </c>
      <c r="P118" s="315">
        <f t="shared" si="26"/>
        <v>0</v>
      </c>
      <c r="Q118" s="39"/>
      <c r="R118" s="40"/>
      <c r="S118" s="40"/>
      <c r="T118" s="214"/>
      <c r="U118" s="214"/>
      <c r="V118" s="231"/>
      <c r="W118" s="231"/>
      <c r="X118" s="231"/>
      <c r="Y118" s="231"/>
      <c r="Z118" s="231"/>
      <c r="AA118" s="231"/>
      <c r="AB118" s="231"/>
      <c r="AC118" s="231"/>
      <c r="AD118" s="231"/>
      <c r="AE118" s="231"/>
      <c r="AF118" s="231"/>
      <c r="AG118" s="231"/>
      <c r="AH118" s="231"/>
      <c r="AI118" s="231"/>
      <c r="AJ118" s="231"/>
      <c r="AK118" s="231"/>
      <c r="AL118" s="231"/>
      <c r="AM118" s="231"/>
      <c r="AN118" s="231"/>
      <c r="AO118" s="231"/>
      <c r="AP118" s="231"/>
      <c r="AQ118" s="231"/>
      <c r="AR118" s="231"/>
    </row>
    <row r="119" spans="1:44" s="31" customFormat="1" ht="25.5" x14ac:dyDescent="0.2">
      <c r="A119" s="84" t="s">
        <v>73</v>
      </c>
      <c r="B119" s="54" t="s">
        <v>567</v>
      </c>
      <c r="C119" s="60" t="s">
        <v>45</v>
      </c>
      <c r="D119" s="60" t="s">
        <v>46</v>
      </c>
      <c r="E119" s="60" t="s">
        <v>70</v>
      </c>
      <c r="F119" s="52">
        <v>80</v>
      </c>
      <c r="G119" s="52">
        <f>80+600</f>
        <v>680</v>
      </c>
      <c r="H119" s="315">
        <f t="shared" si="22"/>
        <v>600</v>
      </c>
      <c r="I119" s="52">
        <v>80</v>
      </c>
      <c r="J119" s="52">
        <f>80+600</f>
        <v>680</v>
      </c>
      <c r="K119" s="315">
        <f t="shared" si="24"/>
        <v>0</v>
      </c>
      <c r="L119" s="52">
        <v>80</v>
      </c>
      <c r="M119" s="320">
        <f t="shared" si="25"/>
        <v>0</v>
      </c>
      <c r="N119" s="65">
        <v>80</v>
      </c>
      <c r="O119" s="52">
        <v>80</v>
      </c>
      <c r="P119" s="315">
        <f t="shared" si="26"/>
        <v>0</v>
      </c>
      <c r="Q119" s="39"/>
      <c r="R119" s="40"/>
      <c r="S119" s="40"/>
      <c r="T119" s="214"/>
      <c r="U119" s="214"/>
      <c r="V119" s="231"/>
      <c r="W119" s="231"/>
      <c r="X119" s="231"/>
      <c r="Y119" s="231"/>
      <c r="Z119" s="231"/>
      <c r="AA119" s="231"/>
      <c r="AB119" s="231"/>
      <c r="AC119" s="231"/>
      <c r="AD119" s="231"/>
      <c r="AE119" s="231"/>
      <c r="AF119" s="231"/>
      <c r="AG119" s="231"/>
      <c r="AH119" s="231"/>
      <c r="AI119" s="231"/>
      <c r="AJ119" s="231"/>
      <c r="AK119" s="231"/>
      <c r="AL119" s="231"/>
      <c r="AM119" s="231"/>
      <c r="AN119" s="231"/>
      <c r="AO119" s="231"/>
      <c r="AP119" s="231"/>
      <c r="AQ119" s="231"/>
      <c r="AR119" s="231"/>
    </row>
    <row r="120" spans="1:44" s="31" customFormat="1" ht="25.5" x14ac:dyDescent="0.2">
      <c r="A120" s="145" t="s">
        <v>566</v>
      </c>
      <c r="B120" s="54" t="s">
        <v>565</v>
      </c>
      <c r="C120" s="60"/>
      <c r="D120" s="60"/>
      <c r="E120" s="60"/>
      <c r="F120" s="52">
        <f t="shared" ref="F120:O121" si="38">F121</f>
        <v>10</v>
      </c>
      <c r="G120" s="52">
        <f t="shared" si="38"/>
        <v>10</v>
      </c>
      <c r="H120" s="315">
        <f t="shared" si="22"/>
        <v>0</v>
      </c>
      <c r="I120" s="52">
        <f t="shared" si="38"/>
        <v>10</v>
      </c>
      <c r="J120" s="52">
        <f t="shared" si="38"/>
        <v>10</v>
      </c>
      <c r="K120" s="315">
        <f t="shared" si="24"/>
        <v>0</v>
      </c>
      <c r="L120" s="52">
        <f t="shared" si="38"/>
        <v>10</v>
      </c>
      <c r="M120" s="320">
        <f t="shared" si="25"/>
        <v>0</v>
      </c>
      <c r="N120" s="65">
        <f t="shared" si="38"/>
        <v>10</v>
      </c>
      <c r="O120" s="52">
        <f t="shared" si="38"/>
        <v>10</v>
      </c>
      <c r="P120" s="315">
        <f t="shared" si="26"/>
        <v>0</v>
      </c>
      <c r="Q120" s="39"/>
      <c r="R120" s="40"/>
      <c r="S120" s="40"/>
      <c r="T120" s="214"/>
      <c r="U120" s="214"/>
      <c r="V120" s="231"/>
      <c r="W120" s="231"/>
      <c r="X120" s="231"/>
      <c r="Y120" s="231"/>
      <c r="Z120" s="231"/>
      <c r="AA120" s="231"/>
      <c r="AB120" s="231"/>
      <c r="AC120" s="231"/>
      <c r="AD120" s="231"/>
      <c r="AE120" s="231"/>
      <c r="AF120" s="231"/>
      <c r="AG120" s="231"/>
      <c r="AH120" s="231"/>
      <c r="AI120" s="231"/>
      <c r="AJ120" s="231"/>
      <c r="AK120" s="231"/>
      <c r="AL120" s="231"/>
      <c r="AM120" s="231"/>
      <c r="AN120" s="231"/>
      <c r="AO120" s="231"/>
      <c r="AP120" s="231"/>
      <c r="AQ120" s="231"/>
      <c r="AR120" s="231"/>
    </row>
    <row r="121" spans="1:44" s="31" customFormat="1" ht="25.5" x14ac:dyDescent="0.2">
      <c r="A121" s="145" t="s">
        <v>564</v>
      </c>
      <c r="B121" s="54" t="s">
        <v>563</v>
      </c>
      <c r="C121" s="60" t="s">
        <v>45</v>
      </c>
      <c r="D121" s="60" t="s">
        <v>46</v>
      </c>
      <c r="E121" s="60"/>
      <c r="F121" s="52">
        <f>F122</f>
        <v>10</v>
      </c>
      <c r="G121" s="52">
        <f>G122</f>
        <v>10</v>
      </c>
      <c r="H121" s="315">
        <f t="shared" si="22"/>
        <v>0</v>
      </c>
      <c r="I121" s="52">
        <f t="shared" si="38"/>
        <v>10</v>
      </c>
      <c r="J121" s="52">
        <f>J122</f>
        <v>10</v>
      </c>
      <c r="K121" s="315">
        <f t="shared" si="24"/>
        <v>0</v>
      </c>
      <c r="L121" s="52">
        <f t="shared" si="38"/>
        <v>10</v>
      </c>
      <c r="M121" s="320">
        <f t="shared" si="25"/>
        <v>0</v>
      </c>
      <c r="N121" s="65">
        <f t="shared" si="38"/>
        <v>10</v>
      </c>
      <c r="O121" s="52">
        <f t="shared" si="38"/>
        <v>10</v>
      </c>
      <c r="P121" s="315">
        <f t="shared" si="26"/>
        <v>0</v>
      </c>
      <c r="Q121" s="39"/>
      <c r="R121" s="40"/>
      <c r="S121" s="40"/>
      <c r="T121" s="214"/>
      <c r="U121" s="214"/>
      <c r="V121" s="231"/>
      <c r="W121" s="231"/>
      <c r="X121" s="231"/>
      <c r="Y121" s="231"/>
      <c r="Z121" s="231"/>
      <c r="AA121" s="231"/>
      <c r="AB121" s="231"/>
      <c r="AC121" s="231"/>
      <c r="AD121" s="231"/>
      <c r="AE121" s="231"/>
      <c r="AF121" s="231"/>
      <c r="AG121" s="231"/>
      <c r="AH121" s="231"/>
      <c r="AI121" s="231"/>
      <c r="AJ121" s="231"/>
      <c r="AK121" s="231"/>
      <c r="AL121" s="231"/>
      <c r="AM121" s="231"/>
      <c r="AN121" s="231"/>
      <c r="AO121" s="231"/>
      <c r="AP121" s="231"/>
      <c r="AQ121" s="231"/>
      <c r="AR121" s="231"/>
    </row>
    <row r="122" spans="1:44" s="31" customFormat="1" ht="25.5" x14ac:dyDescent="0.2">
      <c r="A122" s="84" t="s">
        <v>73</v>
      </c>
      <c r="B122" s="54" t="s">
        <v>563</v>
      </c>
      <c r="C122" s="60" t="s">
        <v>45</v>
      </c>
      <c r="D122" s="60" t="s">
        <v>46</v>
      </c>
      <c r="E122" s="60" t="s">
        <v>70</v>
      </c>
      <c r="F122" s="52">
        <v>10</v>
      </c>
      <c r="G122" s="52">
        <v>10</v>
      </c>
      <c r="H122" s="315">
        <f t="shared" si="22"/>
        <v>0</v>
      </c>
      <c r="I122" s="52">
        <v>10</v>
      </c>
      <c r="J122" s="52">
        <v>10</v>
      </c>
      <c r="K122" s="315">
        <f t="shared" si="24"/>
        <v>0</v>
      </c>
      <c r="L122" s="52">
        <v>10</v>
      </c>
      <c r="M122" s="320">
        <f t="shared" si="25"/>
        <v>0</v>
      </c>
      <c r="N122" s="65">
        <v>10</v>
      </c>
      <c r="O122" s="52">
        <v>10</v>
      </c>
      <c r="P122" s="315">
        <f t="shared" si="26"/>
        <v>0</v>
      </c>
      <c r="Q122" s="39"/>
      <c r="R122" s="40"/>
      <c r="S122" s="40"/>
      <c r="T122" s="214"/>
      <c r="U122" s="214"/>
      <c r="V122" s="231"/>
      <c r="W122" s="231"/>
      <c r="X122" s="231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  <c r="AP122" s="231"/>
      <c r="AQ122" s="231"/>
      <c r="AR122" s="231"/>
    </row>
    <row r="123" spans="1:44" s="31" customFormat="1" ht="39" customHeight="1" x14ac:dyDescent="0.2">
      <c r="A123" s="99" t="s">
        <v>562</v>
      </c>
      <c r="B123" s="54" t="s">
        <v>561</v>
      </c>
      <c r="C123" s="60" t="s">
        <v>45</v>
      </c>
      <c r="D123" s="60" t="s">
        <v>46</v>
      </c>
      <c r="E123" s="60"/>
      <c r="F123" s="52">
        <f>F124</f>
        <v>2744</v>
      </c>
      <c r="G123" s="52">
        <f>G124</f>
        <v>2744</v>
      </c>
      <c r="H123" s="315">
        <f t="shared" si="22"/>
        <v>0</v>
      </c>
      <c r="I123" s="52">
        <f>I124</f>
        <v>2744</v>
      </c>
      <c r="J123" s="52">
        <f>J124</f>
        <v>2744</v>
      </c>
      <c r="K123" s="315">
        <f t="shared" si="24"/>
        <v>0</v>
      </c>
      <c r="L123" s="52">
        <f>L124</f>
        <v>2744</v>
      </c>
      <c r="M123" s="320">
        <f t="shared" si="25"/>
        <v>0</v>
      </c>
      <c r="N123" s="65">
        <f>N124</f>
        <v>2744</v>
      </c>
      <c r="O123" s="52">
        <f>O124</f>
        <v>2744</v>
      </c>
      <c r="P123" s="315">
        <f t="shared" si="26"/>
        <v>0</v>
      </c>
      <c r="Q123" s="39"/>
      <c r="R123" s="40"/>
      <c r="S123" s="40"/>
      <c r="T123" s="214"/>
      <c r="U123" s="214"/>
      <c r="V123" s="231"/>
      <c r="W123" s="231"/>
      <c r="X123" s="231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  <c r="AP123" s="231"/>
      <c r="AQ123" s="231"/>
      <c r="AR123" s="231"/>
    </row>
    <row r="124" spans="1:44" s="31" customFormat="1" ht="63.75" x14ac:dyDescent="0.2">
      <c r="A124" s="239" t="s">
        <v>560</v>
      </c>
      <c r="B124" s="54" t="s">
        <v>559</v>
      </c>
      <c r="C124" s="60" t="s">
        <v>45</v>
      </c>
      <c r="D124" s="60" t="s">
        <v>46</v>
      </c>
      <c r="E124" s="60"/>
      <c r="F124" s="52">
        <f>F125+F126</f>
        <v>2744</v>
      </c>
      <c r="G124" s="52">
        <f>G125+G126</f>
        <v>2744</v>
      </c>
      <c r="H124" s="315">
        <f t="shared" si="22"/>
        <v>0</v>
      </c>
      <c r="I124" s="52">
        <f>I125+I126</f>
        <v>2744</v>
      </c>
      <c r="J124" s="52">
        <f>J125+J126</f>
        <v>2744</v>
      </c>
      <c r="K124" s="315">
        <f t="shared" si="24"/>
        <v>0</v>
      </c>
      <c r="L124" s="52">
        <f>L125+L126</f>
        <v>2744</v>
      </c>
      <c r="M124" s="320">
        <f t="shared" si="25"/>
        <v>0</v>
      </c>
      <c r="N124" s="65">
        <f>N125+N126</f>
        <v>2744</v>
      </c>
      <c r="O124" s="52">
        <f>O125+O126</f>
        <v>2744</v>
      </c>
      <c r="P124" s="315">
        <f t="shared" si="26"/>
        <v>0</v>
      </c>
      <c r="Q124" s="39"/>
      <c r="R124" s="40"/>
      <c r="S124" s="40"/>
      <c r="T124" s="240"/>
      <c r="U124" s="214"/>
      <c r="V124" s="231"/>
      <c r="W124" s="231"/>
      <c r="X124" s="231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  <c r="AR124" s="231"/>
    </row>
    <row r="125" spans="1:44" s="31" customFormat="1" x14ac:dyDescent="0.2">
      <c r="A125" s="241" t="s">
        <v>145</v>
      </c>
      <c r="B125" s="54" t="s">
        <v>559</v>
      </c>
      <c r="C125" s="60" t="s">
        <v>45</v>
      </c>
      <c r="D125" s="60" t="s">
        <v>46</v>
      </c>
      <c r="E125" s="60" t="s">
        <v>144</v>
      </c>
      <c r="F125" s="52">
        <v>2360.4</v>
      </c>
      <c r="G125" s="52">
        <v>2360.4</v>
      </c>
      <c r="H125" s="315">
        <f t="shared" si="22"/>
        <v>0</v>
      </c>
      <c r="I125" s="52">
        <v>2360.4</v>
      </c>
      <c r="J125" s="52">
        <v>2360.4</v>
      </c>
      <c r="K125" s="315">
        <f t="shared" si="24"/>
        <v>0</v>
      </c>
      <c r="L125" s="52">
        <v>2360.4</v>
      </c>
      <c r="M125" s="320">
        <f t="shared" si="25"/>
        <v>0</v>
      </c>
      <c r="N125" s="65">
        <v>2360.4</v>
      </c>
      <c r="O125" s="52">
        <v>2360.4</v>
      </c>
      <c r="P125" s="315">
        <f t="shared" si="26"/>
        <v>0</v>
      </c>
      <c r="Q125" s="242"/>
      <c r="R125" s="234"/>
      <c r="S125" s="40"/>
      <c r="T125" s="214"/>
      <c r="U125" s="214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1"/>
      <c r="AK125" s="231"/>
      <c r="AL125" s="231"/>
      <c r="AM125" s="231"/>
      <c r="AN125" s="231"/>
      <c r="AO125" s="231"/>
      <c r="AP125" s="231"/>
      <c r="AQ125" s="231"/>
      <c r="AR125" s="231"/>
    </row>
    <row r="126" spans="1:44" s="31" customFormat="1" ht="25.5" x14ac:dyDescent="0.2">
      <c r="A126" s="84" t="s">
        <v>73</v>
      </c>
      <c r="B126" s="54" t="s">
        <v>559</v>
      </c>
      <c r="C126" s="60" t="s">
        <v>45</v>
      </c>
      <c r="D126" s="60" t="s">
        <v>46</v>
      </c>
      <c r="E126" s="60" t="s">
        <v>70</v>
      </c>
      <c r="F126" s="52">
        <v>383.6</v>
      </c>
      <c r="G126" s="52">
        <v>383.6</v>
      </c>
      <c r="H126" s="315">
        <f t="shared" si="22"/>
        <v>0</v>
      </c>
      <c r="I126" s="52">
        <v>383.6</v>
      </c>
      <c r="J126" s="52">
        <v>383.6</v>
      </c>
      <c r="K126" s="315">
        <f t="shared" si="24"/>
        <v>0</v>
      </c>
      <c r="L126" s="52">
        <v>383.6</v>
      </c>
      <c r="M126" s="320">
        <f t="shared" si="25"/>
        <v>0</v>
      </c>
      <c r="N126" s="65">
        <v>383.6</v>
      </c>
      <c r="O126" s="52">
        <v>383.6</v>
      </c>
      <c r="P126" s="315">
        <f t="shared" si="26"/>
        <v>0</v>
      </c>
      <c r="Q126" s="39"/>
      <c r="R126" s="40"/>
      <c r="S126" s="40"/>
      <c r="T126" s="214"/>
      <c r="U126" s="214"/>
      <c r="V126" s="231"/>
      <c r="W126" s="231"/>
      <c r="X126" s="231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231"/>
      <c r="AJ126" s="231"/>
      <c r="AK126" s="231"/>
      <c r="AL126" s="231"/>
      <c r="AM126" s="231"/>
      <c r="AN126" s="231"/>
      <c r="AO126" s="231"/>
      <c r="AP126" s="231"/>
      <c r="AQ126" s="231"/>
      <c r="AR126" s="231"/>
    </row>
    <row r="127" spans="1:44" s="31" customFormat="1" ht="25.5" x14ac:dyDescent="0.2">
      <c r="A127" s="145" t="s">
        <v>533</v>
      </c>
      <c r="B127" s="54" t="s">
        <v>532</v>
      </c>
      <c r="C127" s="60"/>
      <c r="D127" s="60"/>
      <c r="E127" s="60"/>
      <c r="F127" s="52">
        <f>F128+F130+F134+F136+F139+F141+F143</f>
        <v>54153.7</v>
      </c>
      <c r="G127" s="52">
        <f>G128+G130+G134+G136+G139+G141+G143</f>
        <v>50064</v>
      </c>
      <c r="H127" s="315">
        <f t="shared" si="22"/>
        <v>-4089.6999999999971</v>
      </c>
      <c r="I127" s="52">
        <f>I128+I130+I134+I136+I139+I141+I143</f>
        <v>54450.7</v>
      </c>
      <c r="J127" s="52">
        <f>J128+J130+J134+J136+J139+J141+J143</f>
        <v>50013.4</v>
      </c>
      <c r="K127" s="315">
        <f t="shared" si="24"/>
        <v>-50.599999999998545</v>
      </c>
      <c r="L127" s="52">
        <f>L128+L130+L134+L136+L139+L141+L143</f>
        <v>54450.7</v>
      </c>
      <c r="M127" s="320">
        <f t="shared" si="25"/>
        <v>0</v>
      </c>
      <c r="N127" s="65">
        <f>N128+N130+N134+N136+N139+N141+N143</f>
        <v>53504.6</v>
      </c>
      <c r="O127" s="52">
        <f>O128+O130+O134+O136+O139+O141+O143</f>
        <v>53504.6</v>
      </c>
      <c r="P127" s="315">
        <f t="shared" si="26"/>
        <v>0</v>
      </c>
      <c r="Q127" s="39"/>
      <c r="R127" s="40"/>
      <c r="S127" s="40"/>
      <c r="T127" s="214"/>
      <c r="U127" s="240"/>
      <c r="V127" s="231"/>
      <c r="W127" s="231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231"/>
      <c r="AJ127" s="231"/>
      <c r="AK127" s="231"/>
      <c r="AL127" s="231"/>
      <c r="AM127" s="231"/>
      <c r="AN127" s="231"/>
      <c r="AO127" s="231"/>
      <c r="AP127" s="231"/>
      <c r="AQ127" s="231"/>
      <c r="AR127" s="231"/>
    </row>
    <row r="128" spans="1:44" s="31" customFormat="1" x14ac:dyDescent="0.2">
      <c r="A128" s="171" t="s">
        <v>656</v>
      </c>
      <c r="B128" s="54" t="s">
        <v>655</v>
      </c>
      <c r="C128" s="60" t="s">
        <v>45</v>
      </c>
      <c r="D128" s="60" t="s">
        <v>72</v>
      </c>
      <c r="E128" s="60"/>
      <c r="F128" s="52">
        <f>F129</f>
        <v>3214.5</v>
      </c>
      <c r="G128" s="52">
        <f>G129</f>
        <v>3464.5</v>
      </c>
      <c r="H128" s="315">
        <f t="shared" si="22"/>
        <v>250</v>
      </c>
      <c r="I128" s="52">
        <f>I129</f>
        <v>3173.6</v>
      </c>
      <c r="J128" s="52">
        <f>J129</f>
        <v>3464.5</v>
      </c>
      <c r="K128" s="315">
        <f t="shared" si="24"/>
        <v>0</v>
      </c>
      <c r="L128" s="52">
        <f>L129</f>
        <v>3173.6</v>
      </c>
      <c r="M128" s="320">
        <f t="shared" si="25"/>
        <v>0</v>
      </c>
      <c r="N128" s="65">
        <f>N129</f>
        <v>3173.6</v>
      </c>
      <c r="O128" s="52">
        <f>O129</f>
        <v>3173.6</v>
      </c>
      <c r="P128" s="315">
        <f t="shared" si="26"/>
        <v>0</v>
      </c>
      <c r="Q128" s="39"/>
      <c r="R128" s="40"/>
      <c r="S128" s="40"/>
      <c r="T128" s="214"/>
      <c r="U128" s="214"/>
      <c r="V128" s="231"/>
      <c r="W128" s="231"/>
      <c r="X128" s="231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31"/>
      <c r="AJ128" s="231"/>
      <c r="AK128" s="231"/>
      <c r="AL128" s="231"/>
      <c r="AM128" s="231"/>
      <c r="AN128" s="231"/>
      <c r="AO128" s="231"/>
      <c r="AP128" s="231"/>
      <c r="AQ128" s="231"/>
      <c r="AR128" s="231"/>
    </row>
    <row r="129" spans="1:44" s="31" customFormat="1" x14ac:dyDescent="0.2">
      <c r="A129" s="172" t="s">
        <v>84</v>
      </c>
      <c r="B129" s="54" t="s">
        <v>655</v>
      </c>
      <c r="C129" s="60" t="s">
        <v>45</v>
      </c>
      <c r="D129" s="60" t="s">
        <v>72</v>
      </c>
      <c r="E129" s="60" t="s">
        <v>83</v>
      </c>
      <c r="F129" s="52">
        <f>3114.5+100</f>
        <v>3214.5</v>
      </c>
      <c r="G129" s="52">
        <f>3214.5+250</f>
        <v>3464.5</v>
      </c>
      <c r="H129" s="315">
        <f t="shared" si="22"/>
        <v>250</v>
      </c>
      <c r="I129" s="52">
        <f>3114.5+59.1</f>
        <v>3173.6</v>
      </c>
      <c r="J129" s="52">
        <f>3214.5+250</f>
        <v>3464.5</v>
      </c>
      <c r="K129" s="315">
        <f t="shared" si="24"/>
        <v>0</v>
      </c>
      <c r="L129" s="52">
        <f>3114.5+59.1</f>
        <v>3173.6</v>
      </c>
      <c r="M129" s="320">
        <f t="shared" si="25"/>
        <v>0</v>
      </c>
      <c r="N129" s="65">
        <f>3114.5+59.1</f>
        <v>3173.6</v>
      </c>
      <c r="O129" s="52">
        <f>3114.5+59.1</f>
        <v>3173.6</v>
      </c>
      <c r="P129" s="315">
        <f t="shared" si="26"/>
        <v>0</v>
      </c>
      <c r="Q129" s="39"/>
      <c r="R129" s="40"/>
      <c r="S129" s="40"/>
      <c r="T129" s="214"/>
      <c r="U129" s="214"/>
      <c r="V129" s="231"/>
      <c r="W129" s="231"/>
      <c r="X129" s="231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31"/>
      <c r="AJ129" s="231"/>
      <c r="AK129" s="231"/>
      <c r="AL129" s="231"/>
      <c r="AM129" s="231"/>
      <c r="AN129" s="231"/>
      <c r="AO129" s="231"/>
      <c r="AP129" s="231"/>
      <c r="AQ129" s="231"/>
      <c r="AR129" s="231"/>
    </row>
    <row r="130" spans="1:44" s="31" customFormat="1" x14ac:dyDescent="0.2">
      <c r="A130" s="84" t="s">
        <v>414</v>
      </c>
      <c r="B130" s="54" t="s">
        <v>644</v>
      </c>
      <c r="C130" s="60" t="s">
        <v>45</v>
      </c>
      <c r="D130" s="60" t="s">
        <v>108</v>
      </c>
      <c r="E130" s="60"/>
      <c r="F130" s="52">
        <f>F131+F132+F133</f>
        <v>21383.899999999998</v>
      </c>
      <c r="G130" s="52">
        <f>G131+G132+G133</f>
        <v>17044.2</v>
      </c>
      <c r="H130" s="315">
        <f t="shared" si="22"/>
        <v>-4339.6999999999971</v>
      </c>
      <c r="I130" s="52">
        <f>I131+I132+I133</f>
        <v>21678.899999999998</v>
      </c>
      <c r="J130" s="52">
        <f>J131+J132+J133</f>
        <v>16993.599999999999</v>
      </c>
      <c r="K130" s="315">
        <f t="shared" si="24"/>
        <v>-50.600000000002183</v>
      </c>
      <c r="L130" s="52">
        <f>L131+L132+L133</f>
        <v>21678.899999999998</v>
      </c>
      <c r="M130" s="320">
        <f t="shared" si="25"/>
        <v>0</v>
      </c>
      <c r="N130" s="65">
        <f>N131+N132+N133</f>
        <v>20714.899999999998</v>
      </c>
      <c r="O130" s="52">
        <f>O131+O132+O133</f>
        <v>20714.899999999998</v>
      </c>
      <c r="P130" s="315">
        <f t="shared" si="26"/>
        <v>0</v>
      </c>
      <c r="Q130" s="39"/>
      <c r="R130" s="40"/>
      <c r="S130" s="40"/>
      <c r="T130" s="214"/>
      <c r="U130" s="214"/>
      <c r="V130" s="231"/>
      <c r="W130" s="231"/>
      <c r="X130" s="231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231"/>
      <c r="AJ130" s="231"/>
      <c r="AK130" s="231"/>
      <c r="AL130" s="231"/>
      <c r="AM130" s="231"/>
      <c r="AN130" s="231"/>
      <c r="AO130" s="231"/>
      <c r="AP130" s="231"/>
      <c r="AQ130" s="231"/>
      <c r="AR130" s="231"/>
    </row>
    <row r="131" spans="1:44" s="31" customFormat="1" x14ac:dyDescent="0.2">
      <c r="A131" s="84" t="s">
        <v>84</v>
      </c>
      <c r="B131" s="54" t="s">
        <v>644</v>
      </c>
      <c r="C131" s="60" t="s">
        <v>45</v>
      </c>
      <c r="D131" s="60" t="s">
        <v>108</v>
      </c>
      <c r="E131" s="60" t="s">
        <v>83</v>
      </c>
      <c r="F131" s="52">
        <f>10411.5+181+3997.8+13.8-417.6-740.1-485.7-452.2-676.1-229.3-19.4</f>
        <v>11583.699999999997</v>
      </c>
      <c r="G131" s="52">
        <f>11583.7-4261.6-250-600</f>
        <v>6472.1</v>
      </c>
      <c r="H131" s="315">
        <f t="shared" si="22"/>
        <v>-5111.5999999999967</v>
      </c>
      <c r="I131" s="52">
        <f>10411.5+181+3997.8+13.8-740.1-485.7-495.5-676.1-227.6</f>
        <v>11979.099999999997</v>
      </c>
      <c r="J131" s="52">
        <f>6472.1-213.7+223.1-168-200</f>
        <v>6113.5000000000009</v>
      </c>
      <c r="K131" s="315">
        <f t="shared" si="24"/>
        <v>-358.59999999999945</v>
      </c>
      <c r="L131" s="52">
        <f>10411.5+181+3997.8+13.8-740.1-485.7-495.5-676.1-227.6</f>
        <v>11979.099999999997</v>
      </c>
      <c r="M131" s="320">
        <f t="shared" si="25"/>
        <v>0</v>
      </c>
      <c r="N131" s="65">
        <f>10411.5+181+3997.8+13.8-740.1-485.7-513.5-676.1-227.6</f>
        <v>11961.099999999997</v>
      </c>
      <c r="O131" s="52">
        <f>10411.5+181+3997.8+13.8-740.1-485.7-513.5-676.1-227.6</f>
        <v>11961.099999999997</v>
      </c>
      <c r="P131" s="315">
        <f t="shared" si="26"/>
        <v>0</v>
      </c>
      <c r="Q131" s="39"/>
      <c r="R131" s="40"/>
      <c r="S131" s="40"/>
      <c r="T131" s="214"/>
      <c r="U131" s="214"/>
      <c r="V131" s="231"/>
      <c r="W131" s="231"/>
      <c r="X131" s="231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231"/>
      <c r="AJ131" s="231"/>
      <c r="AK131" s="231"/>
      <c r="AL131" s="231"/>
      <c r="AM131" s="231"/>
      <c r="AN131" s="231"/>
      <c r="AO131" s="231"/>
      <c r="AP131" s="231"/>
      <c r="AQ131" s="231"/>
      <c r="AR131" s="231"/>
    </row>
    <row r="132" spans="1:44" s="31" customFormat="1" ht="25.5" x14ac:dyDescent="0.2">
      <c r="A132" s="84" t="s">
        <v>73</v>
      </c>
      <c r="B132" s="54" t="s">
        <v>644</v>
      </c>
      <c r="C132" s="60" t="s">
        <v>45</v>
      </c>
      <c r="D132" s="60" t="s">
        <v>108</v>
      </c>
      <c r="E132" s="60" t="s">
        <v>70</v>
      </c>
      <c r="F132" s="52">
        <f>5755+3730+19.4</f>
        <v>9504.4</v>
      </c>
      <c r="G132" s="52">
        <f>9504.4+100+400+200+71.9</f>
        <v>10276.299999999999</v>
      </c>
      <c r="H132" s="315">
        <f t="shared" si="22"/>
        <v>771.89999999999964</v>
      </c>
      <c r="I132" s="52">
        <f>5755+3649</f>
        <v>9404</v>
      </c>
      <c r="J132" s="52">
        <f>10276.3+140+168</f>
        <v>10584.3</v>
      </c>
      <c r="K132" s="315">
        <f t="shared" si="24"/>
        <v>308</v>
      </c>
      <c r="L132" s="52">
        <f>5755+3649</f>
        <v>9404</v>
      </c>
      <c r="M132" s="320">
        <f t="shared" si="25"/>
        <v>0</v>
      </c>
      <c r="N132" s="65">
        <f>4809+3649</f>
        <v>8458</v>
      </c>
      <c r="O132" s="52">
        <f>4809+3649</f>
        <v>8458</v>
      </c>
      <c r="P132" s="315">
        <f t="shared" si="26"/>
        <v>0</v>
      </c>
      <c r="Q132" s="39"/>
      <c r="R132" s="40"/>
      <c r="S132" s="40"/>
      <c r="T132" s="214"/>
      <c r="U132" s="214"/>
      <c r="V132" s="231"/>
      <c r="W132" s="231"/>
      <c r="X132" s="231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31"/>
      <c r="AJ132" s="231"/>
      <c r="AK132" s="231"/>
      <c r="AL132" s="231"/>
      <c r="AM132" s="231"/>
      <c r="AN132" s="231"/>
      <c r="AO132" s="231"/>
      <c r="AP132" s="231"/>
      <c r="AQ132" s="231"/>
      <c r="AR132" s="231"/>
    </row>
    <row r="133" spans="1:44" s="31" customFormat="1" x14ac:dyDescent="0.2">
      <c r="A133" s="84" t="s">
        <v>413</v>
      </c>
      <c r="B133" s="54" t="s">
        <v>644</v>
      </c>
      <c r="C133" s="60" t="s">
        <v>45</v>
      </c>
      <c r="D133" s="60" t="s">
        <v>108</v>
      </c>
      <c r="E133" s="60" t="s">
        <v>320</v>
      </c>
      <c r="F133" s="52">
        <f>295.8</f>
        <v>295.8</v>
      </c>
      <c r="G133" s="52">
        <f>295.8</f>
        <v>295.8</v>
      </c>
      <c r="H133" s="315">
        <f t="shared" si="22"/>
        <v>0</v>
      </c>
      <c r="I133" s="133">
        <f>295.8</f>
        <v>295.8</v>
      </c>
      <c r="J133" s="52">
        <f>295.8</f>
        <v>295.8</v>
      </c>
      <c r="K133" s="315">
        <f t="shared" si="24"/>
        <v>0</v>
      </c>
      <c r="L133" s="133">
        <f>295.8</f>
        <v>295.8</v>
      </c>
      <c r="M133" s="320">
        <f t="shared" si="25"/>
        <v>0</v>
      </c>
      <c r="N133" s="236">
        <f>295.8</f>
        <v>295.8</v>
      </c>
      <c r="O133" s="133">
        <f>295.8</f>
        <v>295.8</v>
      </c>
      <c r="P133" s="315">
        <f t="shared" si="26"/>
        <v>0</v>
      </c>
      <c r="Q133" s="39"/>
      <c r="R133" s="40"/>
      <c r="S133" s="40"/>
      <c r="T133" s="214"/>
      <c r="U133" s="214"/>
      <c r="V133" s="231"/>
      <c r="W133" s="231"/>
      <c r="X133" s="231"/>
      <c r="Y133" s="231"/>
      <c r="Z133" s="231"/>
      <c r="AA133" s="231"/>
      <c r="AB133" s="231"/>
      <c r="AC133" s="231"/>
      <c r="AD133" s="231"/>
      <c r="AE133" s="231"/>
      <c r="AF133" s="231"/>
      <c r="AG133" s="231"/>
      <c r="AH133" s="231"/>
      <c r="AI133" s="231"/>
      <c r="AJ133" s="231"/>
      <c r="AK133" s="231"/>
      <c r="AL133" s="231"/>
      <c r="AM133" s="231"/>
      <c r="AN133" s="231"/>
      <c r="AO133" s="231"/>
      <c r="AP133" s="231"/>
      <c r="AQ133" s="231"/>
      <c r="AR133" s="231"/>
    </row>
    <row r="134" spans="1:44" s="31" customFormat="1" ht="25.5" x14ac:dyDescent="0.2">
      <c r="A134" s="230" t="s">
        <v>88</v>
      </c>
      <c r="B134" s="54" t="s">
        <v>643</v>
      </c>
      <c r="C134" s="78"/>
      <c r="D134" s="60"/>
      <c r="E134" s="60"/>
      <c r="F134" s="52">
        <f>F135</f>
        <v>28451.000000000004</v>
      </c>
      <c r="G134" s="52">
        <f>G135</f>
        <v>28451.000000000004</v>
      </c>
      <c r="H134" s="315">
        <f t="shared" si="22"/>
        <v>0</v>
      </c>
      <c r="I134" s="52">
        <f>I135</f>
        <v>28451.000000000004</v>
      </c>
      <c r="J134" s="52">
        <f>J135</f>
        <v>28451.000000000004</v>
      </c>
      <c r="K134" s="315">
        <f t="shared" si="24"/>
        <v>0</v>
      </c>
      <c r="L134" s="52">
        <f>L135</f>
        <v>28451.000000000004</v>
      </c>
      <c r="M134" s="320">
        <f t="shared" si="25"/>
        <v>0</v>
      </c>
      <c r="N134" s="65">
        <f>N135</f>
        <v>28451.000000000004</v>
      </c>
      <c r="O134" s="52">
        <f>O135</f>
        <v>28451.000000000004</v>
      </c>
      <c r="P134" s="315">
        <f t="shared" si="26"/>
        <v>0</v>
      </c>
      <c r="Q134" s="39"/>
      <c r="R134" s="40"/>
      <c r="S134" s="40"/>
      <c r="T134" s="214"/>
      <c r="U134" s="214"/>
      <c r="V134" s="231"/>
      <c r="W134" s="231"/>
      <c r="X134" s="231"/>
      <c r="Y134" s="231"/>
      <c r="Z134" s="231"/>
      <c r="AA134" s="231"/>
      <c r="AB134" s="231"/>
      <c r="AC134" s="231"/>
      <c r="AD134" s="231"/>
      <c r="AE134" s="231"/>
      <c r="AF134" s="231"/>
      <c r="AG134" s="231"/>
      <c r="AH134" s="231"/>
      <c r="AI134" s="231"/>
      <c r="AJ134" s="231"/>
      <c r="AK134" s="231"/>
      <c r="AL134" s="231"/>
      <c r="AM134" s="231"/>
      <c r="AN134" s="231"/>
      <c r="AO134" s="231"/>
      <c r="AP134" s="231"/>
      <c r="AQ134" s="231"/>
      <c r="AR134" s="231"/>
    </row>
    <row r="135" spans="1:44" s="31" customFormat="1" x14ac:dyDescent="0.2">
      <c r="A135" s="230" t="s">
        <v>84</v>
      </c>
      <c r="B135" s="54" t="s">
        <v>643</v>
      </c>
      <c r="C135" s="78" t="s">
        <v>45</v>
      </c>
      <c r="D135" s="60" t="s">
        <v>108</v>
      </c>
      <c r="E135" s="60" t="s">
        <v>83</v>
      </c>
      <c r="F135" s="52">
        <f>879.7+25634.9+1936.4</f>
        <v>28451.000000000004</v>
      </c>
      <c r="G135" s="52">
        <f>879.7+25634.9+1936.4</f>
        <v>28451.000000000004</v>
      </c>
      <c r="H135" s="315">
        <f t="shared" si="22"/>
        <v>0</v>
      </c>
      <c r="I135" s="52">
        <f>879.7+25634.9+1936.4</f>
        <v>28451.000000000004</v>
      </c>
      <c r="J135" s="52">
        <f>879.7+25634.9+1936.4</f>
        <v>28451.000000000004</v>
      </c>
      <c r="K135" s="315">
        <f t="shared" si="24"/>
        <v>0</v>
      </c>
      <c r="L135" s="52">
        <f>879.7+25634.9+1936.4</f>
        <v>28451.000000000004</v>
      </c>
      <c r="M135" s="320">
        <f t="shared" si="25"/>
        <v>0</v>
      </c>
      <c r="N135" s="65">
        <f>879.7+25634.9+1936.4</f>
        <v>28451.000000000004</v>
      </c>
      <c r="O135" s="52">
        <f>879.7+25634.9+1936.4</f>
        <v>28451.000000000004</v>
      </c>
      <c r="P135" s="315">
        <f t="shared" si="26"/>
        <v>0</v>
      </c>
      <c r="Q135" s="39"/>
      <c r="R135" s="40"/>
      <c r="S135" s="40"/>
      <c r="T135" s="214"/>
      <c r="U135" s="214"/>
      <c r="V135" s="231"/>
      <c r="W135" s="231"/>
      <c r="X135" s="231"/>
      <c r="Y135" s="231"/>
      <c r="Z135" s="231"/>
      <c r="AA135" s="231"/>
      <c r="AB135" s="231"/>
      <c r="AC135" s="231"/>
      <c r="AD135" s="231"/>
      <c r="AE135" s="231"/>
      <c r="AF135" s="231"/>
      <c r="AG135" s="231"/>
      <c r="AH135" s="231"/>
      <c r="AI135" s="231"/>
      <c r="AJ135" s="231"/>
      <c r="AK135" s="231"/>
      <c r="AL135" s="231"/>
      <c r="AM135" s="231"/>
      <c r="AN135" s="231"/>
      <c r="AO135" s="231"/>
      <c r="AP135" s="231"/>
      <c r="AQ135" s="231"/>
      <c r="AR135" s="231"/>
    </row>
    <row r="136" spans="1:44" s="31" customFormat="1" ht="68.25" customHeight="1" x14ac:dyDescent="0.2">
      <c r="A136" s="84" t="s">
        <v>642</v>
      </c>
      <c r="B136" s="54" t="s">
        <v>641</v>
      </c>
      <c r="C136" s="60" t="s">
        <v>45</v>
      </c>
      <c r="D136" s="60" t="s">
        <v>108</v>
      </c>
      <c r="E136" s="60"/>
      <c r="F136" s="52">
        <f>F137+F138</f>
        <v>485.7</v>
      </c>
      <c r="G136" s="52">
        <f t="shared" ref="G136:O136" si="39">G137+G138</f>
        <v>485.7</v>
      </c>
      <c r="H136" s="315">
        <f t="shared" si="22"/>
        <v>0</v>
      </c>
      <c r="I136" s="52">
        <f t="shared" si="39"/>
        <v>485.7</v>
      </c>
      <c r="J136" s="52">
        <f t="shared" si="39"/>
        <v>485.7</v>
      </c>
      <c r="K136" s="315">
        <f t="shared" si="24"/>
        <v>0</v>
      </c>
      <c r="L136" s="52">
        <f t="shared" si="39"/>
        <v>485.7</v>
      </c>
      <c r="M136" s="320">
        <f t="shared" si="25"/>
        <v>0</v>
      </c>
      <c r="N136" s="52">
        <f t="shared" si="39"/>
        <v>485.7</v>
      </c>
      <c r="O136" s="52">
        <f t="shared" si="39"/>
        <v>485.7</v>
      </c>
      <c r="P136" s="315">
        <f t="shared" si="26"/>
        <v>0</v>
      </c>
      <c r="Q136" s="39"/>
      <c r="R136" s="40"/>
      <c r="S136" s="40"/>
      <c r="T136" s="214"/>
      <c r="U136" s="214"/>
      <c r="V136" s="231"/>
      <c r="W136" s="231"/>
      <c r="X136" s="231"/>
      <c r="Y136" s="231"/>
      <c r="Z136" s="231"/>
      <c r="AA136" s="231"/>
      <c r="AB136" s="231"/>
      <c r="AC136" s="231"/>
      <c r="AD136" s="231"/>
      <c r="AE136" s="231"/>
      <c r="AF136" s="231"/>
      <c r="AG136" s="231"/>
      <c r="AH136" s="231"/>
      <c r="AI136" s="231"/>
      <c r="AJ136" s="231"/>
      <c r="AK136" s="231"/>
      <c r="AL136" s="231"/>
      <c r="AM136" s="231"/>
      <c r="AN136" s="231"/>
      <c r="AO136" s="231"/>
      <c r="AP136" s="231"/>
      <c r="AQ136" s="231"/>
      <c r="AR136" s="231"/>
    </row>
    <row r="137" spans="1:44" s="31" customFormat="1" x14ac:dyDescent="0.2">
      <c r="A137" s="84" t="s">
        <v>84</v>
      </c>
      <c r="B137" s="54" t="s">
        <v>641</v>
      </c>
      <c r="C137" s="60" t="s">
        <v>45</v>
      </c>
      <c r="D137" s="60" t="s">
        <v>108</v>
      </c>
      <c r="E137" s="60" t="s">
        <v>83</v>
      </c>
      <c r="F137" s="52">
        <v>485.7</v>
      </c>
      <c r="G137" s="52">
        <f>485.7-77.5</f>
        <v>408.2</v>
      </c>
      <c r="H137" s="315">
        <f t="shared" si="22"/>
        <v>-77.5</v>
      </c>
      <c r="I137" s="52">
        <v>485.7</v>
      </c>
      <c r="J137" s="52">
        <f>485.7-77.5</f>
        <v>408.2</v>
      </c>
      <c r="K137" s="315">
        <f t="shared" si="24"/>
        <v>0</v>
      </c>
      <c r="L137" s="52">
        <v>485.7</v>
      </c>
      <c r="M137" s="320">
        <f t="shared" si="25"/>
        <v>0</v>
      </c>
      <c r="N137" s="65">
        <v>485.7</v>
      </c>
      <c r="O137" s="52">
        <v>485.7</v>
      </c>
      <c r="P137" s="315">
        <f t="shared" si="26"/>
        <v>0</v>
      </c>
      <c r="Q137" s="233"/>
      <c r="R137" s="233"/>
      <c r="S137" s="233"/>
      <c r="T137" s="214"/>
      <c r="U137" s="214"/>
      <c r="V137" s="231"/>
      <c r="W137" s="231"/>
      <c r="X137" s="231"/>
      <c r="Y137" s="231"/>
      <c r="Z137" s="231"/>
      <c r="AA137" s="231"/>
      <c r="AB137" s="231"/>
      <c r="AC137" s="231"/>
      <c r="AD137" s="231"/>
      <c r="AE137" s="231"/>
      <c r="AF137" s="231"/>
      <c r="AG137" s="231"/>
      <c r="AH137" s="231"/>
      <c r="AI137" s="231"/>
      <c r="AJ137" s="231"/>
      <c r="AK137" s="231"/>
      <c r="AL137" s="231"/>
      <c r="AM137" s="231"/>
      <c r="AN137" s="231"/>
      <c r="AO137" s="231"/>
      <c r="AP137" s="231"/>
      <c r="AQ137" s="231"/>
      <c r="AR137" s="231"/>
    </row>
    <row r="138" spans="1:44" s="31" customFormat="1" ht="25.5" x14ac:dyDescent="0.2">
      <c r="A138" s="84" t="s">
        <v>73</v>
      </c>
      <c r="B138" s="54" t="s">
        <v>641</v>
      </c>
      <c r="C138" s="60" t="s">
        <v>45</v>
      </c>
      <c r="D138" s="60" t="s">
        <v>108</v>
      </c>
      <c r="E138" s="60" t="s">
        <v>70</v>
      </c>
      <c r="F138" s="52">
        <v>0</v>
      </c>
      <c r="G138" s="52">
        <v>77.5</v>
      </c>
      <c r="H138" s="315">
        <f t="shared" si="22"/>
        <v>77.5</v>
      </c>
      <c r="I138" s="52">
        <v>0</v>
      </c>
      <c r="J138" s="52">
        <v>77.5</v>
      </c>
      <c r="K138" s="315">
        <f t="shared" si="24"/>
        <v>0</v>
      </c>
      <c r="L138" s="52">
        <v>0</v>
      </c>
      <c r="M138" s="320">
        <f t="shared" si="25"/>
        <v>0</v>
      </c>
      <c r="N138" s="65">
        <v>0</v>
      </c>
      <c r="O138" s="52">
        <v>0</v>
      </c>
      <c r="P138" s="315">
        <f t="shared" si="26"/>
        <v>0</v>
      </c>
      <c r="Q138" s="233"/>
      <c r="R138" s="233"/>
      <c r="S138" s="233"/>
      <c r="T138" s="214"/>
      <c r="U138" s="214"/>
      <c r="V138" s="231"/>
      <c r="W138" s="231"/>
      <c r="X138" s="231"/>
      <c r="Y138" s="231"/>
      <c r="Z138" s="231"/>
      <c r="AA138" s="231"/>
      <c r="AB138" s="231"/>
      <c r="AC138" s="231"/>
      <c r="AD138" s="231"/>
      <c r="AE138" s="231"/>
      <c r="AF138" s="231"/>
      <c r="AG138" s="231"/>
      <c r="AH138" s="231"/>
      <c r="AI138" s="231"/>
      <c r="AJ138" s="231"/>
      <c r="AK138" s="231"/>
      <c r="AL138" s="231"/>
      <c r="AM138" s="231"/>
      <c r="AN138" s="231"/>
      <c r="AO138" s="231"/>
      <c r="AP138" s="231"/>
      <c r="AQ138" s="231"/>
      <c r="AR138" s="231"/>
    </row>
    <row r="139" spans="1:44" s="31" customFormat="1" ht="25.5" x14ac:dyDescent="0.2">
      <c r="A139" s="56" t="s">
        <v>531</v>
      </c>
      <c r="B139" s="54" t="s">
        <v>530</v>
      </c>
      <c r="C139" s="60" t="s">
        <v>72</v>
      </c>
      <c r="D139" s="60" t="s">
        <v>111</v>
      </c>
      <c r="E139" s="60"/>
      <c r="F139" s="52">
        <f>F140</f>
        <v>471.59999999999997</v>
      </c>
      <c r="G139" s="52">
        <f>G140</f>
        <v>471.59999999999997</v>
      </c>
      <c r="H139" s="315">
        <f t="shared" si="22"/>
        <v>0</v>
      </c>
      <c r="I139" s="52">
        <f>I140</f>
        <v>514.5</v>
      </c>
      <c r="J139" s="52">
        <f>J140</f>
        <v>471.59999999999997</v>
      </c>
      <c r="K139" s="315">
        <f t="shared" si="24"/>
        <v>0</v>
      </c>
      <c r="L139" s="52">
        <f>L140</f>
        <v>514.5</v>
      </c>
      <c r="M139" s="320">
        <f t="shared" si="25"/>
        <v>0</v>
      </c>
      <c r="N139" s="65">
        <f>N140</f>
        <v>532.4</v>
      </c>
      <c r="O139" s="52">
        <f>O140</f>
        <v>532.4</v>
      </c>
      <c r="P139" s="315">
        <f t="shared" si="26"/>
        <v>0</v>
      </c>
      <c r="Q139" s="39"/>
      <c r="R139" s="40"/>
      <c r="S139" s="40"/>
      <c r="T139" s="214"/>
      <c r="U139" s="214"/>
      <c r="V139" s="231"/>
      <c r="W139" s="231"/>
      <c r="X139" s="231"/>
      <c r="Y139" s="231"/>
      <c r="Z139" s="231"/>
      <c r="AA139" s="231"/>
      <c r="AB139" s="231"/>
      <c r="AC139" s="231"/>
      <c r="AD139" s="231"/>
      <c r="AE139" s="231"/>
      <c r="AF139" s="231"/>
      <c r="AG139" s="231"/>
      <c r="AH139" s="231"/>
      <c r="AI139" s="231"/>
      <c r="AJ139" s="231"/>
      <c r="AK139" s="231"/>
      <c r="AL139" s="231"/>
      <c r="AM139" s="231"/>
      <c r="AN139" s="231"/>
      <c r="AO139" s="231"/>
      <c r="AP139" s="231"/>
      <c r="AQ139" s="231"/>
      <c r="AR139" s="231"/>
    </row>
    <row r="140" spans="1:44" s="31" customFormat="1" ht="13.5" customHeight="1" x14ac:dyDescent="0.2">
      <c r="A140" s="84" t="s">
        <v>84</v>
      </c>
      <c r="B140" s="54" t="s">
        <v>530</v>
      </c>
      <c r="C140" s="60" t="s">
        <v>72</v>
      </c>
      <c r="D140" s="60" t="s">
        <v>111</v>
      </c>
      <c r="E140" s="60" t="s">
        <v>83</v>
      </c>
      <c r="F140" s="52">
        <f>452.2+19.4</f>
        <v>471.59999999999997</v>
      </c>
      <c r="G140" s="52">
        <f>452.2+19.4</f>
        <v>471.59999999999997</v>
      </c>
      <c r="H140" s="315">
        <f t="shared" si="22"/>
        <v>0</v>
      </c>
      <c r="I140" s="52">
        <f>495.5+19</f>
        <v>514.5</v>
      </c>
      <c r="J140" s="52">
        <f>452.2+19.4</f>
        <v>471.59999999999997</v>
      </c>
      <c r="K140" s="315">
        <f t="shared" si="24"/>
        <v>0</v>
      </c>
      <c r="L140" s="52">
        <f>495.5+19</f>
        <v>514.5</v>
      </c>
      <c r="M140" s="320">
        <f t="shared" si="25"/>
        <v>0</v>
      </c>
      <c r="N140" s="52">
        <f>513.5+18.9</f>
        <v>532.4</v>
      </c>
      <c r="O140" s="52">
        <f>513.5+18.9</f>
        <v>532.4</v>
      </c>
      <c r="P140" s="315">
        <f t="shared" si="26"/>
        <v>0</v>
      </c>
      <c r="Q140" s="39"/>
      <c r="R140" s="40"/>
      <c r="S140" s="40"/>
      <c r="T140" s="214"/>
      <c r="U140" s="214"/>
      <c r="V140" s="231"/>
      <c r="W140" s="231"/>
      <c r="X140" s="231"/>
      <c r="Y140" s="231"/>
      <c r="Z140" s="231"/>
      <c r="AA140" s="231"/>
      <c r="AB140" s="231"/>
      <c r="AC140" s="231"/>
      <c r="AD140" s="231"/>
      <c r="AE140" s="231"/>
      <c r="AF140" s="231"/>
      <c r="AG140" s="231"/>
      <c r="AH140" s="231"/>
      <c r="AI140" s="231"/>
      <c r="AJ140" s="231"/>
      <c r="AK140" s="231"/>
      <c r="AL140" s="231"/>
      <c r="AM140" s="231"/>
      <c r="AN140" s="231"/>
      <c r="AO140" s="231"/>
      <c r="AP140" s="231"/>
      <c r="AQ140" s="231"/>
      <c r="AR140" s="231"/>
    </row>
    <row r="141" spans="1:44" s="31" customFormat="1" x14ac:dyDescent="0.2">
      <c r="A141" s="243" t="s">
        <v>558</v>
      </c>
      <c r="B141" s="53" t="s">
        <v>557</v>
      </c>
      <c r="C141" s="60" t="s">
        <v>45</v>
      </c>
      <c r="D141" s="60" t="s">
        <v>46</v>
      </c>
      <c r="E141" s="60"/>
      <c r="F141" s="52">
        <f>F142</f>
        <v>138</v>
      </c>
      <c r="G141" s="52">
        <f>G142</f>
        <v>138</v>
      </c>
      <c r="H141" s="315">
        <f t="shared" si="22"/>
        <v>0</v>
      </c>
      <c r="I141" s="52">
        <f>I142</f>
        <v>138</v>
      </c>
      <c r="J141" s="52">
        <f>J142</f>
        <v>138</v>
      </c>
      <c r="K141" s="315">
        <f t="shared" si="24"/>
        <v>0</v>
      </c>
      <c r="L141" s="52">
        <f>L142</f>
        <v>138</v>
      </c>
      <c r="M141" s="320">
        <f t="shared" si="25"/>
        <v>0</v>
      </c>
      <c r="N141" s="65">
        <f>N142</f>
        <v>138</v>
      </c>
      <c r="O141" s="52">
        <f>O142</f>
        <v>138</v>
      </c>
      <c r="P141" s="315">
        <f t="shared" si="26"/>
        <v>0</v>
      </c>
      <c r="Q141" s="39"/>
      <c r="R141" s="40"/>
      <c r="S141" s="40"/>
      <c r="T141" s="214"/>
      <c r="U141" s="214"/>
      <c r="V141" s="231"/>
      <c r="W141" s="231"/>
      <c r="X141" s="231"/>
      <c r="Y141" s="231"/>
      <c r="Z141" s="231"/>
      <c r="AA141" s="231"/>
      <c r="AB141" s="231"/>
      <c r="AC141" s="231"/>
      <c r="AD141" s="231"/>
      <c r="AE141" s="231"/>
      <c r="AF141" s="231"/>
      <c r="AG141" s="231"/>
      <c r="AH141" s="231"/>
      <c r="AI141" s="231"/>
      <c r="AJ141" s="231"/>
      <c r="AK141" s="231"/>
      <c r="AL141" s="231"/>
      <c r="AM141" s="231"/>
      <c r="AN141" s="231"/>
      <c r="AO141" s="231"/>
      <c r="AP141" s="231"/>
      <c r="AQ141" s="231"/>
      <c r="AR141" s="231"/>
    </row>
    <row r="142" spans="1:44" s="31" customFormat="1" x14ac:dyDescent="0.2">
      <c r="A142" s="84" t="s">
        <v>413</v>
      </c>
      <c r="B142" s="53" t="s">
        <v>557</v>
      </c>
      <c r="C142" s="60" t="s">
        <v>45</v>
      </c>
      <c r="D142" s="60" t="s">
        <v>46</v>
      </c>
      <c r="E142" s="60" t="s">
        <v>320</v>
      </c>
      <c r="F142" s="52">
        <v>138</v>
      </c>
      <c r="G142" s="52">
        <v>138</v>
      </c>
      <c r="H142" s="315">
        <f t="shared" si="22"/>
        <v>0</v>
      </c>
      <c r="I142" s="52">
        <v>138</v>
      </c>
      <c r="J142" s="52">
        <v>138</v>
      </c>
      <c r="K142" s="315">
        <f t="shared" si="24"/>
        <v>0</v>
      </c>
      <c r="L142" s="52">
        <v>138</v>
      </c>
      <c r="M142" s="320">
        <f t="shared" si="25"/>
        <v>0</v>
      </c>
      <c r="N142" s="65">
        <v>138</v>
      </c>
      <c r="O142" s="52">
        <v>138</v>
      </c>
      <c r="P142" s="315">
        <f t="shared" si="26"/>
        <v>0</v>
      </c>
      <c r="Q142" s="39"/>
      <c r="R142" s="40"/>
      <c r="S142" s="40"/>
      <c r="T142" s="214"/>
      <c r="U142" s="214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231"/>
      <c r="AQ142" s="231"/>
      <c r="AR142" s="231"/>
    </row>
    <row r="143" spans="1:44" s="31" customFormat="1" x14ac:dyDescent="0.2">
      <c r="A143" s="84" t="s">
        <v>556</v>
      </c>
      <c r="B143" s="53" t="s">
        <v>555</v>
      </c>
      <c r="C143" s="60" t="s">
        <v>45</v>
      </c>
      <c r="D143" s="60" t="s">
        <v>46</v>
      </c>
      <c r="E143" s="60"/>
      <c r="F143" s="52">
        <f>F144</f>
        <v>9</v>
      </c>
      <c r="G143" s="52">
        <f>G144</f>
        <v>9</v>
      </c>
      <c r="H143" s="315">
        <f t="shared" si="22"/>
        <v>0</v>
      </c>
      <c r="I143" s="52">
        <f>I144</f>
        <v>9</v>
      </c>
      <c r="J143" s="52">
        <f>J144</f>
        <v>9</v>
      </c>
      <c r="K143" s="315">
        <f t="shared" si="24"/>
        <v>0</v>
      </c>
      <c r="L143" s="52">
        <f>L144</f>
        <v>9</v>
      </c>
      <c r="M143" s="320">
        <f t="shared" si="25"/>
        <v>0</v>
      </c>
      <c r="N143" s="65">
        <f>N144</f>
        <v>9</v>
      </c>
      <c r="O143" s="52">
        <f>O144</f>
        <v>9</v>
      </c>
      <c r="P143" s="315">
        <f t="shared" si="26"/>
        <v>0</v>
      </c>
      <c r="Q143" s="39"/>
      <c r="R143" s="40"/>
      <c r="S143" s="40"/>
      <c r="T143" s="214"/>
      <c r="U143" s="214"/>
      <c r="V143" s="231"/>
      <c r="W143" s="231"/>
      <c r="X143" s="231"/>
      <c r="Y143" s="231"/>
      <c r="Z143" s="231"/>
      <c r="AA143" s="231"/>
      <c r="AB143" s="231"/>
      <c r="AC143" s="231"/>
      <c r="AD143" s="231"/>
      <c r="AE143" s="231"/>
      <c r="AF143" s="231"/>
      <c r="AG143" s="231"/>
      <c r="AH143" s="231"/>
      <c r="AI143" s="231"/>
      <c r="AJ143" s="231"/>
      <c r="AK143" s="231"/>
      <c r="AL143" s="231"/>
      <c r="AM143" s="231"/>
      <c r="AN143" s="231"/>
      <c r="AO143" s="231"/>
      <c r="AP143" s="231"/>
      <c r="AQ143" s="231"/>
      <c r="AR143" s="231"/>
    </row>
    <row r="144" spans="1:44" s="31" customFormat="1" x14ac:dyDescent="0.2">
      <c r="A144" s="84" t="s">
        <v>413</v>
      </c>
      <c r="B144" s="53" t="s">
        <v>555</v>
      </c>
      <c r="C144" s="60" t="s">
        <v>45</v>
      </c>
      <c r="D144" s="60" t="s">
        <v>46</v>
      </c>
      <c r="E144" s="60" t="s">
        <v>320</v>
      </c>
      <c r="F144" s="52">
        <v>9</v>
      </c>
      <c r="G144" s="52">
        <v>9</v>
      </c>
      <c r="H144" s="315">
        <f t="shared" si="22"/>
        <v>0</v>
      </c>
      <c r="I144" s="52">
        <v>9</v>
      </c>
      <c r="J144" s="52">
        <v>9</v>
      </c>
      <c r="K144" s="315">
        <f t="shared" si="24"/>
        <v>0</v>
      </c>
      <c r="L144" s="52">
        <v>9</v>
      </c>
      <c r="M144" s="320">
        <f t="shared" si="25"/>
        <v>0</v>
      </c>
      <c r="N144" s="65">
        <v>9</v>
      </c>
      <c r="O144" s="52">
        <v>9</v>
      </c>
      <c r="P144" s="315">
        <f t="shared" si="26"/>
        <v>0</v>
      </c>
      <c r="Q144" s="39"/>
      <c r="R144" s="40"/>
      <c r="S144" s="40"/>
      <c r="T144" s="214"/>
      <c r="U144" s="214"/>
      <c r="V144" s="231"/>
      <c r="W144" s="231"/>
      <c r="X144" s="231"/>
      <c r="Y144" s="231"/>
      <c r="Z144" s="231"/>
      <c r="AA144" s="231"/>
      <c r="AB144" s="231"/>
      <c r="AC144" s="231"/>
      <c r="AD144" s="231"/>
      <c r="AE144" s="231"/>
      <c r="AF144" s="231"/>
      <c r="AG144" s="231"/>
      <c r="AH144" s="231"/>
      <c r="AI144" s="231"/>
      <c r="AJ144" s="231"/>
      <c r="AK144" s="231"/>
      <c r="AL144" s="231"/>
      <c r="AM144" s="231"/>
      <c r="AN144" s="231"/>
      <c r="AO144" s="231"/>
      <c r="AP144" s="231"/>
      <c r="AQ144" s="231"/>
      <c r="AR144" s="231"/>
    </row>
    <row r="145" spans="1:44" s="31" customFormat="1" ht="41.25" customHeight="1" x14ac:dyDescent="0.2">
      <c r="A145" s="56" t="s">
        <v>640</v>
      </c>
      <c r="B145" s="54" t="s">
        <v>639</v>
      </c>
      <c r="C145" s="60" t="s">
        <v>45</v>
      </c>
      <c r="D145" s="60" t="s">
        <v>108</v>
      </c>
      <c r="E145" s="60"/>
      <c r="F145" s="52">
        <f t="shared" ref="F145:O146" si="40">F146</f>
        <v>1300.5999999999999</v>
      </c>
      <c r="G145" s="52">
        <f t="shared" si="40"/>
        <v>1300.5999999999999</v>
      </c>
      <c r="H145" s="315">
        <f t="shared" si="22"/>
        <v>0</v>
      </c>
      <c r="I145" s="52">
        <f t="shared" si="40"/>
        <v>698.7</v>
      </c>
      <c r="J145" s="52">
        <f t="shared" si="40"/>
        <v>1300.5999999999999</v>
      </c>
      <c r="K145" s="315">
        <f t="shared" ref="K145:K208" si="41">J145-G145</f>
        <v>0</v>
      </c>
      <c r="L145" s="52">
        <f t="shared" si="40"/>
        <v>698.7</v>
      </c>
      <c r="M145" s="320">
        <f t="shared" si="25"/>
        <v>0</v>
      </c>
      <c r="N145" s="65">
        <f t="shared" si="40"/>
        <v>698.7</v>
      </c>
      <c r="O145" s="52">
        <f t="shared" si="40"/>
        <v>698.7</v>
      </c>
      <c r="P145" s="315">
        <f t="shared" si="26"/>
        <v>0</v>
      </c>
      <c r="Q145" s="233"/>
      <c r="R145" s="233"/>
      <c r="S145" s="40"/>
      <c r="T145" s="214"/>
      <c r="U145" s="214"/>
      <c r="V145" s="231"/>
      <c r="W145" s="231"/>
      <c r="X145" s="231"/>
      <c r="Y145" s="231"/>
      <c r="Z145" s="231"/>
      <c r="AA145" s="231"/>
      <c r="AB145" s="231"/>
      <c r="AC145" s="231"/>
      <c r="AD145" s="231"/>
      <c r="AE145" s="231"/>
      <c r="AF145" s="231"/>
      <c r="AG145" s="231"/>
      <c r="AH145" s="231"/>
      <c r="AI145" s="231"/>
      <c r="AJ145" s="231"/>
      <c r="AK145" s="231"/>
      <c r="AL145" s="231"/>
      <c r="AM145" s="231"/>
      <c r="AN145" s="231"/>
      <c r="AO145" s="231"/>
      <c r="AP145" s="231"/>
      <c r="AQ145" s="231"/>
      <c r="AR145" s="231"/>
    </row>
    <row r="146" spans="1:44" s="31" customFormat="1" ht="15.75" customHeight="1" x14ac:dyDescent="0.2">
      <c r="A146" s="56" t="s">
        <v>638</v>
      </c>
      <c r="B146" s="54" t="s">
        <v>637</v>
      </c>
      <c r="C146" s="60" t="s">
        <v>45</v>
      </c>
      <c r="D146" s="60" t="s">
        <v>108</v>
      </c>
      <c r="E146" s="60"/>
      <c r="F146" s="52">
        <f t="shared" si="40"/>
        <v>1300.5999999999999</v>
      </c>
      <c r="G146" s="52">
        <f t="shared" si="40"/>
        <v>1300.5999999999999</v>
      </c>
      <c r="H146" s="315">
        <f t="shared" si="22"/>
        <v>0</v>
      </c>
      <c r="I146" s="52">
        <f t="shared" si="40"/>
        <v>698.7</v>
      </c>
      <c r="J146" s="52">
        <f t="shared" si="40"/>
        <v>1300.5999999999999</v>
      </c>
      <c r="K146" s="315">
        <f t="shared" si="41"/>
        <v>0</v>
      </c>
      <c r="L146" s="52">
        <f t="shared" si="40"/>
        <v>698.7</v>
      </c>
      <c r="M146" s="320">
        <f t="shared" si="25"/>
        <v>0</v>
      </c>
      <c r="N146" s="65">
        <f t="shared" si="40"/>
        <v>698.7</v>
      </c>
      <c r="O146" s="52">
        <f t="shared" si="40"/>
        <v>698.7</v>
      </c>
      <c r="P146" s="315">
        <f t="shared" si="26"/>
        <v>0</v>
      </c>
      <c r="Q146" s="233"/>
      <c r="R146" s="40"/>
      <c r="S146" s="40"/>
      <c r="T146" s="214"/>
      <c r="U146" s="240"/>
      <c r="V146" s="231"/>
      <c r="W146" s="231"/>
      <c r="X146" s="231"/>
      <c r="Y146" s="231"/>
      <c r="Z146" s="231"/>
      <c r="AA146" s="231"/>
      <c r="AB146" s="231"/>
      <c r="AC146" s="231"/>
      <c r="AD146" s="231"/>
      <c r="AE146" s="231"/>
      <c r="AF146" s="231"/>
      <c r="AG146" s="231"/>
      <c r="AH146" s="231"/>
      <c r="AI146" s="231"/>
      <c r="AJ146" s="231"/>
      <c r="AK146" s="231"/>
      <c r="AL146" s="231"/>
      <c r="AM146" s="231"/>
      <c r="AN146" s="231"/>
      <c r="AO146" s="231"/>
      <c r="AP146" s="231"/>
      <c r="AQ146" s="231"/>
      <c r="AR146" s="231"/>
    </row>
    <row r="147" spans="1:44" s="31" customFormat="1" ht="26.25" customHeight="1" x14ac:dyDescent="0.2">
      <c r="A147" s="56" t="s">
        <v>73</v>
      </c>
      <c r="B147" s="54" t="s">
        <v>637</v>
      </c>
      <c r="C147" s="60" t="s">
        <v>45</v>
      </c>
      <c r="D147" s="60" t="s">
        <v>108</v>
      </c>
      <c r="E147" s="60" t="s">
        <v>70</v>
      </c>
      <c r="F147" s="52">
        <v>1300.5999999999999</v>
      </c>
      <c r="G147" s="52">
        <v>1300.5999999999999</v>
      </c>
      <c r="H147" s="315">
        <f t="shared" si="22"/>
        <v>0</v>
      </c>
      <c r="I147" s="52">
        <v>698.7</v>
      </c>
      <c r="J147" s="52">
        <v>1300.5999999999999</v>
      </c>
      <c r="K147" s="315">
        <f t="shared" si="41"/>
        <v>0</v>
      </c>
      <c r="L147" s="52">
        <v>698.7</v>
      </c>
      <c r="M147" s="320">
        <f t="shared" si="25"/>
        <v>0</v>
      </c>
      <c r="N147" s="65">
        <v>698.7</v>
      </c>
      <c r="O147" s="52">
        <v>698.7</v>
      </c>
      <c r="P147" s="315">
        <f t="shared" si="26"/>
        <v>0</v>
      </c>
      <c r="Q147" s="39"/>
      <c r="R147" s="40"/>
      <c r="S147" s="40"/>
      <c r="T147" s="214"/>
      <c r="U147" s="214"/>
      <c r="V147" s="231"/>
      <c r="W147" s="231"/>
      <c r="X147" s="231"/>
      <c r="Y147" s="231"/>
      <c r="Z147" s="231"/>
      <c r="AA147" s="231"/>
      <c r="AB147" s="231"/>
      <c r="AC147" s="231"/>
      <c r="AD147" s="231"/>
      <c r="AE147" s="231"/>
      <c r="AF147" s="231"/>
      <c r="AG147" s="231"/>
      <c r="AH147" s="231"/>
      <c r="AI147" s="231"/>
      <c r="AJ147" s="231"/>
      <c r="AK147" s="231"/>
      <c r="AL147" s="231"/>
      <c r="AM147" s="231"/>
      <c r="AN147" s="231"/>
      <c r="AO147" s="231"/>
      <c r="AP147" s="231"/>
      <c r="AQ147" s="231"/>
      <c r="AR147" s="231"/>
    </row>
    <row r="148" spans="1:44" s="31" customFormat="1" ht="26.25" customHeight="1" x14ac:dyDescent="0.2">
      <c r="A148" s="62" t="s">
        <v>554</v>
      </c>
      <c r="B148" s="54" t="s">
        <v>553</v>
      </c>
      <c r="C148" s="60"/>
      <c r="D148" s="60"/>
      <c r="E148" s="60"/>
      <c r="F148" s="52">
        <f t="shared" ref="F148:O149" si="42">F149</f>
        <v>140.4</v>
      </c>
      <c r="G148" s="52">
        <f t="shared" si="42"/>
        <v>140.4</v>
      </c>
      <c r="H148" s="315">
        <f t="shared" si="22"/>
        <v>0</v>
      </c>
      <c r="I148" s="52">
        <f t="shared" si="42"/>
        <v>140.4</v>
      </c>
      <c r="J148" s="52">
        <f t="shared" si="42"/>
        <v>140.4</v>
      </c>
      <c r="K148" s="315">
        <f t="shared" si="41"/>
        <v>0</v>
      </c>
      <c r="L148" s="52">
        <f t="shared" si="42"/>
        <v>140.4</v>
      </c>
      <c r="M148" s="320">
        <f t="shared" si="25"/>
        <v>0</v>
      </c>
      <c r="N148" s="65">
        <f t="shared" si="42"/>
        <v>140.4</v>
      </c>
      <c r="O148" s="52">
        <f t="shared" si="42"/>
        <v>140.4</v>
      </c>
      <c r="P148" s="315">
        <f t="shared" si="26"/>
        <v>0</v>
      </c>
      <c r="Q148" s="39"/>
      <c r="R148" s="40"/>
      <c r="S148" s="40"/>
      <c r="T148" s="214"/>
      <c r="U148" s="214"/>
      <c r="V148" s="231"/>
      <c r="W148" s="231"/>
      <c r="X148" s="231"/>
      <c r="Y148" s="231"/>
      <c r="Z148" s="231"/>
      <c r="AA148" s="231"/>
      <c r="AB148" s="231"/>
      <c r="AC148" s="231"/>
      <c r="AD148" s="231"/>
      <c r="AE148" s="231"/>
      <c r="AF148" s="231"/>
      <c r="AG148" s="231"/>
      <c r="AH148" s="231"/>
      <c r="AI148" s="231"/>
      <c r="AJ148" s="231"/>
      <c r="AK148" s="231"/>
      <c r="AL148" s="231"/>
      <c r="AM148" s="231"/>
      <c r="AN148" s="231"/>
      <c r="AO148" s="231"/>
      <c r="AP148" s="231"/>
      <c r="AQ148" s="231"/>
      <c r="AR148" s="231"/>
    </row>
    <row r="149" spans="1:44" s="31" customFormat="1" ht="12.75" customHeight="1" x14ac:dyDescent="0.2">
      <c r="A149" s="81" t="s">
        <v>552</v>
      </c>
      <c r="B149" s="54" t="s">
        <v>551</v>
      </c>
      <c r="C149" s="60" t="s">
        <v>45</v>
      </c>
      <c r="D149" s="60" t="s">
        <v>46</v>
      </c>
      <c r="E149" s="60"/>
      <c r="F149" s="52">
        <f t="shared" si="42"/>
        <v>140.4</v>
      </c>
      <c r="G149" s="52">
        <f t="shared" si="42"/>
        <v>140.4</v>
      </c>
      <c r="H149" s="315">
        <f t="shared" si="22"/>
        <v>0</v>
      </c>
      <c r="I149" s="52">
        <f t="shared" si="42"/>
        <v>140.4</v>
      </c>
      <c r="J149" s="52">
        <f t="shared" si="42"/>
        <v>140.4</v>
      </c>
      <c r="K149" s="315">
        <f t="shared" si="41"/>
        <v>0</v>
      </c>
      <c r="L149" s="52">
        <f t="shared" si="42"/>
        <v>140.4</v>
      </c>
      <c r="M149" s="320">
        <f t="shared" si="25"/>
        <v>0</v>
      </c>
      <c r="N149" s="65">
        <f t="shared" si="42"/>
        <v>140.4</v>
      </c>
      <c r="O149" s="52">
        <f t="shared" si="42"/>
        <v>140.4</v>
      </c>
      <c r="P149" s="315">
        <f t="shared" si="26"/>
        <v>0</v>
      </c>
      <c r="Q149" s="39"/>
      <c r="R149" s="40"/>
      <c r="S149" s="40"/>
      <c r="T149" s="214"/>
      <c r="U149" s="214"/>
      <c r="V149" s="231"/>
      <c r="W149" s="231"/>
      <c r="X149" s="231"/>
      <c r="Y149" s="231"/>
      <c r="Z149" s="231"/>
      <c r="AA149" s="231"/>
      <c r="AB149" s="231"/>
      <c r="AC149" s="231"/>
      <c r="AD149" s="231"/>
      <c r="AE149" s="231"/>
      <c r="AF149" s="231"/>
      <c r="AG149" s="231"/>
      <c r="AH149" s="231"/>
      <c r="AI149" s="231"/>
      <c r="AJ149" s="231"/>
      <c r="AK149" s="231"/>
      <c r="AL149" s="231"/>
      <c r="AM149" s="231"/>
      <c r="AN149" s="231"/>
      <c r="AO149" s="231"/>
      <c r="AP149" s="231"/>
      <c r="AQ149" s="231"/>
      <c r="AR149" s="231"/>
    </row>
    <row r="150" spans="1:44" s="31" customFormat="1" ht="26.25" customHeight="1" x14ac:dyDescent="0.2">
      <c r="A150" s="230" t="s">
        <v>73</v>
      </c>
      <c r="B150" s="54" t="s">
        <v>551</v>
      </c>
      <c r="C150" s="60" t="s">
        <v>45</v>
      </c>
      <c r="D150" s="60" t="s">
        <v>46</v>
      </c>
      <c r="E150" s="60" t="s">
        <v>70</v>
      </c>
      <c r="F150" s="52">
        <v>140.4</v>
      </c>
      <c r="G150" s="52">
        <v>140.4</v>
      </c>
      <c r="H150" s="315">
        <f t="shared" si="22"/>
        <v>0</v>
      </c>
      <c r="I150" s="52">
        <v>140.4</v>
      </c>
      <c r="J150" s="52">
        <v>140.4</v>
      </c>
      <c r="K150" s="315">
        <f t="shared" si="41"/>
        <v>0</v>
      </c>
      <c r="L150" s="52">
        <v>140.4</v>
      </c>
      <c r="M150" s="320">
        <f t="shared" si="25"/>
        <v>0</v>
      </c>
      <c r="N150" s="65">
        <v>140.4</v>
      </c>
      <c r="O150" s="52">
        <v>140.4</v>
      </c>
      <c r="P150" s="315">
        <f t="shared" si="26"/>
        <v>0</v>
      </c>
      <c r="Q150" s="39"/>
      <c r="R150" s="40"/>
      <c r="S150" s="40"/>
      <c r="T150" s="214"/>
      <c r="U150" s="214"/>
      <c r="V150" s="231"/>
      <c r="W150" s="231"/>
      <c r="X150" s="231"/>
      <c r="Y150" s="231"/>
      <c r="Z150" s="231"/>
      <c r="AA150" s="231"/>
      <c r="AB150" s="231"/>
      <c r="AC150" s="231"/>
      <c r="AD150" s="231"/>
      <c r="AE150" s="231"/>
      <c r="AF150" s="231"/>
      <c r="AG150" s="231"/>
      <c r="AH150" s="231"/>
      <c r="AI150" s="231"/>
      <c r="AJ150" s="231"/>
      <c r="AK150" s="231"/>
      <c r="AL150" s="231"/>
      <c r="AM150" s="231"/>
      <c r="AN150" s="231"/>
      <c r="AO150" s="231"/>
      <c r="AP150" s="231"/>
      <c r="AQ150" s="231"/>
      <c r="AR150" s="231"/>
    </row>
    <row r="151" spans="1:44" s="31" customFormat="1" ht="15.75" customHeight="1" x14ac:dyDescent="0.2">
      <c r="A151" s="62" t="s">
        <v>66</v>
      </c>
      <c r="B151" s="54" t="s">
        <v>636</v>
      </c>
      <c r="C151" s="60"/>
      <c r="D151" s="60"/>
      <c r="E151" s="60"/>
      <c r="F151" s="52">
        <f t="shared" ref="F151:O153" si="43">F152</f>
        <v>1311</v>
      </c>
      <c r="G151" s="52">
        <f t="shared" si="43"/>
        <v>1311</v>
      </c>
      <c r="H151" s="315">
        <f t="shared" si="22"/>
        <v>0</v>
      </c>
      <c r="I151" s="52">
        <f t="shared" si="43"/>
        <v>800</v>
      </c>
      <c r="J151" s="52">
        <f t="shared" si="43"/>
        <v>1311</v>
      </c>
      <c r="K151" s="315">
        <f t="shared" si="41"/>
        <v>0</v>
      </c>
      <c r="L151" s="52">
        <f t="shared" si="43"/>
        <v>800</v>
      </c>
      <c r="M151" s="320">
        <f t="shared" si="25"/>
        <v>0</v>
      </c>
      <c r="N151" s="65">
        <f t="shared" si="43"/>
        <v>800</v>
      </c>
      <c r="O151" s="52">
        <f t="shared" si="43"/>
        <v>800</v>
      </c>
      <c r="P151" s="315">
        <f t="shared" si="26"/>
        <v>0</v>
      </c>
      <c r="Q151" s="39"/>
      <c r="R151" s="40"/>
      <c r="S151" s="40"/>
      <c r="T151" s="214"/>
      <c r="U151" s="214"/>
      <c r="V151" s="231"/>
      <c r="W151" s="231"/>
      <c r="X151" s="231"/>
      <c r="Y151" s="231"/>
      <c r="Z151" s="231"/>
      <c r="AA151" s="231"/>
      <c r="AB151" s="231"/>
      <c r="AC151" s="231"/>
      <c r="AD151" s="231"/>
      <c r="AE151" s="231"/>
      <c r="AF151" s="231"/>
      <c r="AG151" s="231"/>
      <c r="AH151" s="231"/>
      <c r="AI151" s="231"/>
      <c r="AJ151" s="231"/>
      <c r="AK151" s="231"/>
      <c r="AL151" s="231"/>
      <c r="AM151" s="231"/>
      <c r="AN151" s="231"/>
      <c r="AO151" s="231"/>
      <c r="AP151" s="231"/>
      <c r="AQ151" s="231"/>
      <c r="AR151" s="231"/>
    </row>
    <row r="152" spans="1:44" s="31" customFormat="1" ht="26.25" customHeight="1" x14ac:dyDescent="0.2">
      <c r="A152" s="62" t="s">
        <v>672</v>
      </c>
      <c r="B152" s="54" t="s">
        <v>634</v>
      </c>
      <c r="C152" s="60" t="s">
        <v>45</v>
      </c>
      <c r="D152" s="60" t="s">
        <v>108</v>
      </c>
      <c r="E152" s="60"/>
      <c r="F152" s="52">
        <f t="shared" si="43"/>
        <v>1311</v>
      </c>
      <c r="G152" s="52">
        <f t="shared" si="43"/>
        <v>1311</v>
      </c>
      <c r="H152" s="315">
        <f t="shared" ref="H152:H227" si="44">G152-F152</f>
        <v>0</v>
      </c>
      <c r="I152" s="52">
        <f t="shared" si="43"/>
        <v>800</v>
      </c>
      <c r="J152" s="52">
        <f t="shared" si="43"/>
        <v>1311</v>
      </c>
      <c r="K152" s="315">
        <f t="shared" si="41"/>
        <v>0</v>
      </c>
      <c r="L152" s="52">
        <f t="shared" si="43"/>
        <v>800</v>
      </c>
      <c r="M152" s="320">
        <f t="shared" ref="M152:M227" si="45">L152-I152</f>
        <v>0</v>
      </c>
      <c r="N152" s="65">
        <f t="shared" si="43"/>
        <v>800</v>
      </c>
      <c r="O152" s="52">
        <f t="shared" si="43"/>
        <v>800</v>
      </c>
      <c r="P152" s="315">
        <f t="shared" ref="P152:P227" si="46">O152-N152</f>
        <v>0</v>
      </c>
      <c r="Q152" s="39"/>
      <c r="R152" s="40"/>
      <c r="S152" s="40"/>
      <c r="T152" s="214"/>
      <c r="U152" s="214"/>
      <c r="V152" s="231"/>
      <c r="W152" s="231"/>
      <c r="X152" s="231"/>
      <c r="Y152" s="231"/>
      <c r="Z152" s="231"/>
      <c r="AA152" s="231"/>
      <c r="AB152" s="231"/>
      <c r="AC152" s="231"/>
      <c r="AD152" s="231"/>
      <c r="AE152" s="231"/>
      <c r="AF152" s="231"/>
      <c r="AG152" s="231"/>
      <c r="AH152" s="231"/>
      <c r="AI152" s="231"/>
      <c r="AJ152" s="231"/>
      <c r="AK152" s="231"/>
      <c r="AL152" s="231"/>
      <c r="AM152" s="231"/>
      <c r="AN152" s="231"/>
      <c r="AO152" s="231"/>
      <c r="AP152" s="231"/>
      <c r="AQ152" s="231"/>
      <c r="AR152" s="231"/>
    </row>
    <row r="153" spans="1:44" s="31" customFormat="1" ht="27" customHeight="1" x14ac:dyDescent="0.2">
      <c r="A153" s="56" t="s">
        <v>633</v>
      </c>
      <c r="B153" s="54" t="s">
        <v>632</v>
      </c>
      <c r="C153" s="60" t="s">
        <v>45</v>
      </c>
      <c r="D153" s="60" t="s">
        <v>108</v>
      </c>
      <c r="E153" s="60"/>
      <c r="F153" s="52">
        <f t="shared" si="43"/>
        <v>1311</v>
      </c>
      <c r="G153" s="52">
        <f t="shared" si="43"/>
        <v>1311</v>
      </c>
      <c r="H153" s="315">
        <f t="shared" si="44"/>
        <v>0</v>
      </c>
      <c r="I153" s="52">
        <f t="shared" si="43"/>
        <v>800</v>
      </c>
      <c r="J153" s="52">
        <f t="shared" si="43"/>
        <v>1311</v>
      </c>
      <c r="K153" s="315">
        <f t="shared" si="41"/>
        <v>0</v>
      </c>
      <c r="L153" s="52">
        <f t="shared" si="43"/>
        <v>800</v>
      </c>
      <c r="M153" s="320">
        <f t="shared" si="45"/>
        <v>0</v>
      </c>
      <c r="N153" s="65">
        <f t="shared" si="43"/>
        <v>800</v>
      </c>
      <c r="O153" s="52">
        <f t="shared" si="43"/>
        <v>800</v>
      </c>
      <c r="P153" s="315">
        <f t="shared" si="46"/>
        <v>0</v>
      </c>
      <c r="Q153" s="39"/>
      <c r="R153" s="40"/>
      <c r="S153" s="40"/>
      <c r="T153" s="214"/>
      <c r="U153" s="214"/>
      <c r="V153" s="231"/>
      <c r="W153" s="231"/>
      <c r="X153" s="231"/>
      <c r="Y153" s="231"/>
      <c r="Z153" s="231"/>
      <c r="AA153" s="231"/>
      <c r="AB153" s="231"/>
      <c r="AC153" s="231"/>
      <c r="AD153" s="231"/>
      <c r="AE153" s="231"/>
      <c r="AF153" s="231"/>
      <c r="AG153" s="231"/>
      <c r="AH153" s="231"/>
      <c r="AI153" s="231"/>
      <c r="AJ153" s="231"/>
      <c r="AK153" s="231"/>
      <c r="AL153" s="231"/>
      <c r="AM153" s="231"/>
      <c r="AN153" s="231"/>
      <c r="AO153" s="231"/>
      <c r="AP153" s="231"/>
      <c r="AQ153" s="231"/>
      <c r="AR153" s="231"/>
    </row>
    <row r="154" spans="1:44" s="31" customFormat="1" ht="27" customHeight="1" x14ac:dyDescent="0.2">
      <c r="A154" s="56" t="s">
        <v>73</v>
      </c>
      <c r="B154" s="54" t="s">
        <v>632</v>
      </c>
      <c r="C154" s="60" t="s">
        <v>45</v>
      </c>
      <c r="D154" s="60" t="s">
        <v>108</v>
      </c>
      <c r="E154" s="60" t="s">
        <v>70</v>
      </c>
      <c r="F154" s="52">
        <f>1911-600</f>
        <v>1311</v>
      </c>
      <c r="G154" s="52">
        <f>1911-600</f>
        <v>1311</v>
      </c>
      <c r="H154" s="315">
        <f t="shared" si="44"/>
        <v>0</v>
      </c>
      <c r="I154" s="52">
        <v>800</v>
      </c>
      <c r="J154" s="52">
        <f>1911-600</f>
        <v>1311</v>
      </c>
      <c r="K154" s="315">
        <f t="shared" si="41"/>
        <v>0</v>
      </c>
      <c r="L154" s="52">
        <v>800</v>
      </c>
      <c r="M154" s="320">
        <f t="shared" si="45"/>
        <v>0</v>
      </c>
      <c r="N154" s="65">
        <v>800</v>
      </c>
      <c r="O154" s="52">
        <v>800</v>
      </c>
      <c r="P154" s="315">
        <f t="shared" si="46"/>
        <v>0</v>
      </c>
      <c r="Q154" s="39"/>
      <c r="R154" s="40"/>
      <c r="S154" s="40"/>
      <c r="T154" s="214"/>
      <c r="U154" s="214"/>
      <c r="V154" s="231"/>
      <c r="W154" s="231"/>
      <c r="X154" s="231"/>
      <c r="Y154" s="231"/>
      <c r="Z154" s="231"/>
      <c r="AA154" s="231"/>
      <c r="AB154" s="231"/>
      <c r="AC154" s="231"/>
      <c r="AD154" s="231"/>
      <c r="AE154" s="231"/>
      <c r="AF154" s="231"/>
      <c r="AG154" s="231"/>
      <c r="AH154" s="231"/>
      <c r="AI154" s="231"/>
      <c r="AJ154" s="231"/>
      <c r="AK154" s="231"/>
      <c r="AL154" s="231"/>
      <c r="AM154" s="231"/>
      <c r="AN154" s="231"/>
      <c r="AO154" s="231"/>
      <c r="AP154" s="231"/>
      <c r="AQ154" s="231"/>
      <c r="AR154" s="231"/>
    </row>
    <row r="155" spans="1:44" s="31" customFormat="1" ht="29.25" customHeight="1" x14ac:dyDescent="0.2">
      <c r="A155" s="232" t="s">
        <v>715</v>
      </c>
      <c r="B155" s="225" t="s">
        <v>67</v>
      </c>
      <c r="C155" s="226"/>
      <c r="D155" s="226"/>
      <c r="E155" s="226"/>
      <c r="F155" s="244">
        <f>F156+F203</f>
        <v>173256.19999999998</v>
      </c>
      <c r="G155" s="244">
        <f>G156+G203</f>
        <v>429442</v>
      </c>
      <c r="H155" s="315">
        <f t="shared" si="44"/>
        <v>256185.80000000002</v>
      </c>
      <c r="I155" s="244">
        <f>I156+I203</f>
        <v>96968.7</v>
      </c>
      <c r="J155" s="244">
        <f>J156+J203</f>
        <v>427411.20000000007</v>
      </c>
      <c r="K155" s="315">
        <f t="shared" si="41"/>
        <v>-2030.7999999999302</v>
      </c>
      <c r="L155" s="244">
        <f>L156+L203</f>
        <v>96968.7</v>
      </c>
      <c r="M155" s="320">
        <f t="shared" si="45"/>
        <v>0</v>
      </c>
      <c r="N155" s="244">
        <f>N156+N203</f>
        <v>94763.400000000009</v>
      </c>
      <c r="O155" s="244">
        <f>O156+O203</f>
        <v>94763.400000000009</v>
      </c>
      <c r="P155" s="315">
        <f t="shared" si="46"/>
        <v>0</v>
      </c>
      <c r="Q155" s="39"/>
      <c r="R155" s="40"/>
      <c r="S155" s="40"/>
      <c r="T155" s="214"/>
      <c r="U155" s="214"/>
      <c r="V155" s="231"/>
      <c r="W155" s="231"/>
      <c r="X155" s="231"/>
      <c r="Y155" s="231"/>
      <c r="Z155" s="231"/>
      <c r="AA155" s="231"/>
      <c r="AB155" s="231"/>
      <c r="AC155" s="231"/>
      <c r="AD155" s="231"/>
      <c r="AE155" s="231"/>
      <c r="AF155" s="231"/>
      <c r="AG155" s="231"/>
      <c r="AH155" s="231"/>
      <c r="AI155" s="231"/>
      <c r="AJ155" s="231"/>
      <c r="AK155" s="231"/>
      <c r="AL155" s="231"/>
      <c r="AM155" s="231"/>
      <c r="AN155" s="231"/>
      <c r="AO155" s="231"/>
      <c r="AP155" s="231"/>
      <c r="AQ155" s="231"/>
      <c r="AR155" s="231"/>
    </row>
    <row r="156" spans="1:44" s="31" customFormat="1" x14ac:dyDescent="0.2">
      <c r="A156" s="62" t="s">
        <v>66</v>
      </c>
      <c r="B156" s="54" t="s">
        <v>65</v>
      </c>
      <c r="C156" s="60"/>
      <c r="D156" s="60"/>
      <c r="E156" s="60"/>
      <c r="F156" s="52">
        <f>F157+F175+F180+F183+F192+F197</f>
        <v>85415.499999999985</v>
      </c>
      <c r="G156" s="52">
        <f>G157+G175+G180+G183+G192+G197+G200</f>
        <v>336868.89999999997</v>
      </c>
      <c r="H156" s="52">
        <f t="shared" ref="H156:O156" si="47">H157+H175+H180+H183+H192+H197+H200</f>
        <v>251453.39999999994</v>
      </c>
      <c r="I156" s="52">
        <f t="shared" si="47"/>
        <v>4091.9000000000005</v>
      </c>
      <c r="J156" s="52">
        <f t="shared" si="47"/>
        <v>337423.10000000003</v>
      </c>
      <c r="K156" s="315">
        <f t="shared" si="41"/>
        <v>554.20000000006985</v>
      </c>
      <c r="L156" s="52">
        <f t="shared" si="47"/>
        <v>4091.9000000000005</v>
      </c>
      <c r="M156" s="52">
        <f t="shared" si="47"/>
        <v>0</v>
      </c>
      <c r="N156" s="52">
        <f t="shared" si="47"/>
        <v>1986.6</v>
      </c>
      <c r="O156" s="52">
        <f t="shared" si="47"/>
        <v>1986.6</v>
      </c>
      <c r="P156" s="315">
        <f t="shared" si="46"/>
        <v>0</v>
      </c>
      <c r="Q156" s="39"/>
      <c r="R156" s="40"/>
      <c r="S156" s="40"/>
      <c r="T156" s="214"/>
      <c r="U156" s="214"/>
      <c r="V156" s="231"/>
      <c r="W156" s="231"/>
      <c r="X156" s="231"/>
      <c r="Y156" s="231"/>
      <c r="Z156" s="231"/>
      <c r="AA156" s="231"/>
      <c r="AB156" s="231"/>
      <c r="AC156" s="231"/>
      <c r="AD156" s="231"/>
      <c r="AE156" s="231"/>
      <c r="AF156" s="231"/>
      <c r="AG156" s="231"/>
      <c r="AH156" s="231"/>
      <c r="AI156" s="231"/>
      <c r="AJ156" s="231"/>
      <c r="AK156" s="231"/>
      <c r="AL156" s="231"/>
      <c r="AM156" s="231"/>
      <c r="AN156" s="231"/>
      <c r="AO156" s="231"/>
      <c r="AP156" s="231"/>
      <c r="AQ156" s="231"/>
      <c r="AR156" s="231"/>
    </row>
    <row r="157" spans="1:44" s="31" customFormat="1" ht="25.5" x14ac:dyDescent="0.2">
      <c r="A157" s="62" t="s">
        <v>170</v>
      </c>
      <c r="B157" s="54" t="s">
        <v>169</v>
      </c>
      <c r="C157" s="60"/>
      <c r="D157" s="60"/>
      <c r="E157" s="60"/>
      <c r="F157" s="52">
        <f>F163+F171+F167+F160+F158</f>
        <v>83328.899999999994</v>
      </c>
      <c r="G157" s="52">
        <f t="shared" ref="G157:O157" si="48">G163+G171+G167+G160+G158</f>
        <v>313250.29999999993</v>
      </c>
      <c r="H157" s="315">
        <f t="shared" si="44"/>
        <v>229921.39999999994</v>
      </c>
      <c r="I157" s="52">
        <f t="shared" si="48"/>
        <v>2105.3000000000002</v>
      </c>
      <c r="J157" s="52">
        <f t="shared" si="48"/>
        <v>313744.90000000002</v>
      </c>
      <c r="K157" s="315">
        <f t="shared" si="41"/>
        <v>494.60000000009313</v>
      </c>
      <c r="L157" s="52">
        <f t="shared" si="48"/>
        <v>2105.3000000000002</v>
      </c>
      <c r="M157" s="320">
        <f t="shared" si="45"/>
        <v>0</v>
      </c>
      <c r="N157" s="52">
        <f t="shared" si="48"/>
        <v>0</v>
      </c>
      <c r="O157" s="52">
        <f t="shared" si="48"/>
        <v>0</v>
      </c>
      <c r="P157" s="315">
        <f t="shared" si="46"/>
        <v>0</v>
      </c>
      <c r="Q157" s="39"/>
      <c r="R157" s="40"/>
      <c r="S157" s="40"/>
      <c r="T157" s="214"/>
      <c r="U157" s="214"/>
      <c r="V157" s="231"/>
      <c r="W157" s="231"/>
      <c r="X157" s="231"/>
      <c r="Y157" s="231"/>
      <c r="Z157" s="231"/>
      <c r="AA157" s="231"/>
      <c r="AB157" s="231"/>
      <c r="AC157" s="231"/>
      <c r="AD157" s="231"/>
      <c r="AE157" s="231"/>
      <c r="AF157" s="231"/>
      <c r="AG157" s="231"/>
      <c r="AH157" s="231"/>
      <c r="AI157" s="231"/>
      <c r="AJ157" s="231"/>
      <c r="AK157" s="231"/>
      <c r="AL157" s="231"/>
      <c r="AM157" s="231"/>
      <c r="AN157" s="231"/>
      <c r="AO157" s="231"/>
      <c r="AP157" s="231"/>
      <c r="AQ157" s="231"/>
      <c r="AR157" s="231"/>
    </row>
    <row r="158" spans="1:44" s="31" customFormat="1" ht="25.5" x14ac:dyDescent="0.2">
      <c r="A158" s="62" t="s">
        <v>1089</v>
      </c>
      <c r="B158" s="54" t="s">
        <v>1088</v>
      </c>
      <c r="C158" s="60" t="s">
        <v>166</v>
      </c>
      <c r="D158" s="60" t="s">
        <v>45</v>
      </c>
      <c r="E158" s="60"/>
      <c r="F158" s="52">
        <f>F159</f>
        <v>0</v>
      </c>
      <c r="G158" s="52">
        <f t="shared" ref="G158:O158" si="49">G159</f>
        <v>1636.6</v>
      </c>
      <c r="H158" s="315">
        <f t="shared" si="44"/>
        <v>1636.6</v>
      </c>
      <c r="I158" s="52">
        <f t="shared" si="49"/>
        <v>0</v>
      </c>
      <c r="J158" s="52">
        <f t="shared" si="49"/>
        <v>1636.6</v>
      </c>
      <c r="K158" s="315">
        <f t="shared" si="41"/>
        <v>0</v>
      </c>
      <c r="L158" s="52">
        <f t="shared" si="49"/>
        <v>0</v>
      </c>
      <c r="M158" s="320">
        <f t="shared" si="45"/>
        <v>0</v>
      </c>
      <c r="N158" s="52">
        <f t="shared" si="49"/>
        <v>0</v>
      </c>
      <c r="O158" s="52">
        <f t="shared" si="49"/>
        <v>0</v>
      </c>
      <c r="P158" s="315">
        <f t="shared" si="46"/>
        <v>0</v>
      </c>
      <c r="Q158" s="39"/>
      <c r="R158" s="40"/>
      <c r="S158" s="40"/>
      <c r="T158" s="214"/>
      <c r="U158" s="214"/>
      <c r="V158" s="231"/>
      <c r="W158" s="231"/>
      <c r="X158" s="231"/>
      <c r="Y158" s="231"/>
      <c r="Z158" s="231"/>
      <c r="AA158" s="231"/>
      <c r="AB158" s="231"/>
      <c r="AC158" s="231"/>
      <c r="AD158" s="231"/>
      <c r="AE158" s="231"/>
      <c r="AF158" s="231"/>
      <c r="AG158" s="231"/>
      <c r="AH158" s="231"/>
      <c r="AI158" s="231"/>
      <c r="AJ158" s="231"/>
      <c r="AK158" s="231"/>
      <c r="AL158" s="231"/>
      <c r="AM158" s="231"/>
      <c r="AN158" s="231"/>
      <c r="AO158" s="231"/>
      <c r="AP158" s="231"/>
      <c r="AQ158" s="231"/>
      <c r="AR158" s="231"/>
    </row>
    <row r="159" spans="1:44" s="31" customFormat="1" x14ac:dyDescent="0.2">
      <c r="A159" s="61" t="s">
        <v>61</v>
      </c>
      <c r="B159" s="54" t="s">
        <v>1088</v>
      </c>
      <c r="C159" s="60" t="s">
        <v>166</v>
      </c>
      <c r="D159" s="60" t="s">
        <v>45</v>
      </c>
      <c r="E159" s="60" t="s">
        <v>57</v>
      </c>
      <c r="F159" s="52">
        <v>0</v>
      </c>
      <c r="G159" s="52">
        <f>1636.6</f>
        <v>1636.6</v>
      </c>
      <c r="H159" s="315">
        <f t="shared" si="44"/>
        <v>1636.6</v>
      </c>
      <c r="I159" s="52">
        <v>0</v>
      </c>
      <c r="J159" s="52">
        <f>1636.6</f>
        <v>1636.6</v>
      </c>
      <c r="K159" s="315">
        <f t="shared" si="41"/>
        <v>0</v>
      </c>
      <c r="L159" s="52">
        <v>0</v>
      </c>
      <c r="M159" s="320">
        <f t="shared" si="45"/>
        <v>0</v>
      </c>
      <c r="N159" s="52">
        <v>0</v>
      </c>
      <c r="O159" s="52">
        <v>0</v>
      </c>
      <c r="P159" s="315">
        <f t="shared" si="46"/>
        <v>0</v>
      </c>
      <c r="Q159" s="39"/>
      <c r="R159" s="40"/>
      <c r="S159" s="40"/>
      <c r="T159" s="214"/>
      <c r="U159" s="214"/>
      <c r="V159" s="231"/>
      <c r="W159" s="231"/>
      <c r="X159" s="231"/>
      <c r="Y159" s="231"/>
      <c r="Z159" s="231"/>
      <c r="AA159" s="231"/>
      <c r="AB159" s="231"/>
      <c r="AC159" s="231"/>
      <c r="AD159" s="231"/>
      <c r="AE159" s="231"/>
      <c r="AF159" s="231"/>
      <c r="AG159" s="231"/>
      <c r="AH159" s="231"/>
      <c r="AI159" s="231"/>
      <c r="AJ159" s="231"/>
      <c r="AK159" s="231"/>
      <c r="AL159" s="231"/>
      <c r="AM159" s="231"/>
      <c r="AN159" s="231"/>
      <c r="AO159" s="231"/>
      <c r="AP159" s="231"/>
      <c r="AQ159" s="231"/>
      <c r="AR159" s="231"/>
    </row>
    <row r="160" spans="1:44" s="31" customFormat="1" ht="25.5" x14ac:dyDescent="0.2">
      <c r="A160" s="75" t="s">
        <v>190</v>
      </c>
      <c r="B160" s="54" t="s">
        <v>189</v>
      </c>
      <c r="C160" s="60" t="s">
        <v>166</v>
      </c>
      <c r="D160" s="60" t="s">
        <v>45</v>
      </c>
      <c r="E160" s="60"/>
      <c r="F160" s="52">
        <f>F161+F162</f>
        <v>365</v>
      </c>
      <c r="G160" s="52">
        <f>G161+G162</f>
        <v>365</v>
      </c>
      <c r="H160" s="315">
        <f t="shared" si="44"/>
        <v>0</v>
      </c>
      <c r="I160" s="52">
        <f t="shared" ref="I160" si="50">I161+I162</f>
        <v>0</v>
      </c>
      <c r="J160" s="52">
        <f>J161+J162</f>
        <v>365</v>
      </c>
      <c r="K160" s="315">
        <f t="shared" si="41"/>
        <v>0</v>
      </c>
      <c r="L160" s="52">
        <f t="shared" ref="L160:O160" si="51">L161+L162</f>
        <v>0</v>
      </c>
      <c r="M160" s="320">
        <f t="shared" si="45"/>
        <v>0</v>
      </c>
      <c r="N160" s="52">
        <f t="shared" ref="N160" si="52">N161+N162</f>
        <v>0</v>
      </c>
      <c r="O160" s="52">
        <f t="shared" si="51"/>
        <v>0</v>
      </c>
      <c r="P160" s="315">
        <f t="shared" si="46"/>
        <v>0</v>
      </c>
      <c r="Q160" s="39"/>
      <c r="R160" s="40"/>
      <c r="S160" s="40"/>
      <c r="T160" s="214"/>
      <c r="U160" s="214"/>
      <c r="V160" s="231"/>
      <c r="W160" s="231"/>
      <c r="X160" s="231"/>
      <c r="Y160" s="231"/>
      <c r="Z160" s="231"/>
      <c r="AA160" s="231"/>
      <c r="AB160" s="231"/>
      <c r="AC160" s="231"/>
      <c r="AD160" s="231"/>
      <c r="AE160" s="231"/>
      <c r="AF160" s="231"/>
      <c r="AG160" s="231"/>
      <c r="AH160" s="231"/>
      <c r="AI160" s="231"/>
      <c r="AJ160" s="231"/>
      <c r="AK160" s="231"/>
      <c r="AL160" s="231"/>
      <c r="AM160" s="231"/>
      <c r="AN160" s="231"/>
      <c r="AO160" s="231"/>
      <c r="AP160" s="231"/>
      <c r="AQ160" s="231"/>
      <c r="AR160" s="231"/>
    </row>
    <row r="161" spans="1:44" s="31" customFormat="1" x14ac:dyDescent="0.2">
      <c r="A161" s="97" t="s">
        <v>98</v>
      </c>
      <c r="B161" s="54" t="s">
        <v>189</v>
      </c>
      <c r="C161" s="60" t="s">
        <v>166</v>
      </c>
      <c r="D161" s="60" t="s">
        <v>45</v>
      </c>
      <c r="E161" s="60" t="s">
        <v>81</v>
      </c>
      <c r="F161" s="52">
        <v>205</v>
      </c>
      <c r="G161" s="52">
        <f>205+55</f>
        <v>260</v>
      </c>
      <c r="H161" s="315">
        <f t="shared" si="44"/>
        <v>55</v>
      </c>
      <c r="I161" s="52">
        <v>0</v>
      </c>
      <c r="J161" s="52">
        <f>205+55</f>
        <v>260</v>
      </c>
      <c r="K161" s="315">
        <f t="shared" si="41"/>
        <v>0</v>
      </c>
      <c r="L161" s="52">
        <v>0</v>
      </c>
      <c r="M161" s="320">
        <f t="shared" si="45"/>
        <v>0</v>
      </c>
      <c r="N161" s="65">
        <v>0</v>
      </c>
      <c r="O161" s="52">
        <v>0</v>
      </c>
      <c r="P161" s="315">
        <f t="shared" si="46"/>
        <v>0</v>
      </c>
      <c r="Q161" s="39"/>
      <c r="R161" s="40"/>
      <c r="S161" s="40"/>
      <c r="T161" s="214"/>
      <c r="U161" s="214"/>
      <c r="V161" s="231"/>
      <c r="W161" s="231"/>
      <c r="X161" s="231"/>
      <c r="Y161" s="231"/>
      <c r="Z161" s="231"/>
      <c r="AA161" s="231"/>
      <c r="AB161" s="231"/>
      <c r="AC161" s="231"/>
      <c r="AD161" s="231"/>
      <c r="AE161" s="231"/>
      <c r="AF161" s="231"/>
      <c r="AG161" s="231"/>
      <c r="AH161" s="231"/>
      <c r="AI161" s="231"/>
      <c r="AJ161" s="231"/>
      <c r="AK161" s="231"/>
      <c r="AL161" s="231"/>
      <c r="AM161" s="231"/>
      <c r="AN161" s="231"/>
      <c r="AO161" s="231"/>
      <c r="AP161" s="231"/>
      <c r="AQ161" s="231"/>
      <c r="AR161" s="231"/>
    </row>
    <row r="162" spans="1:44" s="31" customFormat="1" x14ac:dyDescent="0.2">
      <c r="A162" s="61" t="s">
        <v>61</v>
      </c>
      <c r="B162" s="54" t="s">
        <v>189</v>
      </c>
      <c r="C162" s="60" t="s">
        <v>166</v>
      </c>
      <c r="D162" s="60" t="s">
        <v>45</v>
      </c>
      <c r="E162" s="60" t="s">
        <v>57</v>
      </c>
      <c r="F162" s="52">
        <f>160</f>
        <v>160</v>
      </c>
      <c r="G162" s="52">
        <f>160-55</f>
        <v>105</v>
      </c>
      <c r="H162" s="315">
        <f t="shared" si="44"/>
        <v>-55</v>
      </c>
      <c r="I162" s="52">
        <v>0</v>
      </c>
      <c r="J162" s="52">
        <f>160-55</f>
        <v>105</v>
      </c>
      <c r="K162" s="315">
        <f t="shared" si="41"/>
        <v>0</v>
      </c>
      <c r="L162" s="52">
        <v>0</v>
      </c>
      <c r="M162" s="320">
        <f t="shared" si="45"/>
        <v>0</v>
      </c>
      <c r="N162" s="65">
        <v>0</v>
      </c>
      <c r="O162" s="52">
        <v>0</v>
      </c>
      <c r="P162" s="315">
        <f t="shared" si="46"/>
        <v>0</v>
      </c>
      <c r="Q162" s="39"/>
      <c r="R162" s="40"/>
      <c r="S162" s="40"/>
      <c r="T162" s="214"/>
      <c r="U162" s="214"/>
      <c r="V162" s="231"/>
      <c r="W162" s="231"/>
      <c r="X162" s="231"/>
      <c r="Y162" s="231"/>
      <c r="Z162" s="231"/>
      <c r="AA162" s="231"/>
      <c r="AB162" s="231"/>
      <c r="AC162" s="231"/>
      <c r="AD162" s="231"/>
      <c r="AE162" s="231"/>
      <c r="AF162" s="231"/>
      <c r="AG162" s="231"/>
      <c r="AH162" s="231"/>
      <c r="AI162" s="231"/>
      <c r="AJ162" s="231"/>
      <c r="AK162" s="231"/>
      <c r="AL162" s="231"/>
      <c r="AM162" s="231"/>
      <c r="AN162" s="231"/>
      <c r="AO162" s="231"/>
      <c r="AP162" s="231"/>
      <c r="AQ162" s="231"/>
      <c r="AR162" s="231"/>
    </row>
    <row r="163" spans="1:44" s="31" customFormat="1" ht="42" customHeight="1" x14ac:dyDescent="0.2">
      <c r="A163" s="62" t="s">
        <v>188</v>
      </c>
      <c r="B163" s="54" t="s">
        <v>187</v>
      </c>
      <c r="C163" s="60" t="s">
        <v>166</v>
      </c>
      <c r="D163" s="60" t="s">
        <v>45</v>
      </c>
      <c r="E163" s="60"/>
      <c r="F163" s="52">
        <f>F165+F166+F164</f>
        <v>10215</v>
      </c>
      <c r="G163" s="52">
        <f>G165+G166+G164</f>
        <v>10630.100000000002</v>
      </c>
      <c r="H163" s="315">
        <f t="shared" si="44"/>
        <v>415.10000000000218</v>
      </c>
      <c r="I163" s="52">
        <f>I165+I166+I164</f>
        <v>2105.3000000000002</v>
      </c>
      <c r="J163" s="52">
        <f>J165+J166+J164</f>
        <v>11124.7</v>
      </c>
      <c r="K163" s="315">
        <f t="shared" si="41"/>
        <v>494.59999999999854</v>
      </c>
      <c r="L163" s="52">
        <f>L165+L166+L164</f>
        <v>2105.3000000000002</v>
      </c>
      <c r="M163" s="320">
        <f t="shared" si="45"/>
        <v>0</v>
      </c>
      <c r="N163" s="65">
        <f>N165+N166+N164</f>
        <v>0</v>
      </c>
      <c r="O163" s="52">
        <f>O165+O166+O164</f>
        <v>0</v>
      </c>
      <c r="P163" s="315">
        <f t="shared" si="46"/>
        <v>0</v>
      </c>
      <c r="Q163" s="39"/>
      <c r="R163" s="40"/>
      <c r="S163" s="40"/>
      <c r="T163" s="214"/>
      <c r="U163" s="214"/>
      <c r="V163" s="231"/>
      <c r="W163" s="231"/>
      <c r="X163" s="231"/>
      <c r="Y163" s="231"/>
      <c r="Z163" s="231"/>
      <c r="AA163" s="231"/>
      <c r="AB163" s="231"/>
      <c r="AC163" s="231"/>
      <c r="AD163" s="231"/>
      <c r="AE163" s="231"/>
      <c r="AF163" s="231"/>
      <c r="AG163" s="231"/>
      <c r="AH163" s="231"/>
      <c r="AI163" s="231"/>
      <c r="AJ163" s="231"/>
      <c r="AK163" s="231"/>
      <c r="AL163" s="231"/>
      <c r="AM163" s="231"/>
      <c r="AN163" s="231"/>
      <c r="AO163" s="231"/>
      <c r="AP163" s="231"/>
      <c r="AQ163" s="231"/>
      <c r="AR163" s="231"/>
    </row>
    <row r="164" spans="1:44" s="31" customFormat="1" ht="26.25" customHeight="1" x14ac:dyDescent="0.2">
      <c r="A164" s="84" t="s">
        <v>73</v>
      </c>
      <c r="B164" s="54" t="s">
        <v>187</v>
      </c>
      <c r="C164" s="60" t="s">
        <v>166</v>
      </c>
      <c r="D164" s="60" t="s">
        <v>45</v>
      </c>
      <c r="E164" s="60" t="s">
        <v>70</v>
      </c>
      <c r="F164" s="52">
        <f>2500+340+77.3+37.8</f>
        <v>2955.1000000000004</v>
      </c>
      <c r="G164" s="52">
        <f>2500+340+77.3+37.8</f>
        <v>2955.1000000000004</v>
      </c>
      <c r="H164" s="315">
        <f t="shared" si="44"/>
        <v>0</v>
      </c>
      <c r="I164" s="52">
        <v>0</v>
      </c>
      <c r="J164" s="52">
        <f>2500+340+77.3+37.8</f>
        <v>2955.1000000000004</v>
      </c>
      <c r="K164" s="315">
        <f t="shared" si="41"/>
        <v>0</v>
      </c>
      <c r="L164" s="52">
        <v>0</v>
      </c>
      <c r="M164" s="320">
        <f t="shared" si="45"/>
        <v>0</v>
      </c>
      <c r="N164" s="65">
        <v>0</v>
      </c>
      <c r="O164" s="52">
        <v>0</v>
      </c>
      <c r="P164" s="315">
        <f t="shared" si="46"/>
        <v>0</v>
      </c>
      <c r="Q164" s="39"/>
      <c r="R164" s="40"/>
      <c r="S164" s="40"/>
      <c r="T164" s="214"/>
      <c r="U164" s="214"/>
      <c r="V164" s="231"/>
      <c r="W164" s="231"/>
      <c r="X164" s="231"/>
      <c r="Y164" s="231"/>
      <c r="Z164" s="231"/>
      <c r="AA164" s="231"/>
      <c r="AB164" s="231"/>
      <c r="AC164" s="231"/>
      <c r="AD164" s="231"/>
      <c r="AE164" s="231"/>
      <c r="AF164" s="231"/>
      <c r="AG164" s="231"/>
      <c r="AH164" s="231"/>
      <c r="AI164" s="231"/>
      <c r="AJ164" s="231"/>
      <c r="AK164" s="231"/>
      <c r="AL164" s="231"/>
      <c r="AM164" s="231"/>
      <c r="AN164" s="231"/>
      <c r="AO164" s="231"/>
      <c r="AP164" s="231"/>
      <c r="AQ164" s="231"/>
      <c r="AR164" s="231"/>
    </row>
    <row r="165" spans="1:44" s="31" customFormat="1" x14ac:dyDescent="0.2">
      <c r="A165" s="95" t="s">
        <v>82</v>
      </c>
      <c r="B165" s="54" t="s">
        <v>187</v>
      </c>
      <c r="C165" s="60" t="s">
        <v>166</v>
      </c>
      <c r="D165" s="60" t="s">
        <v>45</v>
      </c>
      <c r="E165" s="60" t="s">
        <v>81</v>
      </c>
      <c r="F165" s="52">
        <f>2000+105.3</f>
        <v>2105.3000000000002</v>
      </c>
      <c r="G165" s="52">
        <f>2000+105.3</f>
        <v>2105.3000000000002</v>
      </c>
      <c r="H165" s="315">
        <f t="shared" si="44"/>
        <v>0</v>
      </c>
      <c r="I165" s="52">
        <f>2000+105.3</f>
        <v>2105.3000000000002</v>
      </c>
      <c r="J165" s="52">
        <f>2000+105.3</f>
        <v>2105.3000000000002</v>
      </c>
      <c r="K165" s="315">
        <f t="shared" si="41"/>
        <v>0</v>
      </c>
      <c r="L165" s="52">
        <f>2000+105.3</f>
        <v>2105.3000000000002</v>
      </c>
      <c r="M165" s="320">
        <f t="shared" si="45"/>
        <v>0</v>
      </c>
      <c r="N165" s="65">
        <v>0</v>
      </c>
      <c r="O165" s="52">
        <v>0</v>
      </c>
      <c r="P165" s="315">
        <f t="shared" si="46"/>
        <v>0</v>
      </c>
      <c r="Q165" s="39"/>
      <c r="R165" s="40"/>
      <c r="S165" s="40"/>
      <c r="T165" s="214"/>
      <c r="U165" s="214"/>
      <c r="V165" s="231"/>
      <c r="W165" s="231"/>
      <c r="X165" s="231"/>
      <c r="Y165" s="231"/>
      <c r="Z165" s="231"/>
      <c r="AA165" s="231"/>
      <c r="AB165" s="231"/>
      <c r="AC165" s="231"/>
      <c r="AD165" s="231"/>
      <c r="AE165" s="231"/>
      <c r="AF165" s="231"/>
      <c r="AG165" s="231"/>
      <c r="AH165" s="231"/>
      <c r="AI165" s="231"/>
      <c r="AJ165" s="231"/>
      <c r="AK165" s="231"/>
      <c r="AL165" s="231"/>
      <c r="AM165" s="231"/>
      <c r="AN165" s="231"/>
      <c r="AO165" s="231"/>
      <c r="AP165" s="231"/>
      <c r="AQ165" s="231"/>
      <c r="AR165" s="231"/>
    </row>
    <row r="166" spans="1:44" s="31" customFormat="1" ht="14.25" customHeight="1" x14ac:dyDescent="0.2">
      <c r="A166" s="61" t="s">
        <v>61</v>
      </c>
      <c r="B166" s="54" t="s">
        <v>187</v>
      </c>
      <c r="C166" s="60" t="s">
        <v>166</v>
      </c>
      <c r="D166" s="60" t="s">
        <v>45</v>
      </c>
      <c r="E166" s="60" t="s">
        <v>57</v>
      </c>
      <c r="F166" s="52">
        <f>5000+154.6</f>
        <v>5154.6000000000004</v>
      </c>
      <c r="G166" s="52">
        <f>5154.6+415.1</f>
        <v>5569.7000000000007</v>
      </c>
      <c r="H166" s="315">
        <f t="shared" si="44"/>
        <v>415.10000000000036</v>
      </c>
      <c r="I166" s="52">
        <v>0</v>
      </c>
      <c r="J166" s="52">
        <f>5569.7-279.7+774.3</f>
        <v>6064.3</v>
      </c>
      <c r="K166" s="315">
        <f t="shared" si="41"/>
        <v>494.59999999999945</v>
      </c>
      <c r="L166" s="52">
        <v>0</v>
      </c>
      <c r="M166" s="320">
        <f t="shared" si="45"/>
        <v>0</v>
      </c>
      <c r="N166" s="65">
        <v>0</v>
      </c>
      <c r="O166" s="52">
        <v>0</v>
      </c>
      <c r="P166" s="315">
        <f t="shared" si="46"/>
        <v>0</v>
      </c>
      <c r="Q166" s="39"/>
      <c r="R166" s="40"/>
      <c r="S166" s="40"/>
      <c r="T166" s="214"/>
      <c r="U166" s="214"/>
      <c r="V166" s="231"/>
      <c r="W166" s="231"/>
      <c r="X166" s="231"/>
      <c r="Y166" s="231"/>
      <c r="Z166" s="231"/>
      <c r="AA166" s="231"/>
      <c r="AB166" s="231"/>
      <c r="AC166" s="231"/>
      <c r="AD166" s="231"/>
      <c r="AE166" s="231"/>
      <c r="AF166" s="231"/>
      <c r="AG166" s="231"/>
      <c r="AH166" s="231"/>
      <c r="AI166" s="231"/>
      <c r="AJ166" s="231"/>
      <c r="AK166" s="231"/>
      <c r="AL166" s="231"/>
      <c r="AM166" s="231"/>
      <c r="AN166" s="231"/>
      <c r="AO166" s="231"/>
      <c r="AP166" s="231"/>
      <c r="AQ166" s="231"/>
      <c r="AR166" s="231"/>
    </row>
    <row r="167" spans="1:44" s="31" customFormat="1" ht="13.5" customHeight="1" x14ac:dyDescent="0.2">
      <c r="A167" s="62" t="s">
        <v>168</v>
      </c>
      <c r="B167" s="54" t="s">
        <v>165</v>
      </c>
      <c r="C167" s="60" t="s">
        <v>166</v>
      </c>
      <c r="D167" s="60" t="s">
        <v>108</v>
      </c>
      <c r="E167" s="60"/>
      <c r="F167" s="52">
        <f>F169+F168+F170</f>
        <v>69896.899999999994</v>
      </c>
      <c r="G167" s="52">
        <f t="shared" ref="G167:O167" si="53">G169+G168+G170</f>
        <v>297766.59999999998</v>
      </c>
      <c r="H167" s="315">
        <f t="shared" si="44"/>
        <v>227869.69999999998</v>
      </c>
      <c r="I167" s="52">
        <f t="shared" si="53"/>
        <v>0</v>
      </c>
      <c r="J167" s="52">
        <f t="shared" si="53"/>
        <v>297766.60000000003</v>
      </c>
      <c r="K167" s="315">
        <f t="shared" si="41"/>
        <v>0</v>
      </c>
      <c r="L167" s="52">
        <f t="shared" si="53"/>
        <v>0</v>
      </c>
      <c r="M167" s="320">
        <f t="shared" si="45"/>
        <v>0</v>
      </c>
      <c r="N167" s="52">
        <f t="shared" si="53"/>
        <v>0</v>
      </c>
      <c r="O167" s="52">
        <f t="shared" si="53"/>
        <v>0</v>
      </c>
      <c r="P167" s="315">
        <f t="shared" si="46"/>
        <v>0</v>
      </c>
      <c r="Q167" s="233"/>
      <c r="R167" s="40"/>
      <c r="S167" s="40"/>
      <c r="T167" s="214"/>
      <c r="U167" s="214"/>
      <c r="V167" s="231"/>
      <c r="W167" s="231"/>
      <c r="X167" s="231"/>
      <c r="Y167" s="231"/>
      <c r="Z167" s="231"/>
      <c r="AA167" s="231"/>
      <c r="AB167" s="231"/>
      <c r="AC167" s="231"/>
      <c r="AD167" s="231"/>
      <c r="AE167" s="231"/>
      <c r="AF167" s="231"/>
      <c r="AG167" s="231"/>
      <c r="AH167" s="231"/>
      <c r="AI167" s="231"/>
      <c r="AJ167" s="231"/>
      <c r="AK167" s="231"/>
      <c r="AL167" s="231"/>
      <c r="AM167" s="231"/>
      <c r="AN167" s="231"/>
      <c r="AO167" s="231"/>
      <c r="AP167" s="231"/>
      <c r="AQ167" s="231"/>
      <c r="AR167" s="231"/>
    </row>
    <row r="168" spans="1:44" s="31" customFormat="1" ht="25.5" customHeight="1" x14ac:dyDescent="0.2">
      <c r="A168" s="335" t="s">
        <v>73</v>
      </c>
      <c r="B168" s="54" t="s">
        <v>165</v>
      </c>
      <c r="C168" s="60" t="s">
        <v>166</v>
      </c>
      <c r="D168" s="60" t="s">
        <v>108</v>
      </c>
      <c r="E168" s="60" t="s">
        <v>70</v>
      </c>
      <c r="F168" s="52">
        <v>0</v>
      </c>
      <c r="G168" s="52">
        <f>1131.2+1312.2+36575.7-4581.5</f>
        <v>34437.599999999999</v>
      </c>
      <c r="H168" s="315">
        <f t="shared" si="44"/>
        <v>34437.599999999999</v>
      </c>
      <c r="I168" s="52">
        <v>0</v>
      </c>
      <c r="J168" s="52">
        <f>34437.6+7228.8+25</f>
        <v>41691.4</v>
      </c>
      <c r="K168" s="315">
        <f t="shared" si="41"/>
        <v>7253.8000000000029</v>
      </c>
      <c r="L168" s="52">
        <v>0</v>
      </c>
      <c r="M168" s="320">
        <f t="shared" si="45"/>
        <v>0</v>
      </c>
      <c r="N168" s="65">
        <v>0</v>
      </c>
      <c r="O168" s="52">
        <v>0</v>
      </c>
      <c r="P168" s="315">
        <f t="shared" si="46"/>
        <v>0</v>
      </c>
      <c r="Q168" s="39"/>
      <c r="R168" s="40"/>
      <c r="S168" s="40"/>
      <c r="T168" s="214"/>
      <c r="U168" s="214"/>
      <c r="V168" s="231"/>
      <c r="W168" s="231"/>
      <c r="X168" s="231"/>
      <c r="Y168" s="231"/>
      <c r="Z168" s="231"/>
      <c r="AA168" s="231"/>
      <c r="AB168" s="231"/>
      <c r="AC168" s="231"/>
      <c r="AD168" s="231"/>
      <c r="AE168" s="231"/>
      <c r="AF168" s="231"/>
      <c r="AG168" s="231"/>
      <c r="AH168" s="231"/>
      <c r="AI168" s="231"/>
      <c r="AJ168" s="231"/>
      <c r="AK168" s="231"/>
      <c r="AL168" s="231"/>
      <c r="AM168" s="231"/>
      <c r="AN168" s="231"/>
      <c r="AO168" s="231"/>
      <c r="AP168" s="231"/>
      <c r="AQ168" s="231"/>
      <c r="AR168" s="231"/>
    </row>
    <row r="169" spans="1:44" s="31" customFormat="1" ht="14.25" customHeight="1" x14ac:dyDescent="0.2">
      <c r="A169" s="93" t="s">
        <v>167</v>
      </c>
      <c r="B169" s="54" t="s">
        <v>165</v>
      </c>
      <c r="C169" s="60" t="s">
        <v>166</v>
      </c>
      <c r="D169" s="60" t="s">
        <v>108</v>
      </c>
      <c r="E169" s="60" t="s">
        <v>164</v>
      </c>
      <c r="F169" s="52">
        <f>67800+2096.9</f>
        <v>69896.899999999994</v>
      </c>
      <c r="G169" s="52">
        <f>69896.9+3168.8+85098.5+100583.3</f>
        <v>258747.5</v>
      </c>
      <c r="H169" s="315">
        <f t="shared" si="44"/>
        <v>188850.6</v>
      </c>
      <c r="I169" s="52">
        <v>0</v>
      </c>
      <c r="J169" s="52">
        <f>258747.5-7228.8-25</f>
        <v>251493.7</v>
      </c>
      <c r="K169" s="315">
        <f t="shared" si="41"/>
        <v>-7253.7999999999884</v>
      </c>
      <c r="L169" s="52">
        <v>0</v>
      </c>
      <c r="M169" s="320">
        <f t="shared" si="45"/>
        <v>0</v>
      </c>
      <c r="N169" s="65">
        <v>0</v>
      </c>
      <c r="O169" s="52">
        <v>0</v>
      </c>
      <c r="P169" s="315">
        <f t="shared" si="46"/>
        <v>0</v>
      </c>
      <c r="Q169" s="39"/>
      <c r="R169" s="40"/>
      <c r="S169" s="40"/>
      <c r="T169" s="214"/>
      <c r="U169" s="214"/>
      <c r="V169" s="231"/>
      <c r="W169" s="231"/>
      <c r="X169" s="231"/>
      <c r="Y169" s="231"/>
      <c r="Z169" s="231"/>
      <c r="AA169" s="231"/>
      <c r="AB169" s="231"/>
      <c r="AC169" s="231"/>
      <c r="AD169" s="231"/>
      <c r="AE169" s="231"/>
      <c r="AF169" s="231"/>
      <c r="AG169" s="231"/>
      <c r="AH169" s="231"/>
      <c r="AI169" s="231"/>
      <c r="AJ169" s="231"/>
      <c r="AK169" s="231"/>
      <c r="AL169" s="231"/>
      <c r="AM169" s="231"/>
      <c r="AN169" s="231"/>
      <c r="AO169" s="231"/>
      <c r="AP169" s="231"/>
      <c r="AQ169" s="231"/>
      <c r="AR169" s="231"/>
    </row>
    <row r="170" spans="1:44" s="31" customFormat="1" ht="14.25" customHeight="1" x14ac:dyDescent="0.2">
      <c r="A170" s="61" t="s">
        <v>61</v>
      </c>
      <c r="B170" s="54" t="s">
        <v>165</v>
      </c>
      <c r="C170" s="60" t="s">
        <v>166</v>
      </c>
      <c r="D170" s="60" t="s">
        <v>108</v>
      </c>
      <c r="E170" s="60" t="s">
        <v>57</v>
      </c>
      <c r="F170" s="52">
        <v>0</v>
      </c>
      <c r="G170" s="52">
        <f>4581.5</f>
        <v>4581.5</v>
      </c>
      <c r="H170" s="315">
        <f t="shared" si="44"/>
        <v>4581.5</v>
      </c>
      <c r="I170" s="52">
        <v>0</v>
      </c>
      <c r="J170" s="52">
        <f>4581.5</f>
        <v>4581.5</v>
      </c>
      <c r="K170" s="315">
        <f t="shared" si="41"/>
        <v>0</v>
      </c>
      <c r="L170" s="52">
        <v>0</v>
      </c>
      <c r="M170" s="320">
        <f t="shared" si="45"/>
        <v>0</v>
      </c>
      <c r="N170" s="65">
        <v>0</v>
      </c>
      <c r="O170" s="52">
        <v>0</v>
      </c>
      <c r="P170" s="315">
        <f t="shared" si="46"/>
        <v>0</v>
      </c>
      <c r="Q170" s="39"/>
      <c r="R170" s="40"/>
      <c r="S170" s="40"/>
      <c r="T170" s="214"/>
      <c r="U170" s="214"/>
      <c r="V170" s="231"/>
      <c r="W170" s="231"/>
      <c r="X170" s="231"/>
      <c r="Y170" s="231"/>
      <c r="Z170" s="231"/>
      <c r="AA170" s="231"/>
      <c r="AB170" s="231"/>
      <c r="AC170" s="231"/>
      <c r="AD170" s="231"/>
      <c r="AE170" s="231"/>
      <c r="AF170" s="231"/>
      <c r="AG170" s="231"/>
      <c r="AH170" s="231"/>
      <c r="AI170" s="231"/>
      <c r="AJ170" s="231"/>
      <c r="AK170" s="231"/>
      <c r="AL170" s="231"/>
      <c r="AM170" s="231"/>
      <c r="AN170" s="231"/>
      <c r="AO170" s="231"/>
      <c r="AP170" s="231"/>
      <c r="AQ170" s="231"/>
      <c r="AR170" s="231"/>
    </row>
    <row r="171" spans="1:44" s="31" customFormat="1" ht="25.5" x14ac:dyDescent="0.2">
      <c r="A171" s="64" t="s">
        <v>186</v>
      </c>
      <c r="B171" s="54" t="s">
        <v>185</v>
      </c>
      <c r="C171" s="60" t="s">
        <v>166</v>
      </c>
      <c r="D171" s="60" t="s">
        <v>45</v>
      </c>
      <c r="E171" s="60"/>
      <c r="F171" s="52">
        <f>F172+F173+F174</f>
        <v>2852</v>
      </c>
      <c r="G171" s="52">
        <f>G172+G173+G174</f>
        <v>2852</v>
      </c>
      <c r="H171" s="315">
        <f t="shared" si="44"/>
        <v>0</v>
      </c>
      <c r="I171" s="52">
        <f>I172+I173+I174</f>
        <v>0</v>
      </c>
      <c r="J171" s="52">
        <f>J172+J173+J174</f>
        <v>2852</v>
      </c>
      <c r="K171" s="315">
        <f t="shared" si="41"/>
        <v>0</v>
      </c>
      <c r="L171" s="52">
        <f>L172+L173+L174</f>
        <v>0</v>
      </c>
      <c r="M171" s="320">
        <f t="shared" si="45"/>
        <v>0</v>
      </c>
      <c r="N171" s="65">
        <f>N172+N173+N174</f>
        <v>0</v>
      </c>
      <c r="O171" s="52">
        <f>O172+O173+O174</f>
        <v>0</v>
      </c>
      <c r="P171" s="315">
        <f t="shared" si="46"/>
        <v>0</v>
      </c>
      <c r="Q171" s="39"/>
      <c r="R171" s="40"/>
      <c r="S171" s="40"/>
      <c r="T171" s="214"/>
      <c r="U171" s="214"/>
      <c r="V171" s="231"/>
      <c r="W171" s="231"/>
      <c r="X171" s="231"/>
      <c r="Y171" s="231"/>
      <c r="Z171" s="231"/>
      <c r="AA171" s="231"/>
      <c r="AB171" s="231"/>
      <c r="AC171" s="231"/>
      <c r="AD171" s="231"/>
      <c r="AE171" s="231"/>
      <c r="AF171" s="231"/>
      <c r="AG171" s="231"/>
      <c r="AH171" s="231"/>
      <c r="AI171" s="231"/>
      <c r="AJ171" s="231"/>
      <c r="AK171" s="231"/>
      <c r="AL171" s="231"/>
      <c r="AM171" s="231"/>
      <c r="AN171" s="231"/>
      <c r="AO171" s="231"/>
      <c r="AP171" s="231"/>
      <c r="AQ171" s="231"/>
      <c r="AR171" s="231"/>
    </row>
    <row r="172" spans="1:44" s="31" customFormat="1" ht="25.5" x14ac:dyDescent="0.2">
      <c r="A172" s="84" t="s">
        <v>73</v>
      </c>
      <c r="B172" s="54" t="s">
        <v>185</v>
      </c>
      <c r="C172" s="60" t="s">
        <v>166</v>
      </c>
      <c r="D172" s="60" t="s">
        <v>45</v>
      </c>
      <c r="E172" s="60" t="s">
        <v>70</v>
      </c>
      <c r="F172" s="52">
        <f>2800+52</f>
        <v>2852</v>
      </c>
      <c r="G172" s="52">
        <f>2800+52</f>
        <v>2852</v>
      </c>
      <c r="H172" s="315">
        <f t="shared" si="44"/>
        <v>0</v>
      </c>
      <c r="I172" s="52">
        <v>0</v>
      </c>
      <c r="J172" s="52">
        <f>2800+52</f>
        <v>2852</v>
      </c>
      <c r="K172" s="315">
        <f t="shared" si="41"/>
        <v>0</v>
      </c>
      <c r="L172" s="52">
        <v>0</v>
      </c>
      <c r="M172" s="320">
        <f t="shared" si="45"/>
        <v>0</v>
      </c>
      <c r="N172" s="65">
        <v>0</v>
      </c>
      <c r="O172" s="52">
        <v>0</v>
      </c>
      <c r="P172" s="315">
        <f t="shared" si="46"/>
        <v>0</v>
      </c>
      <c r="Q172" s="39"/>
      <c r="R172" s="40"/>
      <c r="S172" s="40"/>
      <c r="T172" s="214"/>
      <c r="U172" s="214"/>
      <c r="V172" s="231"/>
      <c r="W172" s="231"/>
      <c r="X172" s="231"/>
      <c r="Y172" s="231"/>
      <c r="Z172" s="231"/>
      <c r="AA172" s="231"/>
      <c r="AB172" s="231"/>
      <c r="AC172" s="231"/>
      <c r="AD172" s="231"/>
      <c r="AE172" s="231"/>
      <c r="AF172" s="231"/>
      <c r="AG172" s="231"/>
      <c r="AH172" s="231"/>
      <c r="AI172" s="231"/>
      <c r="AJ172" s="231"/>
      <c r="AK172" s="231"/>
      <c r="AL172" s="231"/>
      <c r="AM172" s="231"/>
      <c r="AN172" s="231"/>
      <c r="AO172" s="231"/>
      <c r="AP172" s="231"/>
      <c r="AQ172" s="231"/>
      <c r="AR172" s="231"/>
    </row>
    <row r="173" spans="1:44" s="31" customFormat="1" hidden="1" x14ac:dyDescent="0.2">
      <c r="A173" s="95" t="s">
        <v>82</v>
      </c>
      <c r="B173" s="54" t="s">
        <v>185</v>
      </c>
      <c r="C173" s="60" t="s">
        <v>166</v>
      </c>
      <c r="D173" s="60" t="s">
        <v>45</v>
      </c>
      <c r="E173" s="60" t="s">
        <v>81</v>
      </c>
      <c r="F173" s="52">
        <v>0</v>
      </c>
      <c r="G173" s="52">
        <v>0</v>
      </c>
      <c r="H173" s="315">
        <f t="shared" si="44"/>
        <v>0</v>
      </c>
      <c r="I173" s="52"/>
      <c r="J173" s="52">
        <v>0</v>
      </c>
      <c r="K173" s="315">
        <f t="shared" si="41"/>
        <v>0</v>
      </c>
      <c r="L173" s="52"/>
      <c r="M173" s="320">
        <f t="shared" si="45"/>
        <v>0</v>
      </c>
      <c r="N173" s="65">
        <v>0</v>
      </c>
      <c r="O173" s="52">
        <v>0</v>
      </c>
      <c r="P173" s="315">
        <f t="shared" si="46"/>
        <v>0</v>
      </c>
      <c r="Q173" s="39"/>
      <c r="R173" s="40"/>
      <c r="S173" s="40"/>
      <c r="T173" s="214"/>
      <c r="U173" s="214"/>
      <c r="V173" s="231"/>
      <c r="W173" s="231"/>
      <c r="X173" s="231"/>
      <c r="Y173" s="231"/>
      <c r="Z173" s="231"/>
      <c r="AA173" s="231"/>
      <c r="AB173" s="231"/>
      <c r="AC173" s="231"/>
      <c r="AD173" s="231"/>
      <c r="AE173" s="231"/>
      <c r="AF173" s="231"/>
      <c r="AG173" s="231"/>
      <c r="AH173" s="231"/>
      <c r="AI173" s="231"/>
      <c r="AJ173" s="231"/>
      <c r="AK173" s="231"/>
      <c r="AL173" s="231"/>
      <c r="AM173" s="231"/>
      <c r="AN173" s="231"/>
      <c r="AO173" s="231"/>
      <c r="AP173" s="231"/>
      <c r="AQ173" s="231"/>
      <c r="AR173" s="231"/>
    </row>
    <row r="174" spans="1:44" s="31" customFormat="1" hidden="1" x14ac:dyDescent="0.2">
      <c r="A174" s="61" t="s">
        <v>61</v>
      </c>
      <c r="B174" s="54" t="s">
        <v>185</v>
      </c>
      <c r="C174" s="60" t="s">
        <v>166</v>
      </c>
      <c r="D174" s="60" t="s">
        <v>45</v>
      </c>
      <c r="E174" s="60" t="s">
        <v>57</v>
      </c>
      <c r="F174" s="52">
        <v>0</v>
      </c>
      <c r="G174" s="52">
        <v>0</v>
      </c>
      <c r="H174" s="315">
        <f t="shared" si="44"/>
        <v>0</v>
      </c>
      <c r="I174" s="52">
        <v>0</v>
      </c>
      <c r="J174" s="52">
        <v>0</v>
      </c>
      <c r="K174" s="315">
        <f t="shared" si="41"/>
        <v>0</v>
      </c>
      <c r="L174" s="52">
        <v>0</v>
      </c>
      <c r="M174" s="320">
        <f t="shared" si="45"/>
        <v>0</v>
      </c>
      <c r="N174" s="65">
        <v>0</v>
      </c>
      <c r="O174" s="52">
        <v>0</v>
      </c>
      <c r="P174" s="315">
        <f t="shared" si="46"/>
        <v>0</v>
      </c>
      <c r="Q174" s="39"/>
      <c r="R174" s="40"/>
      <c r="S174" s="40"/>
      <c r="T174" s="214"/>
      <c r="U174" s="214"/>
      <c r="V174" s="231"/>
      <c r="W174" s="231"/>
      <c r="X174" s="231"/>
      <c r="Y174" s="231"/>
      <c r="Z174" s="231"/>
      <c r="AA174" s="231"/>
      <c r="AB174" s="231"/>
      <c r="AC174" s="231"/>
      <c r="AD174" s="231"/>
      <c r="AE174" s="231"/>
      <c r="AF174" s="231"/>
      <c r="AG174" s="231"/>
      <c r="AH174" s="231"/>
      <c r="AI174" s="231"/>
      <c r="AJ174" s="231"/>
      <c r="AK174" s="231"/>
      <c r="AL174" s="231"/>
      <c r="AM174" s="231"/>
      <c r="AN174" s="231"/>
      <c r="AO174" s="231"/>
      <c r="AP174" s="231"/>
      <c r="AQ174" s="231"/>
      <c r="AR174" s="231"/>
    </row>
    <row r="175" spans="1:44" s="32" customFormat="1" hidden="1" x14ac:dyDescent="0.2">
      <c r="A175" s="62" t="s">
        <v>550</v>
      </c>
      <c r="B175" s="54" t="s">
        <v>549</v>
      </c>
      <c r="C175" s="60"/>
      <c r="D175" s="60"/>
      <c r="E175" s="60"/>
      <c r="F175" s="52">
        <f>F176</f>
        <v>0</v>
      </c>
      <c r="G175" s="52">
        <f>G176</f>
        <v>0</v>
      </c>
      <c r="H175" s="315">
        <f t="shared" si="44"/>
        <v>0</v>
      </c>
      <c r="I175" s="52">
        <f>I176</f>
        <v>0</v>
      </c>
      <c r="J175" s="52">
        <f>J176</f>
        <v>0</v>
      </c>
      <c r="K175" s="315">
        <f t="shared" si="41"/>
        <v>0</v>
      </c>
      <c r="L175" s="52">
        <f>L176</f>
        <v>0</v>
      </c>
      <c r="M175" s="320">
        <f t="shared" si="45"/>
        <v>0</v>
      </c>
      <c r="N175" s="65">
        <f>N176</f>
        <v>0</v>
      </c>
      <c r="O175" s="52">
        <f>O176</f>
        <v>0</v>
      </c>
      <c r="P175" s="315">
        <f t="shared" si="46"/>
        <v>0</v>
      </c>
      <c r="Q175" s="39"/>
      <c r="R175" s="40"/>
      <c r="S175" s="40"/>
      <c r="T175" s="245"/>
      <c r="U175" s="245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</row>
    <row r="176" spans="1:44" s="32" customFormat="1" ht="14.25" hidden="1" customHeight="1" x14ac:dyDescent="0.2">
      <c r="A176" s="62" t="s">
        <v>546</v>
      </c>
      <c r="B176" s="54" t="s">
        <v>1093</v>
      </c>
      <c r="C176" s="60" t="s">
        <v>45</v>
      </c>
      <c r="D176" s="60" t="s">
        <v>46</v>
      </c>
      <c r="E176" s="60"/>
      <c r="F176" s="52">
        <f>F177+F178+F179</f>
        <v>0</v>
      </c>
      <c r="G176" s="52">
        <f>G177+G178+G179</f>
        <v>0</v>
      </c>
      <c r="H176" s="315">
        <f t="shared" si="44"/>
        <v>0</v>
      </c>
      <c r="I176" s="52">
        <f>I177+I178+I179</f>
        <v>0</v>
      </c>
      <c r="J176" s="52">
        <f>J177+J178+J179</f>
        <v>0</v>
      </c>
      <c r="K176" s="315">
        <f t="shared" si="41"/>
        <v>0</v>
      </c>
      <c r="L176" s="52">
        <f>L177+L178+L179</f>
        <v>0</v>
      </c>
      <c r="M176" s="320">
        <f t="shared" si="45"/>
        <v>0</v>
      </c>
      <c r="N176" s="65">
        <f>N177+N178+N179</f>
        <v>0</v>
      </c>
      <c r="O176" s="52">
        <f>O177+O178+O179</f>
        <v>0</v>
      </c>
      <c r="P176" s="315">
        <f t="shared" si="46"/>
        <v>0</v>
      </c>
      <c r="Q176" s="39"/>
      <c r="R176" s="40"/>
      <c r="S176" s="40"/>
      <c r="T176" s="245"/>
      <c r="U176" s="245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</row>
    <row r="177" spans="1:44" s="32" customFormat="1" ht="25.5" hidden="1" x14ac:dyDescent="0.2">
      <c r="A177" s="56" t="s">
        <v>73</v>
      </c>
      <c r="B177" s="54" t="s">
        <v>1093</v>
      </c>
      <c r="C177" s="60" t="s">
        <v>45</v>
      </c>
      <c r="D177" s="60" t="s">
        <v>46</v>
      </c>
      <c r="E177" s="60" t="s">
        <v>70</v>
      </c>
      <c r="F177" s="52"/>
      <c r="G177" s="52"/>
      <c r="H177" s="315">
        <f t="shared" si="44"/>
        <v>0</v>
      </c>
      <c r="I177" s="52"/>
      <c r="J177" s="52"/>
      <c r="K177" s="315">
        <f t="shared" si="41"/>
        <v>0</v>
      </c>
      <c r="L177" s="52"/>
      <c r="M177" s="320">
        <f t="shared" si="45"/>
        <v>0</v>
      </c>
      <c r="N177" s="65"/>
      <c r="O177" s="52"/>
      <c r="P177" s="315">
        <f t="shared" si="46"/>
        <v>0</v>
      </c>
      <c r="Q177" s="39"/>
      <c r="R177" s="40"/>
      <c r="S177" s="40"/>
      <c r="T177" s="245"/>
      <c r="U177" s="245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</row>
    <row r="178" spans="1:44" s="32" customFormat="1" hidden="1" x14ac:dyDescent="0.2">
      <c r="A178" s="64" t="s">
        <v>82</v>
      </c>
      <c r="B178" s="54" t="s">
        <v>1093</v>
      </c>
      <c r="C178" s="60" t="s">
        <v>45</v>
      </c>
      <c r="D178" s="60" t="s">
        <v>46</v>
      </c>
      <c r="E178" s="60" t="s">
        <v>81</v>
      </c>
      <c r="F178" s="52"/>
      <c r="G178" s="52"/>
      <c r="H178" s="315">
        <f t="shared" si="44"/>
        <v>0</v>
      </c>
      <c r="I178" s="52"/>
      <c r="J178" s="52"/>
      <c r="K178" s="315">
        <f t="shared" si="41"/>
        <v>0</v>
      </c>
      <c r="L178" s="52"/>
      <c r="M178" s="320">
        <f t="shared" si="45"/>
        <v>0</v>
      </c>
      <c r="N178" s="65"/>
      <c r="O178" s="52"/>
      <c r="P178" s="315">
        <f t="shared" si="46"/>
        <v>0</v>
      </c>
      <c r="Q178" s="39"/>
      <c r="R178" s="40"/>
      <c r="S178" s="40"/>
      <c r="T178" s="245"/>
      <c r="U178" s="245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</row>
    <row r="179" spans="1:44" s="32" customFormat="1" hidden="1" x14ac:dyDescent="0.2">
      <c r="A179" s="61" t="s">
        <v>61</v>
      </c>
      <c r="B179" s="54" t="s">
        <v>1093</v>
      </c>
      <c r="C179" s="60" t="s">
        <v>45</v>
      </c>
      <c r="D179" s="60" t="s">
        <v>46</v>
      </c>
      <c r="E179" s="60" t="s">
        <v>57</v>
      </c>
      <c r="F179" s="52"/>
      <c r="G179" s="52"/>
      <c r="H179" s="315">
        <f t="shared" si="44"/>
        <v>0</v>
      </c>
      <c r="I179" s="52"/>
      <c r="J179" s="52"/>
      <c r="K179" s="315">
        <f t="shared" si="41"/>
        <v>0</v>
      </c>
      <c r="L179" s="52"/>
      <c r="M179" s="320">
        <f t="shared" si="45"/>
        <v>0</v>
      </c>
      <c r="N179" s="65"/>
      <c r="O179" s="52"/>
      <c r="P179" s="315">
        <f t="shared" si="46"/>
        <v>0</v>
      </c>
      <c r="Q179" s="39"/>
      <c r="R179" s="40"/>
      <c r="S179" s="40"/>
      <c r="T179" s="245"/>
      <c r="U179" s="245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</row>
    <row r="180" spans="1:44" s="32" customFormat="1" hidden="1" x14ac:dyDescent="0.2">
      <c r="A180" s="61" t="s">
        <v>211</v>
      </c>
      <c r="B180" s="54" t="s">
        <v>212</v>
      </c>
      <c r="C180" s="60"/>
      <c r="D180" s="60"/>
      <c r="E180" s="60"/>
      <c r="F180" s="52">
        <f t="shared" ref="F180:O181" si="54">F181</f>
        <v>0</v>
      </c>
      <c r="G180" s="52">
        <f t="shared" si="54"/>
        <v>0</v>
      </c>
      <c r="H180" s="315">
        <f t="shared" si="44"/>
        <v>0</v>
      </c>
      <c r="I180" s="52">
        <f t="shared" si="54"/>
        <v>0</v>
      </c>
      <c r="J180" s="52">
        <f t="shared" si="54"/>
        <v>0</v>
      </c>
      <c r="K180" s="315">
        <f t="shared" si="41"/>
        <v>0</v>
      </c>
      <c r="L180" s="52">
        <f t="shared" si="54"/>
        <v>0</v>
      </c>
      <c r="M180" s="320">
        <f t="shared" si="45"/>
        <v>0</v>
      </c>
      <c r="N180" s="65">
        <f t="shared" si="54"/>
        <v>0</v>
      </c>
      <c r="O180" s="52">
        <f t="shared" si="54"/>
        <v>0</v>
      </c>
      <c r="P180" s="315">
        <f t="shared" si="46"/>
        <v>0</v>
      </c>
      <c r="Q180" s="39"/>
      <c r="R180" s="40"/>
      <c r="S180" s="40"/>
      <c r="T180" s="245"/>
      <c r="U180" s="245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</row>
    <row r="181" spans="1:44" s="32" customFormat="1" ht="25.5" hidden="1" x14ac:dyDescent="0.2">
      <c r="A181" s="395" t="s">
        <v>210</v>
      </c>
      <c r="B181" s="393" t="s">
        <v>1099</v>
      </c>
      <c r="C181" s="60" t="s">
        <v>159</v>
      </c>
      <c r="D181" s="60" t="s">
        <v>159</v>
      </c>
      <c r="E181" s="60"/>
      <c r="F181" s="52">
        <f t="shared" si="54"/>
        <v>0</v>
      </c>
      <c r="G181" s="52">
        <f t="shared" si="54"/>
        <v>0</v>
      </c>
      <c r="H181" s="315">
        <f t="shared" si="44"/>
        <v>0</v>
      </c>
      <c r="I181" s="52">
        <f t="shared" si="54"/>
        <v>0</v>
      </c>
      <c r="J181" s="52">
        <f t="shared" si="54"/>
        <v>0</v>
      </c>
      <c r="K181" s="315">
        <f t="shared" si="41"/>
        <v>0</v>
      </c>
      <c r="L181" s="52">
        <f t="shared" si="54"/>
        <v>0</v>
      </c>
      <c r="M181" s="320">
        <f t="shared" si="45"/>
        <v>0</v>
      </c>
      <c r="N181" s="65">
        <f t="shared" si="54"/>
        <v>0</v>
      </c>
      <c r="O181" s="52">
        <f t="shared" si="54"/>
        <v>0</v>
      </c>
      <c r="P181" s="315">
        <f t="shared" si="46"/>
        <v>0</v>
      </c>
      <c r="Q181" s="39"/>
      <c r="R181" s="40"/>
      <c r="S181" s="40"/>
      <c r="T181" s="245"/>
      <c r="U181" s="245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</row>
    <row r="182" spans="1:44" s="32" customFormat="1" ht="25.5" hidden="1" x14ac:dyDescent="0.2">
      <c r="A182" s="394" t="s">
        <v>73</v>
      </c>
      <c r="B182" s="393" t="s">
        <v>1099</v>
      </c>
      <c r="C182" s="60" t="s">
        <v>159</v>
      </c>
      <c r="D182" s="60" t="s">
        <v>159</v>
      </c>
      <c r="E182" s="60" t="s">
        <v>70</v>
      </c>
      <c r="F182" s="52">
        <v>0</v>
      </c>
      <c r="G182" s="52">
        <v>0</v>
      </c>
      <c r="H182" s="315">
        <f t="shared" si="44"/>
        <v>0</v>
      </c>
      <c r="I182" s="52">
        <v>0</v>
      </c>
      <c r="J182" s="52">
        <v>0</v>
      </c>
      <c r="K182" s="315">
        <f t="shared" si="41"/>
        <v>0</v>
      </c>
      <c r="L182" s="52">
        <v>0</v>
      </c>
      <c r="M182" s="320">
        <f t="shared" si="45"/>
        <v>0</v>
      </c>
      <c r="N182" s="65">
        <v>0</v>
      </c>
      <c r="O182" s="52">
        <v>0</v>
      </c>
      <c r="P182" s="315">
        <f t="shared" si="46"/>
        <v>0</v>
      </c>
      <c r="Q182" s="39"/>
      <c r="R182" s="40"/>
      <c r="S182" s="40"/>
      <c r="T182" s="245"/>
      <c r="U182" s="245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</row>
    <row r="183" spans="1:44" s="32" customFormat="1" ht="25.5" x14ac:dyDescent="0.2">
      <c r="A183" s="84" t="s">
        <v>64</v>
      </c>
      <c r="B183" s="54" t="s">
        <v>63</v>
      </c>
      <c r="C183" s="60"/>
      <c r="D183" s="60"/>
      <c r="E183" s="60"/>
      <c r="F183" s="52">
        <f>F186+F190+F184</f>
        <v>464.4</v>
      </c>
      <c r="G183" s="52">
        <f t="shared" ref="G183:O183" si="55">G186+G190+G184</f>
        <v>21996.400000000001</v>
      </c>
      <c r="H183" s="315">
        <f t="shared" si="44"/>
        <v>21532</v>
      </c>
      <c r="I183" s="52">
        <f t="shared" si="55"/>
        <v>464.4</v>
      </c>
      <c r="J183" s="52">
        <f t="shared" si="55"/>
        <v>21989.3</v>
      </c>
      <c r="K183" s="315">
        <f t="shared" si="41"/>
        <v>-7.1000000000021828</v>
      </c>
      <c r="L183" s="52">
        <f t="shared" si="55"/>
        <v>464.4</v>
      </c>
      <c r="M183" s="320">
        <f t="shared" si="45"/>
        <v>0</v>
      </c>
      <c r="N183" s="52">
        <f t="shared" si="55"/>
        <v>464.4</v>
      </c>
      <c r="O183" s="52">
        <f t="shared" si="55"/>
        <v>464.4</v>
      </c>
      <c r="P183" s="315">
        <f t="shared" si="46"/>
        <v>0</v>
      </c>
      <c r="Q183" s="39"/>
      <c r="R183" s="40"/>
      <c r="S183" s="40"/>
      <c r="T183" s="245"/>
      <c r="U183" s="245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</row>
    <row r="184" spans="1:44" s="32" customFormat="1" x14ac:dyDescent="0.2">
      <c r="A184" s="62" t="s">
        <v>1073</v>
      </c>
      <c r="B184" s="54" t="s">
        <v>1074</v>
      </c>
      <c r="C184" s="60" t="s">
        <v>60</v>
      </c>
      <c r="D184" s="60" t="s">
        <v>45</v>
      </c>
      <c r="E184" s="60"/>
      <c r="F184" s="70">
        <f>F185</f>
        <v>0</v>
      </c>
      <c r="G184" s="70">
        <f t="shared" ref="G184:O184" si="56">G185</f>
        <v>13365.9</v>
      </c>
      <c r="H184" s="315">
        <f t="shared" si="44"/>
        <v>13365.9</v>
      </c>
      <c r="I184" s="70">
        <f t="shared" si="56"/>
        <v>0</v>
      </c>
      <c r="J184" s="70">
        <f t="shared" si="56"/>
        <v>13365.9</v>
      </c>
      <c r="K184" s="315">
        <f t="shared" si="41"/>
        <v>0</v>
      </c>
      <c r="L184" s="70">
        <f t="shared" si="56"/>
        <v>0</v>
      </c>
      <c r="M184" s="320">
        <f t="shared" si="45"/>
        <v>0</v>
      </c>
      <c r="N184" s="70">
        <f t="shared" si="56"/>
        <v>0</v>
      </c>
      <c r="O184" s="70">
        <f t="shared" si="56"/>
        <v>0</v>
      </c>
      <c r="P184" s="315">
        <f t="shared" si="46"/>
        <v>0</v>
      </c>
      <c r="Q184" s="39"/>
      <c r="R184" s="40"/>
      <c r="S184" s="40"/>
      <c r="T184" s="245"/>
      <c r="U184" s="245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</row>
    <row r="185" spans="1:44" s="32" customFormat="1" ht="25.5" x14ac:dyDescent="0.2">
      <c r="A185" s="56" t="s">
        <v>73</v>
      </c>
      <c r="B185" s="54" t="s">
        <v>1074</v>
      </c>
      <c r="C185" s="60" t="s">
        <v>60</v>
      </c>
      <c r="D185" s="60" t="s">
        <v>45</v>
      </c>
      <c r="E185" s="60" t="s">
        <v>70</v>
      </c>
      <c r="F185" s="70">
        <v>0</v>
      </c>
      <c r="G185" s="70">
        <f>12587.9+778</f>
        <v>13365.9</v>
      </c>
      <c r="H185" s="315">
        <f t="shared" si="44"/>
        <v>13365.9</v>
      </c>
      <c r="I185" s="70">
        <v>0</v>
      </c>
      <c r="J185" s="70">
        <f>12587.9+778</f>
        <v>13365.9</v>
      </c>
      <c r="K185" s="315">
        <f t="shared" si="41"/>
        <v>0</v>
      </c>
      <c r="L185" s="70">
        <v>0</v>
      </c>
      <c r="M185" s="320">
        <f t="shared" si="45"/>
        <v>0</v>
      </c>
      <c r="N185" s="70">
        <v>0</v>
      </c>
      <c r="O185" s="70">
        <v>0</v>
      </c>
      <c r="P185" s="315">
        <f t="shared" si="46"/>
        <v>0</v>
      </c>
      <c r="Q185" s="39"/>
      <c r="R185" s="40"/>
      <c r="S185" s="40"/>
      <c r="T185" s="245"/>
      <c r="U185" s="245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</row>
    <row r="186" spans="1:44" s="32" customFormat="1" ht="25.5" x14ac:dyDescent="0.2">
      <c r="A186" s="62" t="s">
        <v>62</v>
      </c>
      <c r="B186" s="54" t="s">
        <v>58</v>
      </c>
      <c r="C186" s="60"/>
      <c r="D186" s="60"/>
      <c r="E186" s="60"/>
      <c r="F186" s="52">
        <f>F187+F188+F189</f>
        <v>464.4</v>
      </c>
      <c r="G186" s="52">
        <f>G187+G188+G189</f>
        <v>464.4</v>
      </c>
      <c r="H186" s="315">
        <f t="shared" si="44"/>
        <v>0</v>
      </c>
      <c r="I186" s="52">
        <f>I187+I188+I189</f>
        <v>464.4</v>
      </c>
      <c r="J186" s="52">
        <f>J187+J188+J189</f>
        <v>464.4</v>
      </c>
      <c r="K186" s="315">
        <f t="shared" si="41"/>
        <v>0</v>
      </c>
      <c r="L186" s="52">
        <f>L187+L188+L189</f>
        <v>464.4</v>
      </c>
      <c r="M186" s="320">
        <f t="shared" si="45"/>
        <v>0</v>
      </c>
      <c r="N186" s="65">
        <f>N187+N188+N189</f>
        <v>464.4</v>
      </c>
      <c r="O186" s="52">
        <f>O187+O188+O189</f>
        <v>464.4</v>
      </c>
      <c r="P186" s="315">
        <f t="shared" si="46"/>
        <v>0</v>
      </c>
      <c r="Q186" s="39"/>
      <c r="R186" s="40"/>
      <c r="S186" s="40"/>
      <c r="T186" s="245"/>
      <c r="U186" s="245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</row>
    <row r="187" spans="1:44" s="32" customFormat="1" ht="25.5" hidden="1" x14ac:dyDescent="0.2">
      <c r="A187" s="84" t="s">
        <v>73</v>
      </c>
      <c r="B187" s="54" t="s">
        <v>58</v>
      </c>
      <c r="C187" s="60" t="s">
        <v>60</v>
      </c>
      <c r="D187" s="60" t="s">
        <v>59</v>
      </c>
      <c r="E187" s="60" t="s">
        <v>70</v>
      </c>
      <c r="F187" s="52">
        <v>0</v>
      </c>
      <c r="G187" s="52">
        <v>0</v>
      </c>
      <c r="H187" s="315">
        <f t="shared" si="44"/>
        <v>0</v>
      </c>
      <c r="I187" s="52">
        <v>0</v>
      </c>
      <c r="J187" s="52">
        <v>0</v>
      </c>
      <c r="K187" s="315">
        <f t="shared" si="41"/>
        <v>0</v>
      </c>
      <c r="L187" s="52">
        <v>0</v>
      </c>
      <c r="M187" s="320">
        <f t="shared" si="45"/>
        <v>0</v>
      </c>
      <c r="N187" s="65">
        <v>0</v>
      </c>
      <c r="O187" s="52">
        <v>0</v>
      </c>
      <c r="P187" s="315">
        <f t="shared" si="46"/>
        <v>0</v>
      </c>
      <c r="Q187" s="39"/>
      <c r="R187" s="40"/>
      <c r="S187" s="40"/>
      <c r="T187" s="245"/>
      <c r="U187" s="245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</row>
    <row r="188" spans="1:44" s="32" customFormat="1" hidden="1" x14ac:dyDescent="0.2">
      <c r="A188" s="64" t="s">
        <v>82</v>
      </c>
      <c r="B188" s="54" t="s">
        <v>58</v>
      </c>
      <c r="C188" s="60" t="s">
        <v>159</v>
      </c>
      <c r="D188" s="60" t="s">
        <v>111</v>
      </c>
      <c r="E188" s="60" t="s">
        <v>81</v>
      </c>
      <c r="F188" s="52">
        <v>0</v>
      </c>
      <c r="G188" s="52">
        <v>0</v>
      </c>
      <c r="H188" s="315">
        <f t="shared" si="44"/>
        <v>0</v>
      </c>
      <c r="I188" s="52">
        <v>0</v>
      </c>
      <c r="J188" s="52">
        <v>0</v>
      </c>
      <c r="K188" s="315">
        <f t="shared" si="41"/>
        <v>0</v>
      </c>
      <c r="L188" s="52">
        <v>0</v>
      </c>
      <c r="M188" s="320">
        <f t="shared" si="45"/>
        <v>0</v>
      </c>
      <c r="N188" s="65">
        <v>0</v>
      </c>
      <c r="O188" s="52">
        <v>0</v>
      </c>
      <c r="P188" s="315">
        <f t="shared" si="46"/>
        <v>0</v>
      </c>
      <c r="Q188" s="39"/>
      <c r="R188" s="40"/>
      <c r="S188" s="40"/>
      <c r="T188" s="245"/>
      <c r="U188" s="245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</row>
    <row r="189" spans="1:44" s="32" customFormat="1" x14ac:dyDescent="0.2">
      <c r="A189" s="61" t="s">
        <v>61</v>
      </c>
      <c r="B189" s="54" t="s">
        <v>58</v>
      </c>
      <c r="C189" s="60" t="s">
        <v>60</v>
      </c>
      <c r="D189" s="60" t="s">
        <v>59</v>
      </c>
      <c r="E189" s="60" t="s">
        <v>57</v>
      </c>
      <c r="F189" s="52">
        <f>418+46.4</f>
        <v>464.4</v>
      </c>
      <c r="G189" s="52">
        <f>418+46.4</f>
        <v>464.4</v>
      </c>
      <c r="H189" s="315">
        <f t="shared" si="44"/>
        <v>0</v>
      </c>
      <c r="I189" s="52">
        <f>418+46.4</f>
        <v>464.4</v>
      </c>
      <c r="J189" s="52">
        <f>418+46.4</f>
        <v>464.4</v>
      </c>
      <c r="K189" s="315">
        <f t="shared" si="41"/>
        <v>0</v>
      </c>
      <c r="L189" s="52">
        <f>418+46.4</f>
        <v>464.4</v>
      </c>
      <c r="M189" s="320">
        <f t="shared" si="45"/>
        <v>0</v>
      </c>
      <c r="N189" s="65">
        <f>418+46.4</f>
        <v>464.4</v>
      </c>
      <c r="O189" s="52">
        <f>418+46.4</f>
        <v>464.4</v>
      </c>
      <c r="P189" s="315">
        <f t="shared" si="46"/>
        <v>0</v>
      </c>
      <c r="Q189" s="39"/>
      <c r="R189" s="40"/>
      <c r="S189" s="40"/>
      <c r="T189" s="245"/>
      <c r="U189" s="245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</row>
    <row r="190" spans="1:44" s="32" customFormat="1" ht="25.5" x14ac:dyDescent="0.2">
      <c r="A190" s="64" t="s">
        <v>1072</v>
      </c>
      <c r="B190" s="54" t="s">
        <v>1071</v>
      </c>
      <c r="C190" s="60" t="s">
        <v>60</v>
      </c>
      <c r="D190" s="60" t="s">
        <v>59</v>
      </c>
      <c r="E190" s="60"/>
      <c r="F190" s="52">
        <f>F191</f>
        <v>0</v>
      </c>
      <c r="G190" s="52">
        <f t="shared" ref="G190:O190" si="57">G191</f>
        <v>8166.1</v>
      </c>
      <c r="H190" s="315">
        <f t="shared" si="44"/>
        <v>8166.1</v>
      </c>
      <c r="I190" s="52">
        <f t="shared" si="57"/>
        <v>0</v>
      </c>
      <c r="J190" s="52">
        <f t="shared" si="57"/>
        <v>8159</v>
      </c>
      <c r="K190" s="315">
        <f t="shared" si="41"/>
        <v>-7.1000000000003638</v>
      </c>
      <c r="L190" s="52">
        <f t="shared" si="57"/>
        <v>0</v>
      </c>
      <c r="M190" s="320">
        <f t="shared" si="45"/>
        <v>0</v>
      </c>
      <c r="N190" s="52">
        <f t="shared" si="57"/>
        <v>0</v>
      </c>
      <c r="O190" s="52">
        <f t="shared" si="57"/>
        <v>0</v>
      </c>
      <c r="P190" s="315">
        <f t="shared" si="46"/>
        <v>0</v>
      </c>
      <c r="Q190" s="39"/>
      <c r="R190" s="40"/>
      <c r="S190" s="40"/>
      <c r="T190" s="245"/>
      <c r="U190" s="245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</row>
    <row r="191" spans="1:44" s="32" customFormat="1" ht="25.5" x14ac:dyDescent="0.2">
      <c r="A191" s="84" t="s">
        <v>73</v>
      </c>
      <c r="B191" s="54" t="s">
        <v>1071</v>
      </c>
      <c r="C191" s="60" t="s">
        <v>60</v>
      </c>
      <c r="D191" s="60" t="s">
        <v>59</v>
      </c>
      <c r="E191" s="60" t="s">
        <v>70</v>
      </c>
      <c r="F191" s="52">
        <v>0</v>
      </c>
      <c r="G191" s="52">
        <f>251.8+7914.3</f>
        <v>8166.1</v>
      </c>
      <c r="H191" s="315">
        <f t="shared" si="44"/>
        <v>8166.1</v>
      </c>
      <c r="I191" s="52">
        <v>0</v>
      </c>
      <c r="J191" s="52">
        <f>8166.1-7.1</f>
        <v>8159</v>
      </c>
      <c r="K191" s="315">
        <f t="shared" si="41"/>
        <v>-7.1000000000003638</v>
      </c>
      <c r="L191" s="52">
        <v>0</v>
      </c>
      <c r="M191" s="320">
        <f t="shared" si="45"/>
        <v>0</v>
      </c>
      <c r="N191" s="65">
        <v>0</v>
      </c>
      <c r="O191" s="52">
        <v>0</v>
      </c>
      <c r="P191" s="315">
        <f t="shared" si="46"/>
        <v>0</v>
      </c>
      <c r="Q191" s="39"/>
      <c r="R191" s="40"/>
      <c r="S191" s="40"/>
      <c r="T191" s="245"/>
      <c r="U191" s="245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</row>
    <row r="192" spans="1:44" s="32" customFormat="1" ht="26.25" customHeight="1" x14ac:dyDescent="0.2">
      <c r="A192" s="64" t="s">
        <v>78</v>
      </c>
      <c r="B192" s="54" t="s">
        <v>77</v>
      </c>
      <c r="C192" s="60" t="s">
        <v>60</v>
      </c>
      <c r="D192" s="60" t="s">
        <v>72</v>
      </c>
      <c r="E192" s="60"/>
      <c r="F192" s="52">
        <f>F193+F195</f>
        <v>1522.2</v>
      </c>
      <c r="G192" s="52">
        <f>G193+G195</f>
        <v>1522.2</v>
      </c>
      <c r="H192" s="315">
        <f t="shared" si="44"/>
        <v>0</v>
      </c>
      <c r="I192" s="52">
        <f>I193+I195</f>
        <v>1522.2</v>
      </c>
      <c r="J192" s="52">
        <f>J193+J195</f>
        <v>1522.2</v>
      </c>
      <c r="K192" s="315">
        <f t="shared" si="41"/>
        <v>0</v>
      </c>
      <c r="L192" s="52">
        <f>L193+L195</f>
        <v>1522.2</v>
      </c>
      <c r="M192" s="320">
        <f t="shared" si="45"/>
        <v>0</v>
      </c>
      <c r="N192" s="65">
        <f>N193+N195</f>
        <v>1522.2</v>
      </c>
      <c r="O192" s="52">
        <f>O193+O195</f>
        <v>1522.2</v>
      </c>
      <c r="P192" s="315">
        <f t="shared" si="46"/>
        <v>0</v>
      </c>
      <c r="Q192" s="39"/>
      <c r="R192" s="40"/>
      <c r="S192" s="40"/>
      <c r="T192" s="245"/>
      <c r="U192" s="245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</row>
    <row r="193" spans="1:44" s="32" customFormat="1" ht="37.5" customHeight="1" x14ac:dyDescent="0.2">
      <c r="A193" s="56" t="s">
        <v>76</v>
      </c>
      <c r="B193" s="54" t="s">
        <v>75</v>
      </c>
      <c r="C193" s="60" t="s">
        <v>60</v>
      </c>
      <c r="D193" s="60" t="s">
        <v>72</v>
      </c>
      <c r="E193" s="60"/>
      <c r="F193" s="52">
        <f>F194</f>
        <v>522.20000000000005</v>
      </c>
      <c r="G193" s="52">
        <f>G194</f>
        <v>522.20000000000005</v>
      </c>
      <c r="H193" s="315">
        <f t="shared" si="44"/>
        <v>0</v>
      </c>
      <c r="I193" s="52">
        <f>I194</f>
        <v>522.20000000000005</v>
      </c>
      <c r="J193" s="52">
        <f>J194</f>
        <v>522.20000000000005</v>
      </c>
      <c r="K193" s="315">
        <f t="shared" si="41"/>
        <v>0</v>
      </c>
      <c r="L193" s="52">
        <f>L194</f>
        <v>522.20000000000005</v>
      </c>
      <c r="M193" s="320">
        <f t="shared" si="45"/>
        <v>0</v>
      </c>
      <c r="N193" s="65">
        <f>N194</f>
        <v>522.20000000000005</v>
      </c>
      <c r="O193" s="52">
        <f>O194</f>
        <v>522.20000000000005</v>
      </c>
      <c r="P193" s="315">
        <f t="shared" si="46"/>
        <v>0</v>
      </c>
      <c r="Q193" s="39"/>
      <c r="R193" s="40"/>
      <c r="S193" s="40"/>
      <c r="T193" s="245"/>
      <c r="U193" s="245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</row>
    <row r="194" spans="1:44" s="32" customFormat="1" ht="25.5" x14ac:dyDescent="0.2">
      <c r="A194" s="84" t="s">
        <v>73</v>
      </c>
      <c r="B194" s="54" t="s">
        <v>75</v>
      </c>
      <c r="C194" s="60" t="s">
        <v>60</v>
      </c>
      <c r="D194" s="60" t="s">
        <v>72</v>
      </c>
      <c r="E194" s="60" t="s">
        <v>70</v>
      </c>
      <c r="F194" s="52">
        <f>470+52.2</f>
        <v>522.20000000000005</v>
      </c>
      <c r="G194" s="52">
        <f>470+52.2</f>
        <v>522.20000000000005</v>
      </c>
      <c r="H194" s="315">
        <f t="shared" si="44"/>
        <v>0</v>
      </c>
      <c r="I194" s="52">
        <f>470+52.2</f>
        <v>522.20000000000005</v>
      </c>
      <c r="J194" s="52">
        <f>470+52.2</f>
        <v>522.20000000000005</v>
      </c>
      <c r="K194" s="315">
        <f t="shared" si="41"/>
        <v>0</v>
      </c>
      <c r="L194" s="52">
        <f>470+52.2</f>
        <v>522.20000000000005</v>
      </c>
      <c r="M194" s="320">
        <f t="shared" si="45"/>
        <v>0</v>
      </c>
      <c r="N194" s="65">
        <f>470+52.2</f>
        <v>522.20000000000005</v>
      </c>
      <c r="O194" s="52">
        <f>470+52.2</f>
        <v>522.20000000000005</v>
      </c>
      <c r="P194" s="315">
        <f t="shared" si="46"/>
        <v>0</v>
      </c>
      <c r="Q194" s="39"/>
      <c r="R194" s="40"/>
      <c r="S194" s="40"/>
      <c r="T194" s="245"/>
      <c r="U194" s="245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</row>
    <row r="195" spans="1:44" s="32" customFormat="1" ht="38.25" x14ac:dyDescent="0.2">
      <c r="A195" s="64" t="s">
        <v>74</v>
      </c>
      <c r="B195" s="54" t="s">
        <v>71</v>
      </c>
      <c r="C195" s="60" t="s">
        <v>60</v>
      </c>
      <c r="D195" s="60" t="s">
        <v>72</v>
      </c>
      <c r="E195" s="60"/>
      <c r="F195" s="52">
        <f>F196</f>
        <v>1000</v>
      </c>
      <c r="G195" s="52">
        <f>G196</f>
        <v>1000</v>
      </c>
      <c r="H195" s="315">
        <f t="shared" si="44"/>
        <v>0</v>
      </c>
      <c r="I195" s="52">
        <f>I196</f>
        <v>1000</v>
      </c>
      <c r="J195" s="52">
        <f>J196</f>
        <v>1000</v>
      </c>
      <c r="K195" s="315">
        <f t="shared" si="41"/>
        <v>0</v>
      </c>
      <c r="L195" s="52">
        <f>L196</f>
        <v>1000</v>
      </c>
      <c r="M195" s="320">
        <f t="shared" si="45"/>
        <v>0</v>
      </c>
      <c r="N195" s="65">
        <f>N196</f>
        <v>1000</v>
      </c>
      <c r="O195" s="52">
        <f>O196</f>
        <v>1000</v>
      </c>
      <c r="P195" s="315">
        <f t="shared" si="46"/>
        <v>0</v>
      </c>
      <c r="Q195" s="39"/>
      <c r="R195" s="40"/>
      <c r="S195" s="40"/>
      <c r="T195" s="245"/>
      <c r="U195" s="245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</row>
    <row r="196" spans="1:44" s="32" customFormat="1" ht="25.5" x14ac:dyDescent="0.2">
      <c r="A196" s="84" t="s">
        <v>73</v>
      </c>
      <c r="B196" s="54" t="s">
        <v>71</v>
      </c>
      <c r="C196" s="60" t="s">
        <v>60</v>
      </c>
      <c r="D196" s="60" t="s">
        <v>72</v>
      </c>
      <c r="E196" s="60" t="s">
        <v>70</v>
      </c>
      <c r="F196" s="52">
        <f>900+100</f>
        <v>1000</v>
      </c>
      <c r="G196" s="52">
        <f>900+100</f>
        <v>1000</v>
      </c>
      <c r="H196" s="315">
        <f t="shared" si="44"/>
        <v>0</v>
      </c>
      <c r="I196" s="52">
        <f>900+100</f>
        <v>1000</v>
      </c>
      <c r="J196" s="52">
        <f>900+100</f>
        <v>1000</v>
      </c>
      <c r="K196" s="315">
        <f t="shared" si="41"/>
        <v>0</v>
      </c>
      <c r="L196" s="52">
        <f>900+100</f>
        <v>1000</v>
      </c>
      <c r="M196" s="320">
        <f t="shared" si="45"/>
        <v>0</v>
      </c>
      <c r="N196" s="65">
        <f>900+100</f>
        <v>1000</v>
      </c>
      <c r="O196" s="52">
        <f>900+100</f>
        <v>1000</v>
      </c>
      <c r="P196" s="315">
        <f t="shared" si="46"/>
        <v>0</v>
      </c>
      <c r="Q196" s="39"/>
      <c r="R196" s="40"/>
      <c r="S196" s="40"/>
      <c r="T196" s="245"/>
      <c r="U196" s="245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</row>
    <row r="197" spans="1:44" s="32" customFormat="1" x14ac:dyDescent="0.2">
      <c r="A197" s="84" t="s">
        <v>184</v>
      </c>
      <c r="B197" s="54" t="s">
        <v>183</v>
      </c>
      <c r="C197" s="60" t="s">
        <v>166</v>
      </c>
      <c r="D197" s="60" t="s">
        <v>45</v>
      </c>
      <c r="E197" s="60"/>
      <c r="F197" s="52">
        <f t="shared" ref="F197:O198" si="58">F198</f>
        <v>100</v>
      </c>
      <c r="G197" s="52">
        <f t="shared" si="58"/>
        <v>100</v>
      </c>
      <c r="H197" s="315">
        <f t="shared" si="44"/>
        <v>0</v>
      </c>
      <c r="I197" s="52">
        <f t="shared" si="58"/>
        <v>0</v>
      </c>
      <c r="J197" s="52">
        <f t="shared" si="58"/>
        <v>100</v>
      </c>
      <c r="K197" s="315">
        <f t="shared" si="41"/>
        <v>0</v>
      </c>
      <c r="L197" s="52">
        <f t="shared" si="58"/>
        <v>0</v>
      </c>
      <c r="M197" s="320">
        <f t="shared" si="45"/>
        <v>0</v>
      </c>
      <c r="N197" s="65">
        <f t="shared" si="58"/>
        <v>0</v>
      </c>
      <c r="O197" s="52">
        <f t="shared" si="58"/>
        <v>0</v>
      </c>
      <c r="P197" s="315">
        <f t="shared" si="46"/>
        <v>0</v>
      </c>
      <c r="Q197" s="39"/>
      <c r="R197" s="40"/>
      <c r="S197" s="40"/>
      <c r="T197" s="245"/>
      <c r="U197" s="245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</row>
    <row r="198" spans="1:44" s="32" customFormat="1" ht="27" customHeight="1" x14ac:dyDescent="0.2">
      <c r="A198" s="56" t="s">
        <v>182</v>
      </c>
      <c r="B198" s="54" t="s">
        <v>181</v>
      </c>
      <c r="C198" s="60" t="s">
        <v>166</v>
      </c>
      <c r="D198" s="60" t="s">
        <v>45</v>
      </c>
      <c r="E198" s="60"/>
      <c r="F198" s="52">
        <f t="shared" si="58"/>
        <v>100</v>
      </c>
      <c r="G198" s="52">
        <f t="shared" si="58"/>
        <v>100</v>
      </c>
      <c r="H198" s="315">
        <f t="shared" si="44"/>
        <v>0</v>
      </c>
      <c r="I198" s="52">
        <f t="shared" si="58"/>
        <v>0</v>
      </c>
      <c r="J198" s="52">
        <f t="shared" si="58"/>
        <v>100</v>
      </c>
      <c r="K198" s="315">
        <f t="shared" si="41"/>
        <v>0</v>
      </c>
      <c r="L198" s="52">
        <f t="shared" si="58"/>
        <v>0</v>
      </c>
      <c r="M198" s="320">
        <f t="shared" si="45"/>
        <v>0</v>
      </c>
      <c r="N198" s="65">
        <f t="shared" si="58"/>
        <v>0</v>
      </c>
      <c r="O198" s="52">
        <f t="shared" si="58"/>
        <v>0</v>
      </c>
      <c r="P198" s="315">
        <f t="shared" si="46"/>
        <v>0</v>
      </c>
      <c r="Q198" s="39"/>
      <c r="R198" s="40"/>
      <c r="S198" s="40"/>
      <c r="T198" s="245"/>
      <c r="U198" s="245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</row>
    <row r="199" spans="1:44" s="32" customFormat="1" x14ac:dyDescent="0.2">
      <c r="A199" s="64" t="s">
        <v>82</v>
      </c>
      <c r="B199" s="54" t="s">
        <v>181</v>
      </c>
      <c r="C199" s="60" t="s">
        <v>166</v>
      </c>
      <c r="D199" s="60" t="s">
        <v>45</v>
      </c>
      <c r="E199" s="60" t="s">
        <v>81</v>
      </c>
      <c r="F199" s="52">
        <f>100</f>
        <v>100</v>
      </c>
      <c r="G199" s="52">
        <f>100</f>
        <v>100</v>
      </c>
      <c r="H199" s="315">
        <f t="shared" si="44"/>
        <v>0</v>
      </c>
      <c r="I199" s="52">
        <v>0</v>
      </c>
      <c r="J199" s="52">
        <f>100</f>
        <v>100</v>
      </c>
      <c r="K199" s="315">
        <f t="shared" si="41"/>
        <v>0</v>
      </c>
      <c r="L199" s="52">
        <v>0</v>
      </c>
      <c r="M199" s="320">
        <f t="shared" si="45"/>
        <v>0</v>
      </c>
      <c r="N199" s="65">
        <v>0</v>
      </c>
      <c r="O199" s="52">
        <v>0</v>
      </c>
      <c r="P199" s="315">
        <f t="shared" si="46"/>
        <v>0</v>
      </c>
      <c r="Q199" s="39"/>
      <c r="R199" s="40"/>
      <c r="S199" s="40"/>
      <c r="T199" s="245"/>
      <c r="U199" s="245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</row>
    <row r="200" spans="1:44" s="32" customFormat="1" ht="51" x14ac:dyDescent="0.2">
      <c r="A200" s="56" t="s">
        <v>1124</v>
      </c>
      <c r="B200" s="54" t="s">
        <v>1107</v>
      </c>
      <c r="C200" s="60" t="s">
        <v>166</v>
      </c>
      <c r="D200" s="60" t="s">
        <v>45</v>
      </c>
      <c r="E200" s="60"/>
      <c r="F200" s="52"/>
      <c r="G200" s="52">
        <f>G201</f>
        <v>0</v>
      </c>
      <c r="H200" s="52">
        <f t="shared" ref="H200:P201" si="59">H201</f>
        <v>0</v>
      </c>
      <c r="I200" s="52">
        <f t="shared" si="59"/>
        <v>0</v>
      </c>
      <c r="J200" s="52">
        <f t="shared" si="59"/>
        <v>66.7</v>
      </c>
      <c r="K200" s="315">
        <f t="shared" si="41"/>
        <v>66.7</v>
      </c>
      <c r="L200" s="52">
        <f t="shared" si="59"/>
        <v>0</v>
      </c>
      <c r="M200" s="52">
        <f t="shared" si="59"/>
        <v>0</v>
      </c>
      <c r="N200" s="52">
        <f t="shared" si="59"/>
        <v>0</v>
      </c>
      <c r="O200" s="52">
        <f t="shared" si="59"/>
        <v>0</v>
      </c>
      <c r="P200" s="52">
        <f t="shared" si="59"/>
        <v>0</v>
      </c>
      <c r="Q200" s="39"/>
      <c r="R200" s="40"/>
      <c r="S200" s="40"/>
      <c r="T200" s="245"/>
      <c r="U200" s="245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</row>
    <row r="201" spans="1:44" s="32" customFormat="1" ht="25.5" x14ac:dyDescent="0.2">
      <c r="A201" s="64" t="s">
        <v>1106</v>
      </c>
      <c r="B201" s="54" t="s">
        <v>1105</v>
      </c>
      <c r="C201" s="60" t="s">
        <v>166</v>
      </c>
      <c r="D201" s="60" t="s">
        <v>45</v>
      </c>
      <c r="E201" s="60"/>
      <c r="F201" s="52"/>
      <c r="G201" s="52">
        <f>G202</f>
        <v>0</v>
      </c>
      <c r="H201" s="52">
        <f t="shared" si="59"/>
        <v>0</v>
      </c>
      <c r="I201" s="52">
        <f t="shared" si="59"/>
        <v>0</v>
      </c>
      <c r="J201" s="52">
        <f t="shared" si="59"/>
        <v>66.7</v>
      </c>
      <c r="K201" s="315">
        <f t="shared" si="41"/>
        <v>66.7</v>
      </c>
      <c r="L201" s="52">
        <f t="shared" si="59"/>
        <v>0</v>
      </c>
      <c r="M201" s="52">
        <f t="shared" si="59"/>
        <v>0</v>
      </c>
      <c r="N201" s="52">
        <f t="shared" si="59"/>
        <v>0</v>
      </c>
      <c r="O201" s="52">
        <f t="shared" si="59"/>
        <v>0</v>
      </c>
      <c r="P201" s="315"/>
      <c r="Q201" s="39"/>
      <c r="R201" s="40"/>
      <c r="S201" s="40"/>
      <c r="T201" s="245"/>
      <c r="U201" s="245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</row>
    <row r="202" spans="1:44" s="32" customFormat="1" x14ac:dyDescent="0.2">
      <c r="A202" s="61" t="s">
        <v>61</v>
      </c>
      <c r="B202" s="54" t="s">
        <v>1105</v>
      </c>
      <c r="C202" s="60" t="s">
        <v>166</v>
      </c>
      <c r="D202" s="60" t="s">
        <v>45</v>
      </c>
      <c r="E202" s="60" t="s">
        <v>57</v>
      </c>
      <c r="F202" s="52"/>
      <c r="G202" s="52">
        <v>0</v>
      </c>
      <c r="H202" s="315"/>
      <c r="I202" s="52"/>
      <c r="J202" s="52">
        <v>66.7</v>
      </c>
      <c r="K202" s="315">
        <f t="shared" si="41"/>
        <v>66.7</v>
      </c>
      <c r="L202" s="52">
        <v>0</v>
      </c>
      <c r="M202" s="320"/>
      <c r="N202" s="65"/>
      <c r="O202" s="52">
        <v>0</v>
      </c>
      <c r="P202" s="315"/>
      <c r="Q202" s="39"/>
      <c r="R202" s="40"/>
      <c r="S202" s="40"/>
      <c r="T202" s="245"/>
      <c r="U202" s="245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</row>
    <row r="203" spans="1:44" s="31" customFormat="1" x14ac:dyDescent="0.2">
      <c r="A203" s="246" t="s">
        <v>52</v>
      </c>
      <c r="B203" s="54" t="s">
        <v>92</v>
      </c>
      <c r="C203" s="60"/>
      <c r="D203" s="60"/>
      <c r="E203" s="60"/>
      <c r="F203" s="52">
        <f>F204+F209+F223+F227+F231</f>
        <v>87840.7</v>
      </c>
      <c r="G203" s="52">
        <f>G204+G209+G223+G227+G231</f>
        <v>92573.1</v>
      </c>
      <c r="H203" s="315">
        <f t="shared" si="44"/>
        <v>4732.4000000000087</v>
      </c>
      <c r="I203" s="52">
        <f>I204+I209+I223+I227+I231</f>
        <v>92876.800000000003</v>
      </c>
      <c r="J203" s="52">
        <f>J204+J209+J223+J227+J231</f>
        <v>89988.1</v>
      </c>
      <c r="K203" s="315">
        <f t="shared" si="41"/>
        <v>-2585</v>
      </c>
      <c r="L203" s="52">
        <f>L204+L209+L223+L227+L231</f>
        <v>92876.800000000003</v>
      </c>
      <c r="M203" s="320">
        <f t="shared" si="45"/>
        <v>0</v>
      </c>
      <c r="N203" s="65">
        <f>N204+N209+N223+N227+N231</f>
        <v>92776.8</v>
      </c>
      <c r="O203" s="52">
        <f>O204+O209+O223+O227+O231</f>
        <v>92776.8</v>
      </c>
      <c r="P203" s="315">
        <f t="shared" si="46"/>
        <v>0</v>
      </c>
      <c r="Q203" s="39"/>
      <c r="R203" s="40"/>
      <c r="S203" s="40"/>
      <c r="T203" s="214"/>
      <c r="U203" s="214"/>
      <c r="V203" s="231"/>
      <c r="W203" s="231"/>
      <c r="X203" s="231"/>
      <c r="Y203" s="231"/>
      <c r="Z203" s="231"/>
      <c r="AA203" s="231"/>
      <c r="AB203" s="231"/>
      <c r="AC203" s="231"/>
      <c r="AD203" s="231"/>
      <c r="AE203" s="231"/>
      <c r="AF203" s="231"/>
      <c r="AG203" s="231"/>
      <c r="AH203" s="231"/>
      <c r="AI203" s="231"/>
      <c r="AJ203" s="231"/>
      <c r="AK203" s="231"/>
      <c r="AL203" s="231"/>
      <c r="AM203" s="231"/>
      <c r="AN203" s="231"/>
      <c r="AO203" s="231"/>
      <c r="AP203" s="231"/>
      <c r="AQ203" s="231"/>
      <c r="AR203" s="231"/>
    </row>
    <row r="204" spans="1:44" s="31" customFormat="1" ht="25.5" x14ac:dyDescent="0.2">
      <c r="A204" s="62" t="s">
        <v>180</v>
      </c>
      <c r="B204" s="54" t="s">
        <v>179</v>
      </c>
      <c r="C204" s="60"/>
      <c r="D204" s="60"/>
      <c r="E204" s="60"/>
      <c r="F204" s="52">
        <f>F205</f>
        <v>530</v>
      </c>
      <c r="G204" s="52">
        <f>G205</f>
        <v>530</v>
      </c>
      <c r="H204" s="315">
        <f t="shared" si="44"/>
        <v>0</v>
      </c>
      <c r="I204" s="52">
        <f>I205</f>
        <v>504.9</v>
      </c>
      <c r="J204" s="52">
        <f>J205</f>
        <v>530</v>
      </c>
      <c r="K204" s="315">
        <f t="shared" si="41"/>
        <v>0</v>
      </c>
      <c r="L204" s="52">
        <f>L205</f>
        <v>504.9</v>
      </c>
      <c r="M204" s="320">
        <f t="shared" si="45"/>
        <v>0</v>
      </c>
      <c r="N204" s="65">
        <f>N205</f>
        <v>504.9</v>
      </c>
      <c r="O204" s="52">
        <f>O205</f>
        <v>504.9</v>
      </c>
      <c r="P204" s="315">
        <f t="shared" si="46"/>
        <v>0</v>
      </c>
      <c r="Q204" s="39"/>
      <c r="R204" s="40"/>
      <c r="S204" s="40"/>
      <c r="T204" s="214"/>
      <c r="U204" s="214"/>
      <c r="V204" s="231"/>
      <c r="W204" s="231"/>
      <c r="X204" s="231"/>
      <c r="Y204" s="231"/>
      <c r="Z204" s="231"/>
      <c r="AA204" s="231"/>
      <c r="AB204" s="231"/>
      <c r="AC204" s="231"/>
      <c r="AD204" s="231"/>
      <c r="AE204" s="231"/>
      <c r="AF204" s="231"/>
      <c r="AG204" s="231"/>
      <c r="AH204" s="231"/>
      <c r="AI204" s="231"/>
      <c r="AJ204" s="231"/>
      <c r="AK204" s="231"/>
      <c r="AL204" s="231"/>
      <c r="AM204" s="231"/>
      <c r="AN204" s="231"/>
      <c r="AO204" s="231"/>
      <c r="AP204" s="231"/>
      <c r="AQ204" s="231"/>
      <c r="AR204" s="231"/>
    </row>
    <row r="205" spans="1:44" s="31" customFormat="1" x14ac:dyDescent="0.2">
      <c r="A205" s="95" t="s">
        <v>178</v>
      </c>
      <c r="B205" s="54" t="s">
        <v>177</v>
      </c>
      <c r="C205" s="60"/>
      <c r="D205" s="60"/>
      <c r="E205" s="60"/>
      <c r="F205" s="52">
        <f>F206+F207+F208</f>
        <v>530</v>
      </c>
      <c r="G205" s="52">
        <f>G206+G207+G208</f>
        <v>530</v>
      </c>
      <c r="H205" s="315">
        <f t="shared" si="44"/>
        <v>0</v>
      </c>
      <c r="I205" s="52">
        <f>I206+I207+I208</f>
        <v>504.9</v>
      </c>
      <c r="J205" s="52">
        <f>J206+J207+J208</f>
        <v>530</v>
      </c>
      <c r="K205" s="315">
        <f t="shared" si="41"/>
        <v>0</v>
      </c>
      <c r="L205" s="52">
        <f>L206+L207+L208</f>
        <v>504.9</v>
      </c>
      <c r="M205" s="320">
        <f t="shared" si="45"/>
        <v>0</v>
      </c>
      <c r="N205" s="52">
        <f>N206+N207+N208</f>
        <v>504.9</v>
      </c>
      <c r="O205" s="52">
        <f>O206+O207+O208</f>
        <v>504.9</v>
      </c>
      <c r="P205" s="315">
        <f t="shared" si="46"/>
        <v>0</v>
      </c>
      <c r="Q205" s="39"/>
      <c r="R205" s="40"/>
      <c r="S205" s="40"/>
      <c r="T205" s="214"/>
      <c r="U205" s="214"/>
      <c r="V205" s="231"/>
      <c r="W205" s="231"/>
      <c r="X205" s="231"/>
      <c r="Y205" s="231"/>
      <c r="Z205" s="231"/>
      <c r="AA205" s="231"/>
      <c r="AB205" s="231"/>
      <c r="AC205" s="231"/>
      <c r="AD205" s="231"/>
      <c r="AE205" s="231"/>
      <c r="AF205" s="231"/>
      <c r="AG205" s="231"/>
      <c r="AH205" s="231"/>
      <c r="AI205" s="231"/>
      <c r="AJ205" s="231"/>
      <c r="AK205" s="231"/>
      <c r="AL205" s="231"/>
      <c r="AM205" s="231"/>
      <c r="AN205" s="231"/>
      <c r="AO205" s="231"/>
      <c r="AP205" s="231"/>
      <c r="AQ205" s="231"/>
      <c r="AR205" s="231"/>
    </row>
    <row r="206" spans="1:44" s="31" customFormat="1" ht="25.5" x14ac:dyDescent="0.2">
      <c r="A206" s="84" t="s">
        <v>73</v>
      </c>
      <c r="B206" s="54" t="s">
        <v>177</v>
      </c>
      <c r="C206" s="60" t="s">
        <v>166</v>
      </c>
      <c r="D206" s="60" t="s">
        <v>45</v>
      </c>
      <c r="E206" s="60" t="s">
        <v>70</v>
      </c>
      <c r="F206" s="52">
        <v>320</v>
      </c>
      <c r="G206" s="52">
        <v>320</v>
      </c>
      <c r="H206" s="315">
        <f t="shared" si="44"/>
        <v>0</v>
      </c>
      <c r="I206" s="52">
        <v>319.89999999999998</v>
      </c>
      <c r="J206" s="52">
        <f>320</f>
        <v>320</v>
      </c>
      <c r="K206" s="315">
        <f t="shared" si="41"/>
        <v>0</v>
      </c>
      <c r="L206" s="52">
        <v>319.89999999999998</v>
      </c>
      <c r="M206" s="320">
        <f t="shared" si="45"/>
        <v>0</v>
      </c>
      <c r="N206" s="52">
        <v>319.89999999999998</v>
      </c>
      <c r="O206" s="52">
        <v>319.89999999999998</v>
      </c>
      <c r="P206" s="315">
        <f t="shared" si="46"/>
        <v>0</v>
      </c>
      <c r="Q206" s="39"/>
      <c r="R206" s="40"/>
      <c r="S206" s="40"/>
      <c r="T206" s="214"/>
      <c r="U206" s="214"/>
      <c r="V206" s="231"/>
      <c r="W206" s="231"/>
      <c r="X206" s="231"/>
      <c r="Y206" s="231"/>
      <c r="Z206" s="231"/>
      <c r="AA206" s="231"/>
      <c r="AB206" s="231"/>
      <c r="AC206" s="231"/>
      <c r="AD206" s="231"/>
      <c r="AE206" s="231"/>
      <c r="AF206" s="231"/>
      <c r="AG206" s="231"/>
      <c r="AH206" s="231"/>
      <c r="AI206" s="231"/>
      <c r="AJ206" s="231"/>
      <c r="AK206" s="231"/>
      <c r="AL206" s="231"/>
      <c r="AM206" s="231"/>
      <c r="AN206" s="231"/>
      <c r="AO206" s="231"/>
      <c r="AP206" s="231"/>
      <c r="AQ206" s="231"/>
      <c r="AR206" s="231"/>
    </row>
    <row r="207" spans="1:44" s="32" customFormat="1" x14ac:dyDescent="0.2">
      <c r="A207" s="95" t="s">
        <v>82</v>
      </c>
      <c r="B207" s="54" t="s">
        <v>177</v>
      </c>
      <c r="C207" s="60" t="s">
        <v>166</v>
      </c>
      <c r="D207" s="60" t="s">
        <v>45</v>
      </c>
      <c r="E207" s="60" t="s">
        <v>81</v>
      </c>
      <c r="F207" s="52">
        <v>160</v>
      </c>
      <c r="G207" s="52">
        <v>160</v>
      </c>
      <c r="H207" s="315">
        <f t="shared" si="44"/>
        <v>0</v>
      </c>
      <c r="I207" s="52">
        <v>135</v>
      </c>
      <c r="J207" s="52">
        <v>160</v>
      </c>
      <c r="K207" s="315">
        <f t="shared" si="41"/>
        <v>0</v>
      </c>
      <c r="L207" s="52">
        <v>135</v>
      </c>
      <c r="M207" s="320">
        <f t="shared" si="45"/>
        <v>0</v>
      </c>
      <c r="N207" s="65">
        <v>135</v>
      </c>
      <c r="O207" s="52">
        <v>135</v>
      </c>
      <c r="P207" s="315">
        <f t="shared" si="46"/>
        <v>0</v>
      </c>
      <c r="Q207" s="39"/>
      <c r="R207" s="40"/>
      <c r="S207" s="40"/>
      <c r="T207" s="245"/>
      <c r="U207" s="245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</row>
    <row r="208" spans="1:44" s="32" customFormat="1" x14ac:dyDescent="0.2">
      <c r="A208" s="61" t="s">
        <v>61</v>
      </c>
      <c r="B208" s="54" t="s">
        <v>177</v>
      </c>
      <c r="C208" s="60" t="s">
        <v>166</v>
      </c>
      <c r="D208" s="60" t="s">
        <v>45</v>
      </c>
      <c r="E208" s="60" t="s">
        <v>57</v>
      </c>
      <c r="F208" s="52">
        <v>50</v>
      </c>
      <c r="G208" s="52">
        <v>50</v>
      </c>
      <c r="H208" s="315">
        <f t="shared" si="44"/>
        <v>0</v>
      </c>
      <c r="I208" s="52">
        <v>50</v>
      </c>
      <c r="J208" s="52">
        <v>50</v>
      </c>
      <c r="K208" s="315">
        <f t="shared" si="41"/>
        <v>0</v>
      </c>
      <c r="L208" s="52">
        <v>50</v>
      </c>
      <c r="M208" s="320">
        <f t="shared" si="45"/>
        <v>0</v>
      </c>
      <c r="N208" s="65">
        <v>50</v>
      </c>
      <c r="O208" s="52">
        <v>50</v>
      </c>
      <c r="P208" s="315">
        <f t="shared" si="46"/>
        <v>0</v>
      </c>
      <c r="Q208" s="39"/>
      <c r="R208" s="40"/>
      <c r="S208" s="40"/>
      <c r="T208" s="245"/>
      <c r="U208" s="245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</row>
    <row r="209" spans="1:44" s="32" customFormat="1" ht="25.5" x14ac:dyDescent="0.2">
      <c r="A209" s="62" t="s">
        <v>176</v>
      </c>
      <c r="B209" s="54" t="s">
        <v>175</v>
      </c>
      <c r="C209" s="60"/>
      <c r="D209" s="60"/>
      <c r="E209" s="60"/>
      <c r="F209" s="52">
        <f>F210+F218+F216</f>
        <v>71183.899999999994</v>
      </c>
      <c r="G209" s="52">
        <f>G210+G218+G216</f>
        <v>71416.3</v>
      </c>
      <c r="H209" s="315">
        <f t="shared" si="44"/>
        <v>232.40000000000873</v>
      </c>
      <c r="I209" s="52">
        <f>I210+I218+I216</f>
        <v>75625.100000000006</v>
      </c>
      <c r="J209" s="52">
        <f>J210+J218+J216</f>
        <v>68824.2</v>
      </c>
      <c r="K209" s="315">
        <f t="shared" ref="K209:K272" si="60">J209-G209</f>
        <v>-2592.1000000000058</v>
      </c>
      <c r="L209" s="52">
        <f>L210+L218+L216</f>
        <v>75625.100000000006</v>
      </c>
      <c r="M209" s="320">
        <f t="shared" si="45"/>
        <v>0</v>
      </c>
      <c r="N209" s="65">
        <f>N210+N218+N216</f>
        <v>75525.100000000006</v>
      </c>
      <c r="O209" s="52">
        <f>O210+O218+O216</f>
        <v>75525.100000000006</v>
      </c>
      <c r="P209" s="315">
        <f t="shared" si="46"/>
        <v>0</v>
      </c>
      <c r="Q209" s="39"/>
      <c r="R209" s="40"/>
      <c r="S209" s="40"/>
      <c r="T209" s="245"/>
      <c r="U209" s="245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</row>
    <row r="210" spans="1:44" s="32" customFormat="1" ht="25.5" x14ac:dyDescent="0.2">
      <c r="A210" s="62" t="s">
        <v>174</v>
      </c>
      <c r="B210" s="54" t="s">
        <v>173</v>
      </c>
      <c r="C210" s="60" t="s">
        <v>166</v>
      </c>
      <c r="D210" s="60" t="s">
        <v>45</v>
      </c>
      <c r="E210" s="60"/>
      <c r="F210" s="52">
        <f>F211+F212+F213+F214+F215</f>
        <v>34651.800000000003</v>
      </c>
      <c r="G210" s="52">
        <f t="shared" ref="G210:O210" si="61">G211+G212+G213+G214+G215</f>
        <v>34884.200000000004</v>
      </c>
      <c r="H210" s="315">
        <f t="shared" si="44"/>
        <v>232.40000000000146</v>
      </c>
      <c r="I210" s="52">
        <f t="shared" si="61"/>
        <v>39038.600000000006</v>
      </c>
      <c r="J210" s="52">
        <f t="shared" si="61"/>
        <v>32406.800000000003</v>
      </c>
      <c r="K210" s="315">
        <f t="shared" si="60"/>
        <v>-2477.4000000000015</v>
      </c>
      <c r="L210" s="52">
        <f t="shared" si="61"/>
        <v>39038.600000000006</v>
      </c>
      <c r="M210" s="320">
        <f t="shared" si="45"/>
        <v>0</v>
      </c>
      <c r="N210" s="52">
        <f t="shared" si="61"/>
        <v>38938.600000000006</v>
      </c>
      <c r="O210" s="52">
        <f t="shared" si="61"/>
        <v>38938.600000000006</v>
      </c>
      <c r="P210" s="315">
        <f t="shared" si="46"/>
        <v>0</v>
      </c>
      <c r="Q210" s="39"/>
      <c r="R210" s="234"/>
      <c r="S210" s="40"/>
      <c r="T210" s="245"/>
      <c r="U210" s="245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</row>
    <row r="211" spans="1:44" s="32" customFormat="1" x14ac:dyDescent="0.2">
      <c r="A211" s="84" t="s">
        <v>145</v>
      </c>
      <c r="B211" s="54" t="s">
        <v>173</v>
      </c>
      <c r="C211" s="60" t="s">
        <v>166</v>
      </c>
      <c r="D211" s="60" t="s">
        <v>45</v>
      </c>
      <c r="E211" s="60" t="s">
        <v>144</v>
      </c>
      <c r="F211" s="52">
        <v>45.2</v>
      </c>
      <c r="G211" s="52">
        <f>45.2-0.1+200</f>
        <v>245.1</v>
      </c>
      <c r="H211" s="315">
        <f t="shared" si="44"/>
        <v>199.89999999999998</v>
      </c>
      <c r="I211" s="52">
        <v>45.2</v>
      </c>
      <c r="J211" s="52">
        <f>45.2-0.1+200</f>
        <v>245.1</v>
      </c>
      <c r="K211" s="315">
        <f t="shared" si="60"/>
        <v>0</v>
      </c>
      <c r="L211" s="52">
        <v>45.2</v>
      </c>
      <c r="M211" s="320">
        <f t="shared" si="45"/>
        <v>0</v>
      </c>
      <c r="N211" s="65">
        <v>45.2</v>
      </c>
      <c r="O211" s="52">
        <v>45.2</v>
      </c>
      <c r="P211" s="315">
        <f t="shared" si="46"/>
        <v>0</v>
      </c>
      <c r="Q211" s="39"/>
      <c r="R211" s="40"/>
      <c r="S211" s="40"/>
      <c r="T211" s="245"/>
      <c r="U211" s="245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</row>
    <row r="212" spans="1:44" s="32" customFormat="1" ht="25.5" x14ac:dyDescent="0.2">
      <c r="A212" s="84" t="s">
        <v>73</v>
      </c>
      <c r="B212" s="54" t="s">
        <v>173</v>
      </c>
      <c r="C212" s="60" t="s">
        <v>166</v>
      </c>
      <c r="D212" s="60" t="s">
        <v>45</v>
      </c>
      <c r="E212" s="60" t="s">
        <v>70</v>
      </c>
      <c r="F212" s="52">
        <v>3800</v>
      </c>
      <c r="G212" s="52">
        <v>3800</v>
      </c>
      <c r="H212" s="315">
        <f t="shared" si="44"/>
        <v>0</v>
      </c>
      <c r="I212" s="52">
        <v>3800</v>
      </c>
      <c r="J212" s="52">
        <f>3800-600-119.3</f>
        <v>3080.7</v>
      </c>
      <c r="K212" s="315">
        <f t="shared" si="60"/>
        <v>-719.30000000000018</v>
      </c>
      <c r="L212" s="52">
        <v>3800</v>
      </c>
      <c r="M212" s="320">
        <f t="shared" si="45"/>
        <v>0</v>
      </c>
      <c r="N212" s="52">
        <v>3800</v>
      </c>
      <c r="O212" s="52">
        <v>3800</v>
      </c>
      <c r="P212" s="315">
        <f t="shared" si="46"/>
        <v>0</v>
      </c>
      <c r="Q212" s="39"/>
      <c r="R212" s="234"/>
      <c r="S212" s="40"/>
      <c r="T212" s="245"/>
      <c r="U212" s="245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</row>
    <row r="213" spans="1:44" s="32" customFormat="1" x14ac:dyDescent="0.2">
      <c r="A213" s="95" t="s">
        <v>82</v>
      </c>
      <c r="B213" s="54" t="s">
        <v>173</v>
      </c>
      <c r="C213" s="60" t="s">
        <v>166</v>
      </c>
      <c r="D213" s="60" t="s">
        <v>45</v>
      </c>
      <c r="E213" s="60" t="s">
        <v>81</v>
      </c>
      <c r="F213" s="52">
        <f>6060.6-250+1154.5+1666.5</f>
        <v>8631.6</v>
      </c>
      <c r="G213" s="52">
        <f>8631.6+383.2</f>
        <v>9014.8000000000011</v>
      </c>
      <c r="H213" s="315">
        <f t="shared" si="44"/>
        <v>383.20000000000073</v>
      </c>
      <c r="I213" s="52">
        <f>5330+1154.5+1666.5</f>
        <v>8151</v>
      </c>
      <c r="J213" s="52">
        <f>8631.6+383.2</f>
        <v>9014.8000000000011</v>
      </c>
      <c r="K213" s="315">
        <f t="shared" si="60"/>
        <v>0</v>
      </c>
      <c r="L213" s="52">
        <f>5330+1154.5+1666.5</f>
        <v>8151</v>
      </c>
      <c r="M213" s="320">
        <f t="shared" si="45"/>
        <v>0</v>
      </c>
      <c r="N213" s="65">
        <f>5330+1154.5+1666.5</f>
        <v>8151</v>
      </c>
      <c r="O213" s="52">
        <f>5330+1154.5+1666.5</f>
        <v>8151</v>
      </c>
      <c r="P213" s="315">
        <f t="shared" si="46"/>
        <v>0</v>
      </c>
      <c r="Q213" s="39"/>
      <c r="R213" s="40"/>
      <c r="S213" s="40"/>
      <c r="T213" s="245"/>
      <c r="U213" s="245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</row>
    <row r="214" spans="1:44" s="32" customFormat="1" x14ac:dyDescent="0.2">
      <c r="A214" s="61" t="s">
        <v>61</v>
      </c>
      <c r="B214" s="54" t="s">
        <v>173</v>
      </c>
      <c r="C214" s="60" t="s">
        <v>166</v>
      </c>
      <c r="D214" s="60" t="s">
        <v>45</v>
      </c>
      <c r="E214" s="60" t="s">
        <v>57</v>
      </c>
      <c r="F214" s="52">
        <f>26242.4+150+267.2-266-1300-66.6-2800-52</f>
        <v>22175.000000000004</v>
      </c>
      <c r="G214" s="52">
        <f>22175+64.3-415.1</f>
        <v>21824.2</v>
      </c>
      <c r="H214" s="315">
        <f t="shared" si="44"/>
        <v>-350.80000000000291</v>
      </c>
      <c r="I214" s="52">
        <f>26242.4+800</f>
        <v>27042.400000000001</v>
      </c>
      <c r="J214" s="52">
        <f>21824.2-1000+279.7-97.7-165.8-774.3</f>
        <v>20066.100000000002</v>
      </c>
      <c r="K214" s="315">
        <f t="shared" si="60"/>
        <v>-1758.0999999999985</v>
      </c>
      <c r="L214" s="52">
        <f>26242.4+800</f>
        <v>27042.400000000001</v>
      </c>
      <c r="M214" s="320">
        <f t="shared" si="45"/>
        <v>0</v>
      </c>
      <c r="N214" s="52">
        <f>26242.4+700</f>
        <v>26942.400000000001</v>
      </c>
      <c r="O214" s="52">
        <f>26242.4+700</f>
        <v>26942.400000000001</v>
      </c>
      <c r="P214" s="315">
        <f t="shared" si="46"/>
        <v>0</v>
      </c>
      <c r="Q214" s="39"/>
      <c r="R214" s="40"/>
      <c r="S214" s="39"/>
      <c r="T214" s="245"/>
      <c r="U214" s="245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</row>
    <row r="215" spans="1:44" s="32" customFormat="1" x14ac:dyDescent="0.2">
      <c r="A215" s="96" t="s">
        <v>322</v>
      </c>
      <c r="B215" s="54" t="s">
        <v>173</v>
      </c>
      <c r="C215" s="60" t="s">
        <v>166</v>
      </c>
      <c r="D215" s="60" t="s">
        <v>45</v>
      </c>
      <c r="E215" s="60" t="s">
        <v>320</v>
      </c>
      <c r="F215" s="52">
        <v>0</v>
      </c>
      <c r="G215" s="52">
        <v>0.1</v>
      </c>
      <c r="H215" s="315">
        <f t="shared" si="44"/>
        <v>0.1</v>
      </c>
      <c r="I215" s="52">
        <v>0</v>
      </c>
      <c r="J215" s="52">
        <v>0.1</v>
      </c>
      <c r="K215" s="315">
        <f t="shared" si="60"/>
        <v>0</v>
      </c>
      <c r="L215" s="52">
        <v>0</v>
      </c>
      <c r="M215" s="320">
        <f t="shared" si="45"/>
        <v>0</v>
      </c>
      <c r="N215" s="65">
        <v>0</v>
      </c>
      <c r="O215" s="52">
        <v>0</v>
      </c>
      <c r="P215" s="315">
        <f t="shared" si="46"/>
        <v>0</v>
      </c>
      <c r="Q215" s="39"/>
      <c r="R215" s="40"/>
      <c r="S215" s="234"/>
      <c r="T215" s="245"/>
      <c r="U215" s="245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</row>
    <row r="216" spans="1:44" s="32" customFormat="1" x14ac:dyDescent="0.2">
      <c r="A216" s="56" t="s">
        <v>683</v>
      </c>
      <c r="B216" s="54" t="s">
        <v>225</v>
      </c>
      <c r="C216" s="60" t="s">
        <v>159</v>
      </c>
      <c r="D216" s="60" t="s">
        <v>111</v>
      </c>
      <c r="E216" s="60"/>
      <c r="F216" s="52">
        <f>F217</f>
        <v>6997.4</v>
      </c>
      <c r="G216" s="52">
        <f>G217</f>
        <v>6997.4</v>
      </c>
      <c r="H216" s="315">
        <f t="shared" si="44"/>
        <v>0</v>
      </c>
      <c r="I216" s="52">
        <f>I217</f>
        <v>6997.4</v>
      </c>
      <c r="J216" s="52">
        <f>J217</f>
        <v>6882.7</v>
      </c>
      <c r="K216" s="315">
        <f t="shared" si="60"/>
        <v>-114.69999999999982</v>
      </c>
      <c r="L216" s="52">
        <f>L217</f>
        <v>6997.4</v>
      </c>
      <c r="M216" s="320">
        <f t="shared" si="45"/>
        <v>0</v>
      </c>
      <c r="N216" s="65">
        <f>N217</f>
        <v>6997.4</v>
      </c>
      <c r="O216" s="52">
        <f>O217</f>
        <v>6997.4</v>
      </c>
      <c r="P216" s="315">
        <f t="shared" si="46"/>
        <v>0</v>
      </c>
      <c r="Q216" s="39"/>
      <c r="R216" s="40"/>
      <c r="S216" s="40"/>
      <c r="T216" s="245"/>
      <c r="U216" s="245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</row>
    <row r="217" spans="1:44" s="32" customFormat="1" x14ac:dyDescent="0.2">
      <c r="A217" s="95" t="s">
        <v>82</v>
      </c>
      <c r="B217" s="54" t="s">
        <v>225</v>
      </c>
      <c r="C217" s="60" t="s">
        <v>159</v>
      </c>
      <c r="D217" s="60" t="s">
        <v>111</v>
      </c>
      <c r="E217" s="60" t="s">
        <v>81</v>
      </c>
      <c r="F217" s="52">
        <v>6997.4</v>
      </c>
      <c r="G217" s="52">
        <v>6997.4</v>
      </c>
      <c r="H217" s="315">
        <f t="shared" si="44"/>
        <v>0</v>
      </c>
      <c r="I217" s="52">
        <v>6997.4</v>
      </c>
      <c r="J217" s="52">
        <f>6997.4-114.7</f>
        <v>6882.7</v>
      </c>
      <c r="K217" s="315">
        <f t="shared" si="60"/>
        <v>-114.69999999999982</v>
      </c>
      <c r="L217" s="52">
        <v>6997.4</v>
      </c>
      <c r="M217" s="320">
        <f t="shared" si="45"/>
        <v>0</v>
      </c>
      <c r="N217" s="52">
        <v>6997.4</v>
      </c>
      <c r="O217" s="52">
        <v>6997.4</v>
      </c>
      <c r="P217" s="315">
        <f t="shared" si="46"/>
        <v>0</v>
      </c>
      <c r="Q217" s="39"/>
      <c r="R217" s="40"/>
      <c r="S217" s="40"/>
      <c r="T217" s="245"/>
      <c r="U217" s="245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</row>
    <row r="218" spans="1:44" s="32" customFormat="1" ht="25.5" x14ac:dyDescent="0.2">
      <c r="A218" s="64" t="s">
        <v>88</v>
      </c>
      <c r="B218" s="54" t="s">
        <v>172</v>
      </c>
      <c r="C218" s="60"/>
      <c r="D218" s="60"/>
      <c r="E218" s="60"/>
      <c r="F218" s="52">
        <f>F220+F221+F222+F219</f>
        <v>29534.7</v>
      </c>
      <c r="G218" s="52">
        <f>G220+G221+G222+G219</f>
        <v>29534.7</v>
      </c>
      <c r="H218" s="315">
        <f t="shared" si="44"/>
        <v>0</v>
      </c>
      <c r="I218" s="52">
        <f>I220+I221+I222+I219</f>
        <v>29589.1</v>
      </c>
      <c r="J218" s="52">
        <f>J220+J221+J222+J219</f>
        <v>29534.7</v>
      </c>
      <c r="K218" s="315">
        <f t="shared" si="60"/>
        <v>0</v>
      </c>
      <c r="L218" s="52">
        <f>L220+L221+L222+L219</f>
        <v>29589.1</v>
      </c>
      <c r="M218" s="320">
        <f t="shared" si="45"/>
        <v>0</v>
      </c>
      <c r="N218" s="65">
        <f>N220+N221+N222+N219</f>
        <v>29589.1</v>
      </c>
      <c r="O218" s="52">
        <f>O220+O221+O222+O219</f>
        <v>29589.1</v>
      </c>
      <c r="P218" s="315">
        <f t="shared" si="46"/>
        <v>0</v>
      </c>
      <c r="Q218" s="39"/>
      <c r="R218" s="40"/>
      <c r="S218" s="40"/>
      <c r="T218" s="245"/>
      <c r="U218" s="245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</row>
    <row r="219" spans="1:44" s="32" customFormat="1" hidden="1" x14ac:dyDescent="0.2">
      <c r="A219" s="95" t="s">
        <v>82</v>
      </c>
      <c r="B219" s="54" t="s">
        <v>172</v>
      </c>
      <c r="C219" s="60" t="s">
        <v>159</v>
      </c>
      <c r="D219" s="60" t="s">
        <v>111</v>
      </c>
      <c r="E219" s="60" t="s">
        <v>81</v>
      </c>
      <c r="F219" s="52"/>
      <c r="G219" s="52"/>
      <c r="H219" s="315">
        <f t="shared" si="44"/>
        <v>0</v>
      </c>
      <c r="I219" s="52"/>
      <c r="J219" s="52"/>
      <c r="K219" s="315">
        <f t="shared" si="60"/>
        <v>0</v>
      </c>
      <c r="L219" s="52"/>
      <c r="M219" s="320">
        <f t="shared" si="45"/>
        <v>0</v>
      </c>
      <c r="N219" s="65"/>
      <c r="O219" s="52"/>
      <c r="P219" s="315">
        <f t="shared" si="46"/>
        <v>0</v>
      </c>
      <c r="Q219" s="39"/>
      <c r="R219" s="40"/>
      <c r="S219" s="40"/>
      <c r="T219" s="245"/>
      <c r="U219" s="245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</row>
    <row r="220" spans="1:44" s="32" customFormat="1" x14ac:dyDescent="0.2">
      <c r="A220" s="84" t="s">
        <v>145</v>
      </c>
      <c r="B220" s="54" t="s">
        <v>172</v>
      </c>
      <c r="C220" s="60" t="s">
        <v>166</v>
      </c>
      <c r="D220" s="60" t="s">
        <v>45</v>
      </c>
      <c r="E220" s="60" t="s">
        <v>144</v>
      </c>
      <c r="F220" s="52">
        <f>16192-1300</f>
        <v>14892</v>
      </c>
      <c r="G220" s="52">
        <f>16192-1300</f>
        <v>14892</v>
      </c>
      <c r="H220" s="315">
        <f t="shared" si="44"/>
        <v>0</v>
      </c>
      <c r="I220" s="52">
        <v>16192</v>
      </c>
      <c r="J220" s="52">
        <f>16192-1300</f>
        <v>14892</v>
      </c>
      <c r="K220" s="315">
        <f t="shared" si="60"/>
        <v>0</v>
      </c>
      <c r="L220" s="52">
        <v>16192</v>
      </c>
      <c r="M220" s="320">
        <f t="shared" si="45"/>
        <v>0</v>
      </c>
      <c r="N220" s="65">
        <v>16192</v>
      </c>
      <c r="O220" s="52">
        <v>16192</v>
      </c>
      <c r="P220" s="315">
        <f t="shared" si="46"/>
        <v>0</v>
      </c>
      <c r="Q220" s="39"/>
      <c r="R220" s="40"/>
      <c r="S220" s="40"/>
      <c r="T220" s="245"/>
      <c r="U220" s="245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</row>
    <row r="221" spans="1:44" s="32" customFormat="1" x14ac:dyDescent="0.2">
      <c r="A221" s="95" t="s">
        <v>82</v>
      </c>
      <c r="B221" s="54" t="s">
        <v>172</v>
      </c>
      <c r="C221" s="60" t="s">
        <v>166</v>
      </c>
      <c r="D221" s="60" t="s">
        <v>45</v>
      </c>
      <c r="E221" s="60" t="s">
        <v>81</v>
      </c>
      <c r="F221" s="52">
        <f>9122.2+4939.3-718.8</f>
        <v>13342.7</v>
      </c>
      <c r="G221" s="52">
        <f>9122.2+4939.3-718.8</f>
        <v>13342.7</v>
      </c>
      <c r="H221" s="315">
        <f t="shared" si="44"/>
        <v>0</v>
      </c>
      <c r="I221" s="52">
        <f>9122.2+4939.3+54.4-718.8</f>
        <v>13397.1</v>
      </c>
      <c r="J221" s="52">
        <f>9122.2+4939.3-718.8</f>
        <v>13342.7</v>
      </c>
      <c r="K221" s="315">
        <f t="shared" si="60"/>
        <v>0</v>
      </c>
      <c r="L221" s="52">
        <f>9122.2+4939.3+54.4-718.8</f>
        <v>13397.1</v>
      </c>
      <c r="M221" s="320">
        <f t="shared" si="45"/>
        <v>0</v>
      </c>
      <c r="N221" s="65">
        <f>9122.2+4939.3+54.4-718.8</f>
        <v>13397.1</v>
      </c>
      <c r="O221" s="52">
        <f>9122.2+4939.3+54.4-718.8</f>
        <v>13397.1</v>
      </c>
      <c r="P221" s="315">
        <f t="shared" si="46"/>
        <v>0</v>
      </c>
      <c r="Q221" s="39"/>
      <c r="R221" s="40"/>
      <c r="S221" s="40"/>
      <c r="T221" s="245"/>
      <c r="U221" s="245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</row>
    <row r="222" spans="1:44" s="32" customFormat="1" x14ac:dyDescent="0.2">
      <c r="A222" s="61" t="s">
        <v>61</v>
      </c>
      <c r="B222" s="54" t="s">
        <v>172</v>
      </c>
      <c r="C222" s="60" t="s">
        <v>166</v>
      </c>
      <c r="D222" s="60" t="s">
        <v>45</v>
      </c>
      <c r="E222" s="60" t="s">
        <v>57</v>
      </c>
      <c r="F222" s="52">
        <v>1300</v>
      </c>
      <c r="G222" s="52">
        <v>1300</v>
      </c>
      <c r="H222" s="315">
        <f t="shared" si="44"/>
        <v>0</v>
      </c>
      <c r="I222" s="52">
        <v>0</v>
      </c>
      <c r="J222" s="52">
        <v>1300</v>
      </c>
      <c r="K222" s="315">
        <f t="shared" si="60"/>
        <v>0</v>
      </c>
      <c r="L222" s="52">
        <v>0</v>
      </c>
      <c r="M222" s="320">
        <f t="shared" si="45"/>
        <v>0</v>
      </c>
      <c r="N222" s="65">
        <v>0</v>
      </c>
      <c r="O222" s="52">
        <v>0</v>
      </c>
      <c r="P222" s="315">
        <f t="shared" si="46"/>
        <v>0</v>
      </c>
      <c r="Q222" s="39"/>
      <c r="R222" s="40"/>
      <c r="S222" s="40"/>
      <c r="T222" s="245"/>
      <c r="U222" s="245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</row>
    <row r="223" spans="1:44" s="32" customFormat="1" ht="25.5" x14ac:dyDescent="0.2">
      <c r="A223" s="62" t="s">
        <v>548</v>
      </c>
      <c r="B223" s="54" t="s">
        <v>547</v>
      </c>
      <c r="C223" s="60"/>
      <c r="D223" s="60"/>
      <c r="E223" s="60"/>
      <c r="F223" s="52">
        <f>F224</f>
        <v>240</v>
      </c>
      <c r="G223" s="52">
        <f>G224</f>
        <v>240</v>
      </c>
      <c r="H223" s="315">
        <f t="shared" si="44"/>
        <v>0</v>
      </c>
      <c r="I223" s="52">
        <f>I224</f>
        <v>840</v>
      </c>
      <c r="J223" s="52">
        <f>J224</f>
        <v>240</v>
      </c>
      <c r="K223" s="315">
        <f t="shared" si="60"/>
        <v>0</v>
      </c>
      <c r="L223" s="52">
        <f>L224</f>
        <v>840</v>
      </c>
      <c r="M223" s="320">
        <f t="shared" si="45"/>
        <v>0</v>
      </c>
      <c r="N223" s="65">
        <f>N224</f>
        <v>840</v>
      </c>
      <c r="O223" s="52">
        <f>O224</f>
        <v>840</v>
      </c>
      <c r="P223" s="315">
        <f t="shared" si="46"/>
        <v>0</v>
      </c>
      <c r="Q223" s="39"/>
      <c r="R223" s="40"/>
      <c r="S223" s="40"/>
      <c r="T223" s="245"/>
      <c r="U223" s="245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</row>
    <row r="224" spans="1:44" s="32" customFormat="1" x14ac:dyDescent="0.2">
      <c r="A224" s="62" t="s">
        <v>546</v>
      </c>
      <c r="B224" s="54" t="s">
        <v>545</v>
      </c>
      <c r="C224" s="60" t="s">
        <v>45</v>
      </c>
      <c r="D224" s="60" t="s">
        <v>46</v>
      </c>
      <c r="E224" s="60"/>
      <c r="F224" s="52">
        <f>F225+F226</f>
        <v>240</v>
      </c>
      <c r="G224" s="52">
        <f>G225+G226</f>
        <v>240</v>
      </c>
      <c r="H224" s="315">
        <f t="shared" si="44"/>
        <v>0</v>
      </c>
      <c r="I224" s="52">
        <f>I225+I226</f>
        <v>840</v>
      </c>
      <c r="J224" s="52">
        <f>J225+J226</f>
        <v>240</v>
      </c>
      <c r="K224" s="315">
        <f t="shared" si="60"/>
        <v>0</v>
      </c>
      <c r="L224" s="52">
        <f>L225+L226</f>
        <v>840</v>
      </c>
      <c r="M224" s="320">
        <f t="shared" si="45"/>
        <v>0</v>
      </c>
      <c r="N224" s="52">
        <f>N225+N226</f>
        <v>840</v>
      </c>
      <c r="O224" s="52">
        <f>O225+O226</f>
        <v>840</v>
      </c>
      <c r="P224" s="315">
        <f t="shared" si="46"/>
        <v>0</v>
      </c>
      <c r="Q224" s="39"/>
      <c r="R224" s="40"/>
      <c r="S224" s="40"/>
      <c r="T224" s="245"/>
      <c r="U224" s="245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</row>
    <row r="225" spans="1:44" s="32" customFormat="1" x14ac:dyDescent="0.2">
      <c r="A225" s="64" t="s">
        <v>82</v>
      </c>
      <c r="B225" s="54" t="s">
        <v>545</v>
      </c>
      <c r="C225" s="60" t="s">
        <v>45</v>
      </c>
      <c r="D225" s="60" t="s">
        <v>46</v>
      </c>
      <c r="E225" s="60" t="s">
        <v>81</v>
      </c>
      <c r="F225" s="52">
        <f>340-200</f>
        <v>140</v>
      </c>
      <c r="G225" s="52">
        <f>340-200</f>
        <v>140</v>
      </c>
      <c r="H225" s="315">
        <f t="shared" si="44"/>
        <v>0</v>
      </c>
      <c r="I225" s="52">
        <v>340</v>
      </c>
      <c r="J225" s="52">
        <f>340-200</f>
        <v>140</v>
      </c>
      <c r="K225" s="315">
        <f t="shared" si="60"/>
        <v>0</v>
      </c>
      <c r="L225" s="52">
        <v>340</v>
      </c>
      <c r="M225" s="320">
        <f t="shared" si="45"/>
        <v>0</v>
      </c>
      <c r="N225" s="65">
        <v>340</v>
      </c>
      <c r="O225" s="52">
        <v>340</v>
      </c>
      <c r="P225" s="315">
        <f t="shared" si="46"/>
        <v>0</v>
      </c>
      <c r="Q225" s="39"/>
      <c r="R225" s="40"/>
      <c r="S225" s="40"/>
      <c r="T225" s="245"/>
      <c r="U225" s="245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</row>
    <row r="226" spans="1:44" s="32" customFormat="1" x14ac:dyDescent="0.2">
      <c r="A226" s="61" t="s">
        <v>61</v>
      </c>
      <c r="B226" s="54" t="s">
        <v>545</v>
      </c>
      <c r="C226" s="60" t="s">
        <v>45</v>
      </c>
      <c r="D226" s="60" t="s">
        <v>46</v>
      </c>
      <c r="E226" s="60" t="s">
        <v>57</v>
      </c>
      <c r="F226" s="52">
        <f>500-500+100</f>
        <v>100</v>
      </c>
      <c r="G226" s="52">
        <f>500-500+100</f>
        <v>100</v>
      </c>
      <c r="H226" s="315">
        <f t="shared" si="44"/>
        <v>0</v>
      </c>
      <c r="I226" s="52">
        <v>500</v>
      </c>
      <c r="J226" s="52">
        <f>500-500+100</f>
        <v>100</v>
      </c>
      <c r="K226" s="315">
        <f t="shared" si="60"/>
        <v>0</v>
      </c>
      <c r="L226" s="52">
        <v>500</v>
      </c>
      <c r="M226" s="320">
        <f t="shared" si="45"/>
        <v>0</v>
      </c>
      <c r="N226" s="65">
        <v>500</v>
      </c>
      <c r="O226" s="52">
        <v>500</v>
      </c>
      <c r="P226" s="315">
        <f t="shared" si="46"/>
        <v>0</v>
      </c>
      <c r="Q226" s="39"/>
      <c r="R226" s="40"/>
      <c r="S226" s="40"/>
      <c r="T226" s="245"/>
      <c r="U226" s="245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</row>
    <row r="227" spans="1:44" s="32" customFormat="1" ht="25.5" x14ac:dyDescent="0.2">
      <c r="A227" s="64" t="s">
        <v>209</v>
      </c>
      <c r="B227" s="54" t="s">
        <v>208</v>
      </c>
      <c r="C227" s="60" t="s">
        <v>159</v>
      </c>
      <c r="D227" s="60" t="s">
        <v>159</v>
      </c>
      <c r="E227" s="60"/>
      <c r="F227" s="52">
        <f>F228</f>
        <v>385</v>
      </c>
      <c r="G227" s="52">
        <f>G228</f>
        <v>385</v>
      </c>
      <c r="H227" s="315">
        <f t="shared" si="44"/>
        <v>0</v>
      </c>
      <c r="I227" s="52">
        <f>I228</f>
        <v>385</v>
      </c>
      <c r="J227" s="52">
        <f>J228</f>
        <v>385</v>
      </c>
      <c r="K227" s="315">
        <f t="shared" si="60"/>
        <v>0</v>
      </c>
      <c r="L227" s="52">
        <f>L228</f>
        <v>385</v>
      </c>
      <c r="M227" s="320">
        <f t="shared" si="45"/>
        <v>0</v>
      </c>
      <c r="N227" s="65">
        <f>N228</f>
        <v>385</v>
      </c>
      <c r="O227" s="52">
        <f>O228</f>
        <v>385</v>
      </c>
      <c r="P227" s="315">
        <f t="shared" si="46"/>
        <v>0</v>
      </c>
      <c r="Q227" s="39"/>
      <c r="R227" s="40"/>
      <c r="S227" s="40"/>
      <c r="T227" s="245"/>
      <c r="U227" s="245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</row>
    <row r="228" spans="1:44" s="32" customFormat="1" x14ac:dyDescent="0.2">
      <c r="A228" s="56" t="s">
        <v>207</v>
      </c>
      <c r="B228" s="54" t="s">
        <v>206</v>
      </c>
      <c r="C228" s="60" t="s">
        <v>159</v>
      </c>
      <c r="D228" s="60" t="s">
        <v>159</v>
      </c>
      <c r="E228" s="60"/>
      <c r="F228" s="52">
        <f>F229+F230</f>
        <v>385</v>
      </c>
      <c r="G228" s="52">
        <f>G229+G230</f>
        <v>385</v>
      </c>
      <c r="H228" s="315">
        <f t="shared" ref="H228:H301" si="62">G228-F228</f>
        <v>0</v>
      </c>
      <c r="I228" s="52">
        <f>I229+I230</f>
        <v>385</v>
      </c>
      <c r="J228" s="52">
        <f>J229+J230</f>
        <v>385</v>
      </c>
      <c r="K228" s="315">
        <f t="shared" si="60"/>
        <v>0</v>
      </c>
      <c r="L228" s="52">
        <f>L229+L230</f>
        <v>385</v>
      </c>
      <c r="M228" s="320">
        <f t="shared" ref="M228:M301" si="63">L228-I228</f>
        <v>0</v>
      </c>
      <c r="N228" s="65">
        <f>N229+N230</f>
        <v>385</v>
      </c>
      <c r="O228" s="52">
        <f>O229+O230</f>
        <v>385</v>
      </c>
      <c r="P228" s="315">
        <f t="shared" ref="P228:P301" si="64">O228-N228</f>
        <v>0</v>
      </c>
      <c r="Q228" s="39"/>
      <c r="R228" s="40"/>
      <c r="S228" s="40"/>
      <c r="T228" s="245"/>
      <c r="U228" s="245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</row>
    <row r="229" spans="1:44" s="32" customFormat="1" x14ac:dyDescent="0.2">
      <c r="A229" s="56" t="s">
        <v>84</v>
      </c>
      <c r="B229" s="54" t="s">
        <v>206</v>
      </c>
      <c r="C229" s="60" t="s">
        <v>159</v>
      </c>
      <c r="D229" s="60" t="s">
        <v>159</v>
      </c>
      <c r="E229" s="60" t="s">
        <v>83</v>
      </c>
      <c r="F229" s="52">
        <v>90</v>
      </c>
      <c r="G229" s="52">
        <v>90</v>
      </c>
      <c r="H229" s="315">
        <f t="shared" si="62"/>
        <v>0</v>
      </c>
      <c r="I229" s="52">
        <v>90</v>
      </c>
      <c r="J229" s="52">
        <v>90</v>
      </c>
      <c r="K229" s="315">
        <f t="shared" si="60"/>
        <v>0</v>
      </c>
      <c r="L229" s="52">
        <v>90</v>
      </c>
      <c r="M229" s="320">
        <f t="shared" si="63"/>
        <v>0</v>
      </c>
      <c r="N229" s="65">
        <v>90</v>
      </c>
      <c r="O229" s="52">
        <v>90</v>
      </c>
      <c r="P229" s="315">
        <f t="shared" si="64"/>
        <v>0</v>
      </c>
      <c r="Q229" s="39"/>
      <c r="R229" s="40"/>
      <c r="S229" s="40"/>
      <c r="T229" s="245"/>
      <c r="U229" s="245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</row>
    <row r="230" spans="1:44" s="32" customFormat="1" ht="25.5" x14ac:dyDescent="0.2">
      <c r="A230" s="56" t="s">
        <v>73</v>
      </c>
      <c r="B230" s="54" t="s">
        <v>206</v>
      </c>
      <c r="C230" s="60" t="s">
        <v>159</v>
      </c>
      <c r="D230" s="60" t="s">
        <v>159</v>
      </c>
      <c r="E230" s="60" t="s">
        <v>70</v>
      </c>
      <c r="F230" s="52">
        <v>295</v>
      </c>
      <c r="G230" s="52">
        <v>295</v>
      </c>
      <c r="H230" s="315">
        <f t="shared" si="62"/>
        <v>0</v>
      </c>
      <c r="I230" s="52">
        <v>295</v>
      </c>
      <c r="J230" s="52">
        <v>295</v>
      </c>
      <c r="K230" s="315">
        <f t="shared" si="60"/>
        <v>0</v>
      </c>
      <c r="L230" s="52">
        <v>295</v>
      </c>
      <c r="M230" s="320">
        <f t="shared" si="63"/>
        <v>0</v>
      </c>
      <c r="N230" s="65">
        <v>295</v>
      </c>
      <c r="O230" s="52">
        <v>295</v>
      </c>
      <c r="P230" s="315">
        <f t="shared" si="64"/>
        <v>0</v>
      </c>
      <c r="Q230" s="39"/>
      <c r="R230" s="40"/>
      <c r="S230" s="40"/>
      <c r="T230" s="245"/>
      <c r="U230" s="245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</row>
    <row r="231" spans="1:44" s="32" customFormat="1" ht="25.5" x14ac:dyDescent="0.2">
      <c r="A231" s="64" t="s">
        <v>700</v>
      </c>
      <c r="B231" s="54" t="s">
        <v>90</v>
      </c>
      <c r="C231" s="60"/>
      <c r="D231" s="60"/>
      <c r="E231" s="60"/>
      <c r="F231" s="52">
        <f>F232+F238+F235</f>
        <v>15501.8</v>
      </c>
      <c r="G231" s="52">
        <f>G232+G238+G235</f>
        <v>20001.8</v>
      </c>
      <c r="H231" s="315">
        <f t="shared" si="62"/>
        <v>4500</v>
      </c>
      <c r="I231" s="52">
        <f>I232+I238+I235</f>
        <v>15521.8</v>
      </c>
      <c r="J231" s="52">
        <f>J232+J238+J235</f>
        <v>20008.900000000001</v>
      </c>
      <c r="K231" s="315">
        <f t="shared" si="60"/>
        <v>7.1000000000021828</v>
      </c>
      <c r="L231" s="52">
        <f>L232+L238+L235</f>
        <v>15521.8</v>
      </c>
      <c r="M231" s="320">
        <f t="shared" si="63"/>
        <v>0</v>
      </c>
      <c r="N231" s="65">
        <f>N232+N238+N235</f>
        <v>15521.8</v>
      </c>
      <c r="O231" s="52">
        <f>O232+O238+O235</f>
        <v>15521.8</v>
      </c>
      <c r="P231" s="315">
        <f t="shared" si="64"/>
        <v>0</v>
      </c>
      <c r="Q231" s="39"/>
      <c r="R231" s="40"/>
      <c r="S231" s="40"/>
      <c r="T231" s="245"/>
      <c r="U231" s="245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</row>
    <row r="232" spans="1:44" s="32" customFormat="1" ht="25.5" x14ac:dyDescent="0.2">
      <c r="A232" s="62" t="s">
        <v>174</v>
      </c>
      <c r="B232" s="54" t="s">
        <v>89</v>
      </c>
      <c r="C232" s="60" t="s">
        <v>60</v>
      </c>
      <c r="D232" s="60" t="s">
        <v>45</v>
      </c>
      <c r="E232" s="60"/>
      <c r="F232" s="52">
        <f>F234+F233</f>
        <v>5134.5</v>
      </c>
      <c r="G232" s="52">
        <f t="shared" ref="G232:O232" si="65">G234+G233</f>
        <v>9634.5</v>
      </c>
      <c r="H232" s="315">
        <f t="shared" si="62"/>
        <v>4500</v>
      </c>
      <c r="I232" s="52">
        <f t="shared" si="65"/>
        <v>5134.5</v>
      </c>
      <c r="J232" s="52">
        <f t="shared" si="65"/>
        <v>9634.5</v>
      </c>
      <c r="K232" s="315">
        <f t="shared" si="60"/>
        <v>0</v>
      </c>
      <c r="L232" s="52">
        <f t="shared" si="65"/>
        <v>5134.5</v>
      </c>
      <c r="M232" s="320">
        <f t="shared" si="63"/>
        <v>0</v>
      </c>
      <c r="N232" s="52">
        <f t="shared" si="65"/>
        <v>5134.5</v>
      </c>
      <c r="O232" s="52">
        <f t="shared" si="65"/>
        <v>5134.5</v>
      </c>
      <c r="P232" s="315">
        <f t="shared" si="64"/>
        <v>0</v>
      </c>
      <c r="Q232" s="39"/>
      <c r="R232" s="40"/>
      <c r="S232" s="40"/>
      <c r="T232" s="245"/>
      <c r="U232" s="245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</row>
    <row r="233" spans="1:44" s="32" customFormat="1" x14ac:dyDescent="0.2">
      <c r="A233" s="64" t="s">
        <v>82</v>
      </c>
      <c r="B233" s="54" t="s">
        <v>89</v>
      </c>
      <c r="C233" s="60" t="s">
        <v>60</v>
      </c>
      <c r="D233" s="60" t="s">
        <v>45</v>
      </c>
      <c r="E233" s="60" t="s">
        <v>81</v>
      </c>
      <c r="F233" s="52">
        <v>0</v>
      </c>
      <c r="G233" s="52">
        <f>4500+2500</f>
        <v>7000</v>
      </c>
      <c r="H233" s="315">
        <f t="shared" si="62"/>
        <v>7000</v>
      </c>
      <c r="I233" s="52">
        <v>0</v>
      </c>
      <c r="J233" s="52">
        <f>4500+2500</f>
        <v>7000</v>
      </c>
      <c r="K233" s="315">
        <f t="shared" si="60"/>
        <v>0</v>
      </c>
      <c r="L233" s="52">
        <f>5134.5</f>
        <v>5134.5</v>
      </c>
      <c r="M233" s="320">
        <f t="shared" si="63"/>
        <v>5134.5</v>
      </c>
      <c r="N233" s="65">
        <v>0</v>
      </c>
      <c r="O233" s="52">
        <v>5134.5</v>
      </c>
      <c r="P233" s="315">
        <f t="shared" si="64"/>
        <v>5134.5</v>
      </c>
      <c r="Q233" s="39"/>
      <c r="R233" s="40"/>
      <c r="S233" s="40"/>
      <c r="T233" s="245"/>
      <c r="U233" s="245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</row>
    <row r="234" spans="1:44" s="32" customFormat="1" x14ac:dyDescent="0.2">
      <c r="A234" s="247" t="s">
        <v>87</v>
      </c>
      <c r="B234" s="54" t="s">
        <v>89</v>
      </c>
      <c r="C234" s="60" t="s">
        <v>60</v>
      </c>
      <c r="D234" s="60" t="s">
        <v>45</v>
      </c>
      <c r="E234" s="60" t="s">
        <v>57</v>
      </c>
      <c r="F234" s="52">
        <v>5134.5</v>
      </c>
      <c r="G234" s="52">
        <f>5134.5-2500</f>
        <v>2634.5</v>
      </c>
      <c r="H234" s="315">
        <f t="shared" si="62"/>
        <v>-2500</v>
      </c>
      <c r="I234" s="52">
        <v>5134.5</v>
      </c>
      <c r="J234" s="52">
        <f>5134.5-2500</f>
        <v>2634.5</v>
      </c>
      <c r="K234" s="315">
        <f t="shared" si="60"/>
        <v>0</v>
      </c>
      <c r="L234" s="52">
        <f>5134.5-5134.5</f>
        <v>0</v>
      </c>
      <c r="M234" s="320">
        <f t="shared" si="63"/>
        <v>-5134.5</v>
      </c>
      <c r="N234" s="65">
        <v>5134.5</v>
      </c>
      <c r="O234" s="52">
        <f>5134.5-5134.5</f>
        <v>0</v>
      </c>
      <c r="P234" s="315">
        <f t="shared" si="64"/>
        <v>-5134.5</v>
      </c>
      <c r="Q234" s="39"/>
      <c r="R234" s="40"/>
      <c r="S234" s="40"/>
      <c r="T234" s="245"/>
      <c r="U234" s="245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</row>
    <row r="235" spans="1:44" s="32" customFormat="1" ht="25.5" x14ac:dyDescent="0.2">
      <c r="A235" s="64" t="s">
        <v>88</v>
      </c>
      <c r="B235" s="54" t="s">
        <v>86</v>
      </c>
      <c r="C235" s="60" t="s">
        <v>60</v>
      </c>
      <c r="D235" s="60" t="s">
        <v>45</v>
      </c>
      <c r="E235" s="60"/>
      <c r="F235" s="52">
        <f>F237+F236</f>
        <v>9735.2999999999993</v>
      </c>
      <c r="G235" s="52">
        <f t="shared" ref="G235:O235" si="66">G237+G236</f>
        <v>9735.2999999999993</v>
      </c>
      <c r="H235" s="315">
        <f t="shared" si="62"/>
        <v>0</v>
      </c>
      <c r="I235" s="52">
        <f t="shared" si="66"/>
        <v>9735.2999999999993</v>
      </c>
      <c r="J235" s="52">
        <f t="shared" si="66"/>
        <v>9735.2999999999993</v>
      </c>
      <c r="K235" s="315">
        <f t="shared" si="60"/>
        <v>0</v>
      </c>
      <c r="L235" s="52">
        <f t="shared" si="66"/>
        <v>9735.2999999999993</v>
      </c>
      <c r="M235" s="320">
        <f t="shared" si="63"/>
        <v>0</v>
      </c>
      <c r="N235" s="52">
        <f t="shared" si="66"/>
        <v>9735.2999999999993</v>
      </c>
      <c r="O235" s="52">
        <f t="shared" si="66"/>
        <v>9735.2999999999993</v>
      </c>
      <c r="P235" s="315">
        <f t="shared" si="64"/>
        <v>0</v>
      </c>
      <c r="Q235" s="39"/>
      <c r="R235" s="40"/>
      <c r="S235" s="40"/>
      <c r="T235" s="245"/>
      <c r="U235" s="245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</row>
    <row r="236" spans="1:44" s="32" customFormat="1" x14ac:dyDescent="0.2">
      <c r="A236" s="64" t="s">
        <v>82</v>
      </c>
      <c r="B236" s="54" t="s">
        <v>86</v>
      </c>
      <c r="C236" s="60" t="s">
        <v>60</v>
      </c>
      <c r="D236" s="60" t="s">
        <v>45</v>
      </c>
      <c r="E236" s="60" t="s">
        <v>81</v>
      </c>
      <c r="F236" s="52">
        <v>0</v>
      </c>
      <c r="G236" s="52">
        <v>4800</v>
      </c>
      <c r="H236" s="315">
        <f t="shared" si="62"/>
        <v>4800</v>
      </c>
      <c r="I236" s="52">
        <v>0</v>
      </c>
      <c r="J236" s="52">
        <v>4800</v>
      </c>
      <c r="K236" s="315">
        <f t="shared" si="60"/>
        <v>0</v>
      </c>
      <c r="L236" s="52">
        <v>9735.2999999999993</v>
      </c>
      <c r="M236" s="320">
        <f t="shared" si="63"/>
        <v>9735.2999999999993</v>
      </c>
      <c r="N236" s="65">
        <v>0</v>
      </c>
      <c r="O236" s="52">
        <v>9735.2999999999993</v>
      </c>
      <c r="P236" s="315">
        <f t="shared" si="64"/>
        <v>9735.2999999999993</v>
      </c>
      <c r="Q236" s="39"/>
      <c r="R236" s="40"/>
      <c r="S236" s="40"/>
      <c r="T236" s="245"/>
      <c r="U236" s="245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</row>
    <row r="237" spans="1:44" s="32" customFormat="1" x14ac:dyDescent="0.2">
      <c r="A237" s="61" t="s">
        <v>61</v>
      </c>
      <c r="B237" s="54" t="s">
        <v>86</v>
      </c>
      <c r="C237" s="60" t="s">
        <v>60</v>
      </c>
      <c r="D237" s="60" t="s">
        <v>45</v>
      </c>
      <c r="E237" s="60" t="s">
        <v>57</v>
      </c>
      <c r="F237" s="52">
        <f>8966.5+50+718.8</f>
        <v>9735.2999999999993</v>
      </c>
      <c r="G237" s="52">
        <f>9735.3-4800</f>
        <v>4935.2999999999993</v>
      </c>
      <c r="H237" s="315">
        <f t="shared" si="62"/>
        <v>-4800</v>
      </c>
      <c r="I237" s="52">
        <f>8966.5+50+718.8</f>
        <v>9735.2999999999993</v>
      </c>
      <c r="J237" s="52">
        <f>9735.3-4800</f>
        <v>4935.2999999999993</v>
      </c>
      <c r="K237" s="315">
        <f t="shared" si="60"/>
        <v>0</v>
      </c>
      <c r="L237" s="52">
        <f>9735.3-9735.3</f>
        <v>0</v>
      </c>
      <c r="M237" s="320">
        <f t="shared" si="63"/>
        <v>-9735.2999999999993</v>
      </c>
      <c r="N237" s="65">
        <f>8966.5+50+718.8</f>
        <v>9735.2999999999993</v>
      </c>
      <c r="O237" s="52">
        <f>9735.3-9735.3</f>
        <v>0</v>
      </c>
      <c r="P237" s="315">
        <f t="shared" si="64"/>
        <v>-9735.2999999999993</v>
      </c>
      <c r="Q237" s="39"/>
      <c r="R237" s="40"/>
      <c r="S237" s="40"/>
      <c r="T237" s="245"/>
      <c r="U237" s="245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</row>
    <row r="238" spans="1:44" s="32" customFormat="1" x14ac:dyDescent="0.2">
      <c r="A238" s="67" t="s">
        <v>85</v>
      </c>
      <c r="B238" s="54" t="s">
        <v>80</v>
      </c>
      <c r="C238" s="60" t="s">
        <v>60</v>
      </c>
      <c r="D238" s="60" t="s">
        <v>45</v>
      </c>
      <c r="E238" s="60"/>
      <c r="F238" s="52">
        <f>F239+F240+F241+F242</f>
        <v>632</v>
      </c>
      <c r="G238" s="52">
        <f>G239+G240+G241+G242</f>
        <v>632</v>
      </c>
      <c r="H238" s="315">
        <f t="shared" si="62"/>
        <v>0</v>
      </c>
      <c r="I238" s="52">
        <f>I239+I240+I241+I242</f>
        <v>652</v>
      </c>
      <c r="J238" s="52">
        <f>J239+J240+J241+J242</f>
        <v>639.1</v>
      </c>
      <c r="K238" s="315">
        <f t="shared" si="60"/>
        <v>7.1000000000000227</v>
      </c>
      <c r="L238" s="52">
        <f>L239+L240+L241+L242</f>
        <v>652</v>
      </c>
      <c r="M238" s="320">
        <f t="shared" si="63"/>
        <v>0</v>
      </c>
      <c r="N238" s="52">
        <f>N239+N240+N241+N242</f>
        <v>652</v>
      </c>
      <c r="O238" s="52">
        <f>O239+O240+O241+O242</f>
        <v>652</v>
      </c>
      <c r="P238" s="315">
        <f t="shared" si="64"/>
        <v>0</v>
      </c>
      <c r="Q238" s="39"/>
      <c r="R238" s="40"/>
      <c r="S238" s="40"/>
      <c r="T238" s="245"/>
      <c r="U238" s="245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</row>
    <row r="239" spans="1:44" s="32" customFormat="1" x14ac:dyDescent="0.2">
      <c r="A239" s="66" t="s">
        <v>84</v>
      </c>
      <c r="B239" s="54" t="s">
        <v>80</v>
      </c>
      <c r="C239" s="60" t="s">
        <v>60</v>
      </c>
      <c r="D239" s="60" t="s">
        <v>45</v>
      </c>
      <c r="E239" s="60" t="s">
        <v>83</v>
      </c>
      <c r="F239" s="52">
        <v>50</v>
      </c>
      <c r="G239" s="52">
        <v>50</v>
      </c>
      <c r="H239" s="315">
        <f t="shared" si="62"/>
        <v>0</v>
      </c>
      <c r="I239" s="52">
        <v>50</v>
      </c>
      <c r="J239" s="52">
        <v>50</v>
      </c>
      <c r="K239" s="315">
        <f t="shared" si="60"/>
        <v>0</v>
      </c>
      <c r="L239" s="52">
        <v>50</v>
      </c>
      <c r="M239" s="320">
        <f t="shared" si="63"/>
        <v>0</v>
      </c>
      <c r="N239" s="65">
        <v>50</v>
      </c>
      <c r="O239" s="52">
        <v>50</v>
      </c>
      <c r="P239" s="315">
        <f t="shared" si="64"/>
        <v>0</v>
      </c>
      <c r="Q239" s="39"/>
      <c r="R239" s="40"/>
      <c r="S239" s="40"/>
      <c r="T239" s="245"/>
      <c r="U239" s="245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</row>
    <row r="240" spans="1:44" s="32" customFormat="1" ht="25.5" x14ac:dyDescent="0.2">
      <c r="A240" s="56" t="s">
        <v>73</v>
      </c>
      <c r="B240" s="54" t="s">
        <v>80</v>
      </c>
      <c r="C240" s="60" t="s">
        <v>60</v>
      </c>
      <c r="D240" s="60" t="s">
        <v>45</v>
      </c>
      <c r="E240" s="60" t="s">
        <v>70</v>
      </c>
      <c r="F240" s="52">
        <v>522</v>
      </c>
      <c r="G240" s="52">
        <v>522</v>
      </c>
      <c r="H240" s="315">
        <f t="shared" si="62"/>
        <v>0</v>
      </c>
      <c r="I240" s="52">
        <v>602</v>
      </c>
      <c r="J240" s="52">
        <f>522+7.1</f>
        <v>529.1</v>
      </c>
      <c r="K240" s="315">
        <f t="shared" si="60"/>
        <v>7.1000000000000227</v>
      </c>
      <c r="L240" s="52">
        <v>602</v>
      </c>
      <c r="M240" s="320">
        <f t="shared" si="63"/>
        <v>0</v>
      </c>
      <c r="N240" s="65">
        <v>602</v>
      </c>
      <c r="O240" s="52">
        <v>602</v>
      </c>
      <c r="P240" s="315">
        <f t="shared" si="64"/>
        <v>0</v>
      </c>
      <c r="Q240" s="39"/>
      <c r="R240" s="40"/>
      <c r="S240" s="40"/>
      <c r="T240" s="245"/>
      <c r="U240" s="245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</row>
    <row r="241" spans="1:44" s="32" customFormat="1" x14ac:dyDescent="0.2">
      <c r="A241" s="64" t="s">
        <v>82</v>
      </c>
      <c r="B241" s="54" t="s">
        <v>80</v>
      </c>
      <c r="C241" s="60" t="s">
        <v>60</v>
      </c>
      <c r="D241" s="60" t="s">
        <v>45</v>
      </c>
      <c r="E241" s="60" t="s">
        <v>81</v>
      </c>
      <c r="F241" s="52">
        <v>60</v>
      </c>
      <c r="G241" s="52">
        <v>60</v>
      </c>
      <c r="H241" s="315">
        <f t="shared" si="62"/>
        <v>0</v>
      </c>
      <c r="I241" s="52">
        <v>0</v>
      </c>
      <c r="J241" s="52">
        <v>60</v>
      </c>
      <c r="K241" s="315">
        <f t="shared" si="60"/>
        <v>0</v>
      </c>
      <c r="L241" s="52">
        <v>0</v>
      </c>
      <c r="M241" s="320">
        <f t="shared" si="63"/>
        <v>0</v>
      </c>
      <c r="N241" s="65">
        <v>0</v>
      </c>
      <c r="O241" s="52">
        <v>0</v>
      </c>
      <c r="P241" s="315">
        <f t="shared" si="64"/>
        <v>0</v>
      </c>
      <c r="Q241" s="39"/>
      <c r="R241" s="40"/>
      <c r="S241" s="40"/>
      <c r="T241" s="245"/>
      <c r="U241" s="245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</row>
    <row r="242" spans="1:44" s="32" customFormat="1" hidden="1" x14ac:dyDescent="0.2">
      <c r="A242" s="61" t="s">
        <v>61</v>
      </c>
      <c r="B242" s="54" t="s">
        <v>80</v>
      </c>
      <c r="C242" s="60" t="s">
        <v>60</v>
      </c>
      <c r="D242" s="60" t="s">
        <v>45</v>
      </c>
      <c r="E242" s="60" t="s">
        <v>57</v>
      </c>
      <c r="F242" s="52">
        <v>0</v>
      </c>
      <c r="G242" s="52">
        <v>0</v>
      </c>
      <c r="H242" s="315">
        <f t="shared" si="62"/>
        <v>0</v>
      </c>
      <c r="I242" s="52">
        <v>0</v>
      </c>
      <c r="J242" s="52">
        <v>0</v>
      </c>
      <c r="K242" s="315">
        <f t="shared" si="60"/>
        <v>0</v>
      </c>
      <c r="L242" s="52">
        <v>0</v>
      </c>
      <c r="M242" s="320">
        <f t="shared" si="63"/>
        <v>0</v>
      </c>
      <c r="N242" s="65">
        <v>0</v>
      </c>
      <c r="O242" s="52">
        <v>0</v>
      </c>
      <c r="P242" s="315">
        <f t="shared" si="64"/>
        <v>0</v>
      </c>
      <c r="Q242" s="39"/>
      <c r="R242" s="40"/>
      <c r="S242" s="40"/>
      <c r="T242" s="245"/>
      <c r="U242" s="245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</row>
    <row r="243" spans="1:44" s="31" customFormat="1" ht="16.5" customHeight="1" x14ac:dyDescent="0.2">
      <c r="A243" s="232" t="s">
        <v>716</v>
      </c>
      <c r="B243" s="225" t="s">
        <v>141</v>
      </c>
      <c r="C243" s="226"/>
      <c r="D243" s="226"/>
      <c r="E243" s="226"/>
      <c r="F243" s="227">
        <f>F244+F263+F296</f>
        <v>438183.69999999995</v>
      </c>
      <c r="G243" s="227">
        <f>G244+G263+G296</f>
        <v>435247.7</v>
      </c>
      <c r="H243" s="315">
        <f t="shared" si="62"/>
        <v>-2935.9999999999418</v>
      </c>
      <c r="I243" s="227">
        <f>I244+I263+I296</f>
        <v>363088.6</v>
      </c>
      <c r="J243" s="227">
        <f>J244+J263+J296</f>
        <v>433991.30000000005</v>
      </c>
      <c r="K243" s="315">
        <f t="shared" si="60"/>
        <v>-1256.3999999999651</v>
      </c>
      <c r="L243" s="227">
        <f>L244+L263+L296</f>
        <v>363088.6</v>
      </c>
      <c r="M243" s="320">
        <f t="shared" si="63"/>
        <v>0</v>
      </c>
      <c r="N243" s="228">
        <f>N244+N263+N296</f>
        <v>434626.4</v>
      </c>
      <c r="O243" s="227">
        <f>O244+O263+O296</f>
        <v>434626.4</v>
      </c>
      <c r="P243" s="315">
        <f t="shared" si="64"/>
        <v>0</v>
      </c>
      <c r="Q243" s="39"/>
      <c r="R243" s="40"/>
      <c r="S243" s="40"/>
      <c r="T243" s="214"/>
      <c r="U243" s="214"/>
      <c r="V243" s="231"/>
      <c r="W243" s="231"/>
      <c r="X243" s="231"/>
      <c r="Y243" s="231"/>
      <c r="Z243" s="231"/>
      <c r="AA243" s="231"/>
      <c r="AB243" s="231"/>
      <c r="AC243" s="231"/>
      <c r="AD243" s="231"/>
      <c r="AE243" s="231"/>
      <c r="AF243" s="231"/>
      <c r="AG243" s="231"/>
      <c r="AH243" s="231"/>
      <c r="AI243" s="231"/>
      <c r="AJ243" s="231"/>
      <c r="AK243" s="231"/>
      <c r="AL243" s="231"/>
      <c r="AM243" s="231"/>
      <c r="AN243" s="231"/>
      <c r="AO243" s="231"/>
      <c r="AP243" s="231"/>
      <c r="AQ243" s="231"/>
      <c r="AR243" s="231"/>
    </row>
    <row r="244" spans="1:44" s="31" customFormat="1" x14ac:dyDescent="0.2">
      <c r="A244" s="109" t="s">
        <v>270</v>
      </c>
      <c r="B244" s="54" t="s">
        <v>269</v>
      </c>
      <c r="C244" s="60"/>
      <c r="D244" s="60"/>
      <c r="E244" s="60"/>
      <c r="F244" s="52">
        <f>F245+F256</f>
        <v>77104.600000000006</v>
      </c>
      <c r="G244" s="52">
        <f>G245+G256</f>
        <v>77104.600000000006</v>
      </c>
      <c r="H244" s="315">
        <f t="shared" si="62"/>
        <v>0</v>
      </c>
      <c r="I244" s="52">
        <f>I245+I256</f>
        <v>41772.300000000003</v>
      </c>
      <c r="J244" s="52">
        <f>J245+J256</f>
        <v>77104.600000000006</v>
      </c>
      <c r="K244" s="315">
        <f t="shared" si="60"/>
        <v>0</v>
      </c>
      <c r="L244" s="52">
        <f>L245+L256</f>
        <v>41772.300000000003</v>
      </c>
      <c r="M244" s="320">
        <f t="shared" si="63"/>
        <v>0</v>
      </c>
      <c r="N244" s="65">
        <f>N245+N256</f>
        <v>115598.70000000001</v>
      </c>
      <c r="O244" s="52">
        <f>O245+O256</f>
        <v>115598.70000000001</v>
      </c>
      <c r="P244" s="315">
        <f t="shared" si="64"/>
        <v>0</v>
      </c>
      <c r="Q244" s="39"/>
      <c r="R244" s="40"/>
      <c r="S244" s="40"/>
      <c r="T244" s="214"/>
      <c r="U244" s="214"/>
      <c r="V244" s="231"/>
      <c r="W244" s="231"/>
      <c r="X244" s="231"/>
      <c r="Y244" s="231"/>
      <c r="Z244" s="231"/>
      <c r="AA244" s="231"/>
      <c r="AB244" s="231"/>
      <c r="AC244" s="231"/>
      <c r="AD244" s="231"/>
      <c r="AE244" s="231"/>
      <c r="AF244" s="231"/>
      <c r="AG244" s="231"/>
      <c r="AH244" s="231"/>
      <c r="AI244" s="231"/>
      <c r="AJ244" s="231"/>
      <c r="AK244" s="231"/>
      <c r="AL244" s="231"/>
      <c r="AM244" s="231"/>
      <c r="AN244" s="231"/>
      <c r="AO244" s="231"/>
      <c r="AP244" s="231"/>
      <c r="AQ244" s="231"/>
      <c r="AR244" s="231"/>
    </row>
    <row r="245" spans="1:44" s="31" customFormat="1" ht="25.5" x14ac:dyDescent="0.2">
      <c r="A245" s="109" t="s">
        <v>268</v>
      </c>
      <c r="B245" s="54" t="s">
        <v>267</v>
      </c>
      <c r="C245" s="60"/>
      <c r="D245" s="60"/>
      <c r="E245" s="60"/>
      <c r="F245" s="52">
        <f>F248+F250+F254+F246+F252</f>
        <v>60720.1</v>
      </c>
      <c r="G245" s="52">
        <f>G248+G250+G254+G246+G252</f>
        <v>60720.1</v>
      </c>
      <c r="H245" s="315">
        <f t="shared" si="62"/>
        <v>0</v>
      </c>
      <c r="I245" s="52">
        <f t="shared" ref="I245" si="67">I248+I250+I254+I246+I252</f>
        <v>25376.3</v>
      </c>
      <c r="J245" s="52">
        <f>J248+J250+J254+J246+J252</f>
        <v>60720.1</v>
      </c>
      <c r="K245" s="315">
        <f t="shared" si="60"/>
        <v>0</v>
      </c>
      <c r="L245" s="52">
        <f t="shared" ref="L245:O245" si="68">L248+L250+L254+L246+L252</f>
        <v>25376.3</v>
      </c>
      <c r="M245" s="320">
        <f t="shared" si="63"/>
        <v>0</v>
      </c>
      <c r="N245" s="52">
        <f t="shared" ref="N245" si="69">N248+N250+N254+N246+N252</f>
        <v>98711.3</v>
      </c>
      <c r="O245" s="52">
        <f t="shared" si="68"/>
        <v>98711.3</v>
      </c>
      <c r="P245" s="315">
        <f t="shared" si="64"/>
        <v>0</v>
      </c>
      <c r="Q245" s="233"/>
      <c r="R245" s="40"/>
      <c r="S245" s="40"/>
      <c r="T245" s="214"/>
      <c r="U245" s="214"/>
      <c r="V245" s="231"/>
      <c r="W245" s="231"/>
      <c r="X245" s="231"/>
      <c r="Y245" s="231"/>
      <c r="Z245" s="231"/>
      <c r="AA245" s="231"/>
      <c r="AB245" s="231"/>
      <c r="AC245" s="231"/>
      <c r="AD245" s="231"/>
      <c r="AE245" s="231"/>
      <c r="AF245" s="231"/>
      <c r="AG245" s="231"/>
      <c r="AH245" s="231"/>
      <c r="AI245" s="231"/>
      <c r="AJ245" s="231"/>
      <c r="AK245" s="231"/>
      <c r="AL245" s="231"/>
      <c r="AM245" s="231"/>
      <c r="AN245" s="231"/>
      <c r="AO245" s="231"/>
      <c r="AP245" s="231"/>
      <c r="AQ245" s="231"/>
      <c r="AR245" s="231"/>
    </row>
    <row r="246" spans="1:44" s="31" customFormat="1" ht="25.5" x14ac:dyDescent="0.2">
      <c r="A246" s="109" t="s">
        <v>266</v>
      </c>
      <c r="B246" s="54" t="s">
        <v>265</v>
      </c>
      <c r="C246" s="60" t="s">
        <v>159</v>
      </c>
      <c r="D246" s="60" t="s">
        <v>72</v>
      </c>
      <c r="E246" s="60"/>
      <c r="F246" s="52">
        <f>F247</f>
        <v>196.60000000000002</v>
      </c>
      <c r="G246" s="52">
        <f>G247</f>
        <v>196.60000000000002</v>
      </c>
      <c r="H246" s="315">
        <f t="shared" si="62"/>
        <v>0</v>
      </c>
      <c r="I246" s="52">
        <f t="shared" ref="I246:O246" si="70">I247</f>
        <v>0</v>
      </c>
      <c r="J246" s="52">
        <f>J247</f>
        <v>196.60000000000002</v>
      </c>
      <c r="K246" s="315">
        <f t="shared" si="60"/>
        <v>0</v>
      </c>
      <c r="L246" s="52">
        <f t="shared" si="70"/>
        <v>0</v>
      </c>
      <c r="M246" s="320">
        <f t="shared" si="63"/>
        <v>0</v>
      </c>
      <c r="N246" s="52">
        <f t="shared" si="70"/>
        <v>0</v>
      </c>
      <c r="O246" s="52">
        <f t="shared" si="70"/>
        <v>0</v>
      </c>
      <c r="P246" s="315">
        <f t="shared" si="64"/>
        <v>0</v>
      </c>
      <c r="Q246" s="233"/>
      <c r="R246" s="40"/>
      <c r="S246" s="40"/>
      <c r="T246" s="214"/>
      <c r="U246" s="214"/>
      <c r="V246" s="231"/>
      <c r="W246" s="231"/>
      <c r="X246" s="231"/>
      <c r="Y246" s="231"/>
      <c r="Z246" s="231"/>
      <c r="AA246" s="231"/>
      <c r="AB246" s="231"/>
      <c r="AC246" s="231"/>
      <c r="AD246" s="231"/>
      <c r="AE246" s="231"/>
      <c r="AF246" s="231"/>
      <c r="AG246" s="231"/>
      <c r="AH246" s="231"/>
      <c r="AI246" s="231"/>
      <c r="AJ246" s="231"/>
      <c r="AK246" s="231"/>
      <c r="AL246" s="231"/>
      <c r="AM246" s="231"/>
      <c r="AN246" s="231"/>
      <c r="AO246" s="231"/>
      <c r="AP246" s="231"/>
      <c r="AQ246" s="231"/>
      <c r="AR246" s="231"/>
    </row>
    <row r="247" spans="1:44" s="31" customFormat="1" x14ac:dyDescent="0.2">
      <c r="A247" s="95" t="s">
        <v>98</v>
      </c>
      <c r="B247" s="54" t="s">
        <v>265</v>
      </c>
      <c r="C247" s="60" t="s">
        <v>159</v>
      </c>
      <c r="D247" s="60" t="s">
        <v>72</v>
      </c>
      <c r="E247" s="60" t="s">
        <v>81</v>
      </c>
      <c r="F247" s="52">
        <f>184.8+11.8</f>
        <v>196.60000000000002</v>
      </c>
      <c r="G247" s="52">
        <f>184.8+11.8</f>
        <v>196.60000000000002</v>
      </c>
      <c r="H247" s="315">
        <f t="shared" si="62"/>
        <v>0</v>
      </c>
      <c r="I247" s="52">
        <v>0</v>
      </c>
      <c r="J247" s="52">
        <f>184.8+11.8</f>
        <v>196.60000000000002</v>
      </c>
      <c r="K247" s="315">
        <f t="shared" si="60"/>
        <v>0</v>
      </c>
      <c r="L247" s="52">
        <v>0</v>
      </c>
      <c r="M247" s="320">
        <f t="shared" si="63"/>
        <v>0</v>
      </c>
      <c r="N247" s="65">
        <v>0</v>
      </c>
      <c r="O247" s="52">
        <v>0</v>
      </c>
      <c r="P247" s="315">
        <f t="shared" si="64"/>
        <v>0</v>
      </c>
      <c r="Q247" s="233"/>
      <c r="R247" s="40"/>
      <c r="S247" s="40"/>
      <c r="T247" s="214"/>
      <c r="U247" s="214"/>
      <c r="V247" s="231"/>
      <c r="W247" s="231"/>
      <c r="X247" s="231"/>
      <c r="Y247" s="231"/>
      <c r="Z247" s="231"/>
      <c r="AA247" s="231"/>
      <c r="AB247" s="231"/>
      <c r="AC247" s="231"/>
      <c r="AD247" s="231"/>
      <c r="AE247" s="231"/>
      <c r="AF247" s="231"/>
      <c r="AG247" s="231"/>
      <c r="AH247" s="231"/>
      <c r="AI247" s="231"/>
      <c r="AJ247" s="231"/>
      <c r="AK247" s="231"/>
      <c r="AL247" s="231"/>
      <c r="AM247" s="231"/>
      <c r="AN247" s="231"/>
      <c r="AO247" s="231"/>
      <c r="AP247" s="231"/>
      <c r="AQ247" s="231"/>
      <c r="AR247" s="231"/>
    </row>
    <row r="248" spans="1:44" x14ac:dyDescent="0.2">
      <c r="A248" s="109" t="s">
        <v>264</v>
      </c>
      <c r="B248" s="54" t="s">
        <v>263</v>
      </c>
      <c r="C248" s="60" t="s">
        <v>159</v>
      </c>
      <c r="D248" s="60" t="s">
        <v>72</v>
      </c>
      <c r="E248" s="60"/>
      <c r="F248" s="52">
        <f>F249</f>
        <v>49187.8</v>
      </c>
      <c r="G248" s="52">
        <f>G249</f>
        <v>49187.8</v>
      </c>
      <c r="H248" s="315">
        <f t="shared" si="62"/>
        <v>0</v>
      </c>
      <c r="I248" s="52">
        <f>I249</f>
        <v>-3.638200851696638E-13</v>
      </c>
      <c r="J248" s="52">
        <f>J249</f>
        <v>49187.8</v>
      </c>
      <c r="K248" s="315">
        <f t="shared" si="60"/>
        <v>0</v>
      </c>
      <c r="L248" s="52">
        <f>L249</f>
        <v>-3.638200851696638E-13</v>
      </c>
      <c r="M248" s="320">
        <f t="shared" si="63"/>
        <v>0</v>
      </c>
      <c r="N248" s="65">
        <f>N249</f>
        <v>0</v>
      </c>
      <c r="O248" s="52">
        <f>O249</f>
        <v>0</v>
      </c>
      <c r="P248" s="315">
        <f t="shared" si="64"/>
        <v>0</v>
      </c>
      <c r="Q248" s="233"/>
      <c r="R248" s="234"/>
      <c r="S248" s="234"/>
    </row>
    <row r="249" spans="1:44" x14ac:dyDescent="0.2">
      <c r="A249" s="95" t="s">
        <v>98</v>
      </c>
      <c r="B249" s="54" t="s">
        <v>263</v>
      </c>
      <c r="C249" s="60" t="s">
        <v>159</v>
      </c>
      <c r="D249" s="60" t="s">
        <v>72</v>
      </c>
      <c r="E249" s="60" t="s">
        <v>81</v>
      </c>
      <c r="F249" s="52">
        <f>12294.5+2.5+36883.4+7.4</f>
        <v>49187.8</v>
      </c>
      <c r="G249" s="52">
        <f>12294.5+2.5+36883.4+7.4</f>
        <v>49187.8</v>
      </c>
      <c r="H249" s="315">
        <f t="shared" si="62"/>
        <v>0</v>
      </c>
      <c r="I249" s="52">
        <f>4303+0.9-4303-0.9</f>
        <v>-3.638200851696638E-13</v>
      </c>
      <c r="J249" s="52">
        <f>12294.5+2.5+36883.4+7.4</f>
        <v>49187.8</v>
      </c>
      <c r="K249" s="315">
        <f t="shared" si="60"/>
        <v>0</v>
      </c>
      <c r="L249" s="52">
        <f>4303+0.9-4303-0.9</f>
        <v>-3.638200851696638E-13</v>
      </c>
      <c r="M249" s="320">
        <f t="shared" si="63"/>
        <v>0</v>
      </c>
      <c r="N249" s="65">
        <v>0</v>
      </c>
      <c r="O249" s="52">
        <v>0</v>
      </c>
      <c r="P249" s="315">
        <f t="shared" si="64"/>
        <v>0</v>
      </c>
      <c r="Q249" s="233"/>
    </row>
    <row r="250" spans="1:44" ht="51" x14ac:dyDescent="0.2">
      <c r="A250" s="109" t="s">
        <v>262</v>
      </c>
      <c r="B250" s="54" t="s">
        <v>261</v>
      </c>
      <c r="C250" s="60" t="s">
        <v>159</v>
      </c>
      <c r="D250" s="60" t="s">
        <v>72</v>
      </c>
      <c r="E250" s="60"/>
      <c r="F250" s="52">
        <f>F251</f>
        <v>11335.7</v>
      </c>
      <c r="G250" s="52">
        <f>G251</f>
        <v>11335.7</v>
      </c>
      <c r="H250" s="315">
        <f t="shared" si="62"/>
        <v>0</v>
      </c>
      <c r="I250" s="52">
        <f>I251</f>
        <v>13079.5</v>
      </c>
      <c r="J250" s="52">
        <f>J251</f>
        <v>11335.7</v>
      </c>
      <c r="K250" s="315">
        <f t="shared" si="60"/>
        <v>0</v>
      </c>
      <c r="L250" s="52">
        <f>L251</f>
        <v>13079.5</v>
      </c>
      <c r="M250" s="320">
        <f t="shared" si="63"/>
        <v>0</v>
      </c>
      <c r="N250" s="65">
        <f>N251</f>
        <v>13284</v>
      </c>
      <c r="O250" s="52">
        <f>O251</f>
        <v>13284</v>
      </c>
      <c r="P250" s="315">
        <f t="shared" si="64"/>
        <v>0</v>
      </c>
      <c r="T250" s="240"/>
    </row>
    <row r="251" spans="1:44" s="214" customFormat="1" x14ac:dyDescent="0.2">
      <c r="A251" s="95" t="s">
        <v>98</v>
      </c>
      <c r="B251" s="54" t="s">
        <v>261</v>
      </c>
      <c r="C251" s="60" t="s">
        <v>159</v>
      </c>
      <c r="D251" s="60" t="s">
        <v>72</v>
      </c>
      <c r="E251" s="60" t="s">
        <v>81</v>
      </c>
      <c r="F251" s="52">
        <f>2833.3+0.6+8500.1+1.7</f>
        <v>11335.7</v>
      </c>
      <c r="G251" s="52">
        <f>2833.3+0.6+8500.1+1.7</f>
        <v>11335.7</v>
      </c>
      <c r="H251" s="315">
        <f t="shared" si="62"/>
        <v>0</v>
      </c>
      <c r="I251" s="52">
        <f>4576.9+0.9+8500+1.7</f>
        <v>13079.5</v>
      </c>
      <c r="J251" s="52">
        <f>2833.3+0.6+8500.1+1.7</f>
        <v>11335.7</v>
      </c>
      <c r="K251" s="315">
        <f t="shared" si="60"/>
        <v>0</v>
      </c>
      <c r="L251" s="52">
        <f>4576.9+0.9+8500+1.7</f>
        <v>13079.5</v>
      </c>
      <c r="M251" s="320">
        <f t="shared" si="63"/>
        <v>0</v>
      </c>
      <c r="N251" s="65">
        <f>13281.3+2.7</f>
        <v>13284</v>
      </c>
      <c r="O251" s="52">
        <f>13281.3+2.7</f>
        <v>13284</v>
      </c>
      <c r="P251" s="315">
        <f t="shared" si="64"/>
        <v>0</v>
      </c>
      <c r="Q251" s="39"/>
      <c r="R251" s="40"/>
      <c r="S251" s="40"/>
    </row>
    <row r="252" spans="1:44" s="214" customFormat="1" ht="25.5" x14ac:dyDescent="0.2">
      <c r="A252" s="116" t="s">
        <v>260</v>
      </c>
      <c r="B252" s="54" t="s">
        <v>259</v>
      </c>
      <c r="C252" s="60" t="s">
        <v>159</v>
      </c>
      <c r="D252" s="60" t="s">
        <v>72</v>
      </c>
      <c r="E252" s="60"/>
      <c r="F252" s="52">
        <f>F253</f>
        <v>0</v>
      </c>
      <c r="G252" s="52">
        <f>G253</f>
        <v>0</v>
      </c>
      <c r="H252" s="315">
        <f t="shared" si="62"/>
        <v>0</v>
      </c>
      <c r="I252" s="52">
        <f t="shared" ref="I252:O252" si="71">I253</f>
        <v>12296.8</v>
      </c>
      <c r="J252" s="52">
        <f>J253</f>
        <v>0</v>
      </c>
      <c r="K252" s="315">
        <f t="shared" si="60"/>
        <v>0</v>
      </c>
      <c r="L252" s="52">
        <f t="shared" si="71"/>
        <v>12296.8</v>
      </c>
      <c r="M252" s="320">
        <f t="shared" si="63"/>
        <v>0</v>
      </c>
      <c r="N252" s="52">
        <f t="shared" si="71"/>
        <v>85427.3</v>
      </c>
      <c r="O252" s="52">
        <f t="shared" si="71"/>
        <v>85427.3</v>
      </c>
      <c r="P252" s="315">
        <f t="shared" si="64"/>
        <v>0</v>
      </c>
      <c r="Q252" s="32"/>
      <c r="R252" s="40"/>
      <c r="S252" s="40"/>
    </row>
    <row r="253" spans="1:44" s="214" customFormat="1" x14ac:dyDescent="0.2">
      <c r="A253" s="95" t="s">
        <v>98</v>
      </c>
      <c r="B253" s="54" t="s">
        <v>259</v>
      </c>
      <c r="C253" s="60" t="s">
        <v>159</v>
      </c>
      <c r="D253" s="60" t="s">
        <v>72</v>
      </c>
      <c r="E253" s="60" t="s">
        <v>81</v>
      </c>
      <c r="F253" s="52">
        <v>0</v>
      </c>
      <c r="G253" s="52">
        <v>0</v>
      </c>
      <c r="H253" s="315">
        <f t="shared" si="62"/>
        <v>0</v>
      </c>
      <c r="I253" s="52">
        <f>12294.3+2.5</f>
        <v>12296.8</v>
      </c>
      <c r="J253" s="52">
        <v>0</v>
      </c>
      <c r="K253" s="315">
        <f t="shared" si="60"/>
        <v>0</v>
      </c>
      <c r="L253" s="52">
        <f>12294.3+2.5</f>
        <v>12296.8</v>
      </c>
      <c r="M253" s="320">
        <f t="shared" si="63"/>
        <v>0</v>
      </c>
      <c r="N253" s="65">
        <f>85410.2+17.1</f>
        <v>85427.3</v>
      </c>
      <c r="O253" s="52">
        <f>85410.2+17.1</f>
        <v>85427.3</v>
      </c>
      <c r="P253" s="315">
        <f t="shared" si="64"/>
        <v>0</v>
      </c>
      <c r="Q253" s="32"/>
      <c r="R253" s="40"/>
      <c r="S253" s="40"/>
    </row>
    <row r="254" spans="1:44" s="214" customFormat="1" ht="63.75" hidden="1" x14ac:dyDescent="0.2">
      <c r="A254" s="248" t="s">
        <v>258</v>
      </c>
      <c r="B254" s="54" t="s">
        <v>257</v>
      </c>
      <c r="C254" s="60" t="s">
        <v>159</v>
      </c>
      <c r="D254" s="60" t="s">
        <v>72</v>
      </c>
      <c r="E254" s="60"/>
      <c r="F254" s="52">
        <f>F255</f>
        <v>9.0927265716800321E-14</v>
      </c>
      <c r="G254" s="52">
        <f>G255</f>
        <v>9.0927265716800321E-14</v>
      </c>
      <c r="H254" s="315">
        <f t="shared" si="62"/>
        <v>0</v>
      </c>
      <c r="I254" s="52">
        <f>I255</f>
        <v>0</v>
      </c>
      <c r="J254" s="52">
        <f>J255</f>
        <v>9.0927265716800321E-14</v>
      </c>
      <c r="K254" s="315">
        <f t="shared" si="60"/>
        <v>0</v>
      </c>
      <c r="L254" s="52">
        <f>L255</f>
        <v>0</v>
      </c>
      <c r="M254" s="320">
        <f t="shared" si="63"/>
        <v>0</v>
      </c>
      <c r="N254" s="65">
        <f>N255</f>
        <v>0</v>
      </c>
      <c r="O254" s="52">
        <f>O255</f>
        <v>0</v>
      </c>
      <c r="P254" s="315">
        <f t="shared" si="64"/>
        <v>0</v>
      </c>
      <c r="Q254" s="39"/>
      <c r="R254" s="40"/>
      <c r="S254" s="40"/>
    </row>
    <row r="255" spans="1:44" s="214" customFormat="1" hidden="1" x14ac:dyDescent="0.2">
      <c r="A255" s="116" t="s">
        <v>98</v>
      </c>
      <c r="B255" s="54" t="s">
        <v>257</v>
      </c>
      <c r="C255" s="60" t="s">
        <v>159</v>
      </c>
      <c r="D255" s="60" t="s">
        <v>72</v>
      </c>
      <c r="E255" s="60" t="s">
        <v>81</v>
      </c>
      <c r="F255" s="52">
        <f>2000+0.4-2000-0.4</f>
        <v>9.0927265716800321E-14</v>
      </c>
      <c r="G255" s="52">
        <f>2000+0.4-2000-0.4</f>
        <v>9.0927265716800321E-14</v>
      </c>
      <c r="H255" s="315">
        <f t="shared" si="62"/>
        <v>0</v>
      </c>
      <c r="I255" s="52">
        <v>0</v>
      </c>
      <c r="J255" s="52">
        <f>2000+0.4-2000-0.4</f>
        <v>9.0927265716800321E-14</v>
      </c>
      <c r="K255" s="315">
        <f t="shared" si="60"/>
        <v>0</v>
      </c>
      <c r="L255" s="52">
        <v>0</v>
      </c>
      <c r="M255" s="320">
        <f t="shared" si="63"/>
        <v>0</v>
      </c>
      <c r="N255" s="65">
        <v>0</v>
      </c>
      <c r="O255" s="52">
        <v>0</v>
      </c>
      <c r="P255" s="315">
        <f t="shared" si="64"/>
        <v>0</v>
      </c>
      <c r="Q255" s="39"/>
      <c r="R255" s="40"/>
      <c r="S255" s="40"/>
    </row>
    <row r="256" spans="1:44" s="214" customFormat="1" ht="25.5" x14ac:dyDescent="0.2">
      <c r="A256" s="116" t="s">
        <v>1100</v>
      </c>
      <c r="B256" s="54" t="s">
        <v>256</v>
      </c>
      <c r="C256" s="60"/>
      <c r="D256" s="60"/>
      <c r="E256" s="60"/>
      <c r="F256" s="52">
        <f>F259+F261+F257</f>
        <v>16384.5</v>
      </c>
      <c r="G256" s="52">
        <f>G259+G261+G257</f>
        <v>16384.5</v>
      </c>
      <c r="H256" s="315">
        <f t="shared" si="62"/>
        <v>0</v>
      </c>
      <c r="I256" s="52">
        <f t="shared" ref="I256" si="72">I259+I261+I257</f>
        <v>16396</v>
      </c>
      <c r="J256" s="52">
        <f>J259+J261+J257</f>
        <v>16384.5</v>
      </c>
      <c r="K256" s="315">
        <f t="shared" si="60"/>
        <v>0</v>
      </c>
      <c r="L256" s="52">
        <f t="shared" ref="L256:O256" si="73">L259+L261+L257</f>
        <v>16396</v>
      </c>
      <c r="M256" s="320">
        <f t="shared" si="63"/>
        <v>0</v>
      </c>
      <c r="N256" s="52">
        <f t="shared" ref="N256" si="74">N259+N261+N257</f>
        <v>16887.400000000001</v>
      </c>
      <c r="O256" s="52">
        <f t="shared" si="73"/>
        <v>16887.400000000001</v>
      </c>
      <c r="P256" s="315">
        <f t="shared" si="64"/>
        <v>0</v>
      </c>
      <c r="Q256" s="39"/>
      <c r="R256" s="40"/>
      <c r="S256" s="40"/>
    </row>
    <row r="257" spans="1:19" s="214" customFormat="1" ht="63.75" x14ac:dyDescent="0.2">
      <c r="A257" s="116" t="s">
        <v>255</v>
      </c>
      <c r="B257" s="54" t="s">
        <v>254</v>
      </c>
      <c r="C257" s="60" t="s">
        <v>159</v>
      </c>
      <c r="D257" s="60" t="s">
        <v>72</v>
      </c>
      <c r="E257" s="60"/>
      <c r="F257" s="52">
        <f>F258</f>
        <v>547.4</v>
      </c>
      <c r="G257" s="52">
        <f>G258</f>
        <v>547.4</v>
      </c>
      <c r="H257" s="315">
        <f t="shared" si="62"/>
        <v>0</v>
      </c>
      <c r="I257" s="52">
        <f t="shared" ref="I257:O257" si="75">I258</f>
        <v>547.4</v>
      </c>
      <c r="J257" s="52">
        <f>J258</f>
        <v>547.4</v>
      </c>
      <c r="K257" s="315">
        <f t="shared" si="60"/>
        <v>0</v>
      </c>
      <c r="L257" s="52">
        <f t="shared" si="75"/>
        <v>547.4</v>
      </c>
      <c r="M257" s="320">
        <f t="shared" si="63"/>
        <v>0</v>
      </c>
      <c r="N257" s="52">
        <f t="shared" si="75"/>
        <v>547.4</v>
      </c>
      <c r="O257" s="52">
        <f t="shared" si="75"/>
        <v>547.4</v>
      </c>
      <c r="P257" s="315">
        <f t="shared" si="64"/>
        <v>0</v>
      </c>
      <c r="Q257" s="39"/>
      <c r="R257" s="40"/>
      <c r="S257" s="40"/>
    </row>
    <row r="258" spans="1:19" s="214" customFormat="1" x14ac:dyDescent="0.2">
      <c r="A258" s="97" t="s">
        <v>98</v>
      </c>
      <c r="B258" s="54" t="s">
        <v>254</v>
      </c>
      <c r="C258" s="60" t="s">
        <v>159</v>
      </c>
      <c r="D258" s="60" t="s">
        <v>72</v>
      </c>
      <c r="E258" s="60" t="s">
        <v>81</v>
      </c>
      <c r="F258" s="52">
        <v>547.4</v>
      </c>
      <c r="G258" s="52">
        <v>547.4</v>
      </c>
      <c r="H258" s="315">
        <f t="shared" si="62"/>
        <v>0</v>
      </c>
      <c r="I258" s="52">
        <v>547.4</v>
      </c>
      <c r="J258" s="52">
        <v>547.4</v>
      </c>
      <c r="K258" s="315">
        <f t="shared" si="60"/>
        <v>0</v>
      </c>
      <c r="L258" s="52">
        <v>547.4</v>
      </c>
      <c r="M258" s="320">
        <f t="shared" si="63"/>
        <v>0</v>
      </c>
      <c r="N258" s="52">
        <v>547.4</v>
      </c>
      <c r="O258" s="52">
        <v>547.4</v>
      </c>
      <c r="P258" s="315">
        <f t="shared" si="64"/>
        <v>0</v>
      </c>
      <c r="Q258" s="39"/>
      <c r="R258" s="40"/>
      <c r="S258" s="40"/>
    </row>
    <row r="259" spans="1:19" s="214" customFormat="1" ht="38.25" x14ac:dyDescent="0.2">
      <c r="A259" s="116" t="s">
        <v>253</v>
      </c>
      <c r="B259" s="54" t="s">
        <v>252</v>
      </c>
      <c r="C259" s="60" t="s">
        <v>159</v>
      </c>
      <c r="D259" s="60" t="s">
        <v>72</v>
      </c>
      <c r="E259" s="60"/>
      <c r="F259" s="52">
        <f t="shared" ref="F259:O259" si="76">F260</f>
        <v>785</v>
      </c>
      <c r="G259" s="52">
        <f t="shared" si="76"/>
        <v>785</v>
      </c>
      <c r="H259" s="315">
        <f t="shared" si="62"/>
        <v>0</v>
      </c>
      <c r="I259" s="52">
        <f t="shared" si="76"/>
        <v>796.9</v>
      </c>
      <c r="J259" s="52">
        <f t="shared" si="76"/>
        <v>785</v>
      </c>
      <c r="K259" s="315">
        <f t="shared" si="60"/>
        <v>0</v>
      </c>
      <c r="L259" s="52">
        <f t="shared" si="76"/>
        <v>796.9</v>
      </c>
      <c r="M259" s="320">
        <f t="shared" si="63"/>
        <v>0</v>
      </c>
      <c r="N259" s="65">
        <f t="shared" si="76"/>
        <v>811.3</v>
      </c>
      <c r="O259" s="52">
        <f t="shared" si="76"/>
        <v>811.3</v>
      </c>
      <c r="P259" s="315">
        <f t="shared" si="64"/>
        <v>0</v>
      </c>
      <c r="Q259" s="39"/>
      <c r="R259" s="40"/>
      <c r="S259" s="40"/>
    </row>
    <row r="260" spans="1:19" s="214" customFormat="1" x14ac:dyDescent="0.2">
      <c r="A260" s="116" t="s">
        <v>98</v>
      </c>
      <c r="B260" s="54" t="s">
        <v>252</v>
      </c>
      <c r="C260" s="60" t="s">
        <v>159</v>
      </c>
      <c r="D260" s="60" t="s">
        <v>72</v>
      </c>
      <c r="E260" s="60" t="s">
        <v>81</v>
      </c>
      <c r="F260" s="52">
        <f>31.3+753.7</f>
        <v>785</v>
      </c>
      <c r="G260" s="52">
        <f>31.3+753.7</f>
        <v>785</v>
      </c>
      <c r="H260" s="315">
        <f t="shared" si="62"/>
        <v>0</v>
      </c>
      <c r="I260" s="52">
        <f>330.5+466.4</f>
        <v>796.9</v>
      </c>
      <c r="J260" s="52">
        <f>31.3+753.7</f>
        <v>785</v>
      </c>
      <c r="K260" s="315">
        <f t="shared" si="60"/>
        <v>0</v>
      </c>
      <c r="L260" s="52">
        <f>330.5+466.4</f>
        <v>796.9</v>
      </c>
      <c r="M260" s="320">
        <f t="shared" si="63"/>
        <v>0</v>
      </c>
      <c r="N260" s="65">
        <f>330.5+480.8</f>
        <v>811.3</v>
      </c>
      <c r="O260" s="52">
        <f>330.5+480.8</f>
        <v>811.3</v>
      </c>
      <c r="P260" s="315">
        <f t="shared" si="64"/>
        <v>0</v>
      </c>
      <c r="Q260" s="39"/>
      <c r="R260" s="40"/>
      <c r="S260" s="40"/>
    </row>
    <row r="261" spans="1:19" s="214" customFormat="1" ht="63.75" x14ac:dyDescent="0.2">
      <c r="A261" s="75" t="s">
        <v>251</v>
      </c>
      <c r="B261" s="54" t="s">
        <v>250</v>
      </c>
      <c r="C261" s="60" t="s">
        <v>159</v>
      </c>
      <c r="D261" s="60" t="s">
        <v>72</v>
      </c>
      <c r="E261" s="60"/>
      <c r="F261" s="52">
        <f>F262</f>
        <v>15052.1</v>
      </c>
      <c r="G261" s="52">
        <f>G262</f>
        <v>15052.1</v>
      </c>
      <c r="H261" s="315">
        <f t="shared" si="62"/>
        <v>0</v>
      </c>
      <c r="I261" s="52">
        <f t="shared" ref="I261:O261" si="77">I262</f>
        <v>15051.7</v>
      </c>
      <c r="J261" s="52">
        <f>J262</f>
        <v>15052.1</v>
      </c>
      <c r="K261" s="315">
        <f t="shared" si="60"/>
        <v>0</v>
      </c>
      <c r="L261" s="52">
        <f t="shared" si="77"/>
        <v>15051.7</v>
      </c>
      <c r="M261" s="320">
        <f t="shared" si="63"/>
        <v>0</v>
      </c>
      <c r="N261" s="52">
        <f t="shared" si="77"/>
        <v>15528.7</v>
      </c>
      <c r="O261" s="52">
        <f t="shared" si="77"/>
        <v>15528.7</v>
      </c>
      <c r="P261" s="315">
        <f t="shared" si="64"/>
        <v>0</v>
      </c>
      <c r="Q261" s="39"/>
      <c r="R261" s="40"/>
      <c r="S261" s="40"/>
    </row>
    <row r="262" spans="1:19" s="214" customFormat="1" x14ac:dyDescent="0.2">
      <c r="A262" s="97" t="s">
        <v>98</v>
      </c>
      <c r="B262" s="54" t="s">
        <v>250</v>
      </c>
      <c r="C262" s="60" t="s">
        <v>159</v>
      </c>
      <c r="D262" s="60" t="s">
        <v>72</v>
      </c>
      <c r="E262" s="60" t="s">
        <v>81</v>
      </c>
      <c r="F262" s="52">
        <f>15052.1</f>
        <v>15052.1</v>
      </c>
      <c r="G262" s="52">
        <f>15052.1</f>
        <v>15052.1</v>
      </c>
      <c r="H262" s="315">
        <f t="shared" si="62"/>
        <v>0</v>
      </c>
      <c r="I262" s="52">
        <v>15051.7</v>
      </c>
      <c r="J262" s="52">
        <f>15052.1</f>
        <v>15052.1</v>
      </c>
      <c r="K262" s="315">
        <f t="shared" si="60"/>
        <v>0</v>
      </c>
      <c r="L262" s="52">
        <v>15051.7</v>
      </c>
      <c r="M262" s="320">
        <f t="shared" si="63"/>
        <v>0</v>
      </c>
      <c r="N262" s="65">
        <v>15528.7</v>
      </c>
      <c r="O262" s="52">
        <v>15528.7</v>
      </c>
      <c r="P262" s="315">
        <f t="shared" si="64"/>
        <v>0</v>
      </c>
      <c r="Q262" s="39"/>
      <c r="R262" s="40"/>
      <c r="S262" s="40"/>
    </row>
    <row r="263" spans="1:19" s="214" customFormat="1" x14ac:dyDescent="0.2">
      <c r="A263" s="62" t="s">
        <v>66</v>
      </c>
      <c r="B263" s="54" t="s">
        <v>224</v>
      </c>
      <c r="C263" s="60"/>
      <c r="D263" s="60"/>
      <c r="E263" s="60"/>
      <c r="F263" s="52">
        <f>F264+F293</f>
        <v>51555.299999999996</v>
      </c>
      <c r="G263" s="52">
        <f>G264+G293</f>
        <v>53522.899999999994</v>
      </c>
      <c r="H263" s="315">
        <f t="shared" si="62"/>
        <v>1967.5999999999985</v>
      </c>
      <c r="I263" s="52">
        <f>I264+I293</f>
        <v>13326.400000000001</v>
      </c>
      <c r="J263" s="52">
        <f>J264+J293</f>
        <v>52946.299999999996</v>
      </c>
      <c r="K263" s="315">
        <f t="shared" si="60"/>
        <v>-576.59999999999854</v>
      </c>
      <c r="L263" s="52">
        <f>L264+L293</f>
        <v>13326.400000000001</v>
      </c>
      <c r="M263" s="320">
        <f t="shared" si="63"/>
        <v>0</v>
      </c>
      <c r="N263" s="65">
        <f>N264+N293</f>
        <v>11079.900000000001</v>
      </c>
      <c r="O263" s="52">
        <f>O264+O293</f>
        <v>11079.900000000001</v>
      </c>
      <c r="P263" s="315">
        <f t="shared" si="64"/>
        <v>0</v>
      </c>
      <c r="Q263" s="39"/>
      <c r="R263" s="40"/>
      <c r="S263" s="40"/>
    </row>
    <row r="264" spans="1:19" s="214" customFormat="1" ht="25.5" x14ac:dyDescent="0.2">
      <c r="A264" s="56" t="s">
        <v>249</v>
      </c>
      <c r="B264" s="54" t="s">
        <v>248</v>
      </c>
      <c r="C264" s="60"/>
      <c r="D264" s="60"/>
      <c r="E264" s="60"/>
      <c r="F264" s="52">
        <f>F272+F286+F270+F280+F284+F291+F276+F282+F288+F274+F265+F268+F278</f>
        <v>50416.1</v>
      </c>
      <c r="G264" s="52">
        <f t="shared" ref="G264:O264" si="78">G272+G286+G270+G280+G284+G291+G276+G282+G288+G274+G265+G268+G278</f>
        <v>52383.7</v>
      </c>
      <c r="H264" s="315">
        <f t="shared" si="62"/>
        <v>1967.5999999999985</v>
      </c>
      <c r="I264" s="52">
        <f t="shared" si="78"/>
        <v>12187.2</v>
      </c>
      <c r="J264" s="52">
        <f t="shared" si="78"/>
        <v>51807.1</v>
      </c>
      <c r="K264" s="315">
        <f t="shared" si="60"/>
        <v>-576.59999999999854</v>
      </c>
      <c r="L264" s="52">
        <f t="shared" si="78"/>
        <v>12187.2</v>
      </c>
      <c r="M264" s="320">
        <f t="shared" si="63"/>
        <v>0</v>
      </c>
      <c r="N264" s="52">
        <f t="shared" si="78"/>
        <v>9940.7000000000007</v>
      </c>
      <c r="O264" s="52">
        <f t="shared" si="78"/>
        <v>9940.7000000000007</v>
      </c>
      <c r="P264" s="315">
        <f t="shared" si="64"/>
        <v>0</v>
      </c>
      <c r="Q264" s="39"/>
      <c r="R264" s="40"/>
      <c r="S264" s="40"/>
    </row>
    <row r="265" spans="1:19" s="214" customFormat="1" ht="38.25" x14ac:dyDescent="0.2">
      <c r="A265" s="56" t="s">
        <v>1083</v>
      </c>
      <c r="B265" s="54" t="s">
        <v>1084</v>
      </c>
      <c r="C265" s="60"/>
      <c r="D265" s="60"/>
      <c r="E265" s="60"/>
      <c r="F265" s="52">
        <f>F267+F266</f>
        <v>0</v>
      </c>
      <c r="G265" s="52">
        <f t="shared" ref="G265:O265" si="79">G267+G266</f>
        <v>640</v>
      </c>
      <c r="H265" s="315">
        <f t="shared" si="62"/>
        <v>640</v>
      </c>
      <c r="I265" s="52">
        <f t="shared" si="79"/>
        <v>0</v>
      </c>
      <c r="J265" s="52">
        <f t="shared" si="79"/>
        <v>640</v>
      </c>
      <c r="K265" s="315">
        <f t="shared" si="60"/>
        <v>0</v>
      </c>
      <c r="L265" s="52">
        <f t="shared" si="79"/>
        <v>0</v>
      </c>
      <c r="M265" s="320">
        <f t="shared" si="63"/>
        <v>0</v>
      </c>
      <c r="N265" s="52">
        <f t="shared" si="79"/>
        <v>0</v>
      </c>
      <c r="O265" s="52">
        <f t="shared" si="79"/>
        <v>0</v>
      </c>
      <c r="P265" s="315">
        <f t="shared" si="64"/>
        <v>0</v>
      </c>
      <c r="Q265" s="39"/>
      <c r="R265" s="40"/>
      <c r="S265" s="40"/>
    </row>
    <row r="266" spans="1:19" s="214" customFormat="1" x14ac:dyDescent="0.2">
      <c r="A266" s="113" t="s">
        <v>98</v>
      </c>
      <c r="B266" s="54" t="s">
        <v>1084</v>
      </c>
      <c r="C266" s="60" t="s">
        <v>159</v>
      </c>
      <c r="D266" s="60" t="s">
        <v>45</v>
      </c>
      <c r="E266" s="60" t="s">
        <v>81</v>
      </c>
      <c r="F266" s="52">
        <v>0</v>
      </c>
      <c r="G266" s="52">
        <f>500+100</f>
        <v>600</v>
      </c>
      <c r="H266" s="315">
        <f t="shared" si="62"/>
        <v>600</v>
      </c>
      <c r="I266" s="52">
        <v>0</v>
      </c>
      <c r="J266" s="52">
        <f>500+100</f>
        <v>600</v>
      </c>
      <c r="K266" s="315">
        <f t="shared" si="60"/>
        <v>0</v>
      </c>
      <c r="L266" s="52">
        <v>0</v>
      </c>
      <c r="M266" s="320">
        <f t="shared" si="63"/>
        <v>0</v>
      </c>
      <c r="N266" s="65">
        <v>0</v>
      </c>
      <c r="O266" s="52">
        <v>0</v>
      </c>
      <c r="P266" s="315">
        <f t="shared" si="64"/>
        <v>0</v>
      </c>
      <c r="Q266" s="39"/>
      <c r="R266" s="40"/>
      <c r="S266" s="40"/>
    </row>
    <row r="267" spans="1:19" s="214" customFormat="1" x14ac:dyDescent="0.2">
      <c r="A267" s="113" t="s">
        <v>98</v>
      </c>
      <c r="B267" s="54" t="s">
        <v>1084</v>
      </c>
      <c r="C267" s="60" t="s">
        <v>159</v>
      </c>
      <c r="D267" s="60" t="s">
        <v>72</v>
      </c>
      <c r="E267" s="60" t="s">
        <v>81</v>
      </c>
      <c r="F267" s="52">
        <v>0</v>
      </c>
      <c r="G267" s="52">
        <f>40</f>
        <v>40</v>
      </c>
      <c r="H267" s="315">
        <f t="shared" si="62"/>
        <v>40</v>
      </c>
      <c r="I267" s="52">
        <v>0</v>
      </c>
      <c r="J267" s="52">
        <f>40</f>
        <v>40</v>
      </c>
      <c r="K267" s="315">
        <f t="shared" si="60"/>
        <v>0</v>
      </c>
      <c r="L267" s="52">
        <v>0</v>
      </c>
      <c r="M267" s="320">
        <f t="shared" si="63"/>
        <v>0</v>
      </c>
      <c r="N267" s="65">
        <v>0</v>
      </c>
      <c r="O267" s="52">
        <v>0</v>
      </c>
      <c r="P267" s="315">
        <f t="shared" si="64"/>
        <v>0</v>
      </c>
      <c r="Q267" s="39"/>
      <c r="R267" s="40"/>
      <c r="S267" s="40"/>
    </row>
    <row r="268" spans="1:19" s="214" customFormat="1" ht="25.5" x14ac:dyDescent="0.2">
      <c r="A268" s="114" t="s">
        <v>1085</v>
      </c>
      <c r="B268" s="54" t="s">
        <v>1086</v>
      </c>
      <c r="C268" s="60" t="s">
        <v>159</v>
      </c>
      <c r="D268" s="60" t="s">
        <v>72</v>
      </c>
      <c r="E268" s="60"/>
      <c r="F268" s="52">
        <f>F269</f>
        <v>0</v>
      </c>
      <c r="G268" s="52">
        <f t="shared" ref="G268:O268" si="80">G269</f>
        <v>583.70000000000005</v>
      </c>
      <c r="H268" s="315">
        <f t="shared" si="62"/>
        <v>583.70000000000005</v>
      </c>
      <c r="I268" s="52">
        <f t="shared" si="80"/>
        <v>0</v>
      </c>
      <c r="J268" s="52">
        <f t="shared" si="80"/>
        <v>583.70000000000005</v>
      </c>
      <c r="K268" s="315">
        <f t="shared" si="60"/>
        <v>0</v>
      </c>
      <c r="L268" s="52">
        <f t="shared" si="80"/>
        <v>0</v>
      </c>
      <c r="M268" s="320">
        <f t="shared" si="63"/>
        <v>0</v>
      </c>
      <c r="N268" s="52">
        <f t="shared" si="80"/>
        <v>0</v>
      </c>
      <c r="O268" s="52">
        <f t="shared" si="80"/>
        <v>0</v>
      </c>
      <c r="P268" s="315">
        <f t="shared" si="64"/>
        <v>0</v>
      </c>
      <c r="Q268" s="39"/>
      <c r="R268" s="40"/>
      <c r="S268" s="40"/>
    </row>
    <row r="269" spans="1:19" s="214" customFormat="1" x14ac:dyDescent="0.2">
      <c r="A269" s="113" t="s">
        <v>98</v>
      </c>
      <c r="B269" s="54" t="s">
        <v>1086</v>
      </c>
      <c r="C269" s="60" t="s">
        <v>159</v>
      </c>
      <c r="D269" s="60" t="s">
        <v>72</v>
      </c>
      <c r="E269" s="60" t="s">
        <v>81</v>
      </c>
      <c r="F269" s="52">
        <v>0</v>
      </c>
      <c r="G269" s="52">
        <f>146.6+210+227.1</f>
        <v>583.70000000000005</v>
      </c>
      <c r="H269" s="315">
        <f t="shared" si="62"/>
        <v>583.70000000000005</v>
      </c>
      <c r="I269" s="52">
        <v>0</v>
      </c>
      <c r="J269" s="52">
        <f>146.6+210+227.1</f>
        <v>583.70000000000005</v>
      </c>
      <c r="K269" s="315">
        <f t="shared" si="60"/>
        <v>0</v>
      </c>
      <c r="L269" s="52">
        <v>0</v>
      </c>
      <c r="M269" s="320">
        <f t="shared" si="63"/>
        <v>0</v>
      </c>
      <c r="N269" s="65">
        <v>0</v>
      </c>
      <c r="O269" s="52">
        <v>0</v>
      </c>
      <c r="P269" s="315">
        <f t="shared" si="64"/>
        <v>0</v>
      </c>
      <c r="Q269" s="39"/>
      <c r="R269" s="40"/>
      <c r="S269" s="40"/>
    </row>
    <row r="270" spans="1:19" s="214" customFormat="1" x14ac:dyDescent="0.2">
      <c r="A270" s="115" t="s">
        <v>247</v>
      </c>
      <c r="B270" s="54" t="s">
        <v>246</v>
      </c>
      <c r="C270" s="60" t="s">
        <v>159</v>
      </c>
      <c r="D270" s="60" t="s">
        <v>72</v>
      </c>
      <c r="E270" s="60"/>
      <c r="F270" s="52">
        <f>F271</f>
        <v>1000.2</v>
      </c>
      <c r="G270" s="52">
        <f>G271</f>
        <v>1000.2</v>
      </c>
      <c r="H270" s="315">
        <f t="shared" si="62"/>
        <v>0</v>
      </c>
      <c r="I270" s="52">
        <f>I271</f>
        <v>0</v>
      </c>
      <c r="J270" s="52">
        <f>J271</f>
        <v>1000.2</v>
      </c>
      <c r="K270" s="315">
        <f t="shared" si="60"/>
        <v>0</v>
      </c>
      <c r="L270" s="52">
        <f>L271</f>
        <v>0</v>
      </c>
      <c r="M270" s="320">
        <f t="shared" si="63"/>
        <v>0</v>
      </c>
      <c r="N270" s="65">
        <f>N271</f>
        <v>0</v>
      </c>
      <c r="O270" s="52">
        <f>O271</f>
        <v>0</v>
      </c>
      <c r="P270" s="315">
        <f t="shared" si="64"/>
        <v>0</v>
      </c>
      <c r="Q270" s="39"/>
      <c r="R270" s="40"/>
      <c r="S270" s="40"/>
    </row>
    <row r="271" spans="1:19" s="214" customFormat="1" x14ac:dyDescent="0.2">
      <c r="A271" s="97" t="s">
        <v>98</v>
      </c>
      <c r="B271" s="249" t="s">
        <v>246</v>
      </c>
      <c r="C271" s="250" t="s">
        <v>159</v>
      </c>
      <c r="D271" s="250" t="s">
        <v>72</v>
      </c>
      <c r="E271" s="250" t="s">
        <v>81</v>
      </c>
      <c r="F271" s="104">
        <f>1000+0.2</f>
        <v>1000.2</v>
      </c>
      <c r="G271" s="104">
        <f>1000+0.2</f>
        <v>1000.2</v>
      </c>
      <c r="H271" s="315">
        <f t="shared" si="62"/>
        <v>0</v>
      </c>
      <c r="I271" s="104">
        <v>0</v>
      </c>
      <c r="J271" s="104">
        <f>1000+0.2</f>
        <v>1000.2</v>
      </c>
      <c r="K271" s="315">
        <f t="shared" si="60"/>
        <v>0</v>
      </c>
      <c r="L271" s="104">
        <v>0</v>
      </c>
      <c r="M271" s="320">
        <f t="shared" si="63"/>
        <v>0</v>
      </c>
      <c r="N271" s="111">
        <v>0</v>
      </c>
      <c r="O271" s="52">
        <v>0</v>
      </c>
      <c r="P271" s="315">
        <f t="shared" si="64"/>
        <v>0</v>
      </c>
      <c r="Q271" s="39"/>
      <c r="R271" s="40"/>
      <c r="S271" s="40"/>
    </row>
    <row r="272" spans="1:19" s="214" customFormat="1" ht="25.5" x14ac:dyDescent="0.2">
      <c r="A272" s="62" t="s">
        <v>245</v>
      </c>
      <c r="B272" s="54" t="s">
        <v>244</v>
      </c>
      <c r="C272" s="60" t="s">
        <v>159</v>
      </c>
      <c r="D272" s="60" t="s">
        <v>72</v>
      </c>
      <c r="E272" s="60"/>
      <c r="F272" s="52">
        <f>F273</f>
        <v>4592.7999999999993</v>
      </c>
      <c r="G272" s="52">
        <f>G273</f>
        <v>4592.7999999999993</v>
      </c>
      <c r="H272" s="315">
        <f t="shared" si="62"/>
        <v>0</v>
      </c>
      <c r="I272" s="52">
        <f>I273</f>
        <v>5561.3</v>
      </c>
      <c r="J272" s="52">
        <f>J273</f>
        <v>4592.7999999999993</v>
      </c>
      <c r="K272" s="315">
        <f t="shared" si="60"/>
        <v>0</v>
      </c>
      <c r="L272" s="52">
        <f>L273</f>
        <v>5561.3</v>
      </c>
      <c r="M272" s="320">
        <f t="shared" si="63"/>
        <v>0</v>
      </c>
      <c r="N272" s="65">
        <f>N273</f>
        <v>3616.2999999999997</v>
      </c>
      <c r="O272" s="52">
        <f>O273</f>
        <v>3616.2999999999997</v>
      </c>
      <c r="P272" s="315">
        <f t="shared" si="64"/>
        <v>0</v>
      </c>
      <c r="Q272" s="39"/>
      <c r="R272" s="40"/>
      <c r="S272" s="40"/>
    </row>
    <row r="273" spans="1:19" s="214" customFormat="1" x14ac:dyDescent="0.2">
      <c r="A273" s="97" t="s">
        <v>98</v>
      </c>
      <c r="B273" s="54" t="s">
        <v>244</v>
      </c>
      <c r="C273" s="60" t="s">
        <v>159</v>
      </c>
      <c r="D273" s="60" t="s">
        <v>72</v>
      </c>
      <c r="E273" s="60" t="s">
        <v>81</v>
      </c>
      <c r="F273" s="52">
        <f>4591.9+0.9</f>
        <v>4592.7999999999993</v>
      </c>
      <c r="G273" s="52">
        <f>4591.9+0.9</f>
        <v>4592.7999999999993</v>
      </c>
      <c r="H273" s="315">
        <f t="shared" si="62"/>
        <v>0</v>
      </c>
      <c r="I273" s="52">
        <f>5560.2+1.1</f>
        <v>5561.3</v>
      </c>
      <c r="J273" s="52">
        <f>4591.9+0.9</f>
        <v>4592.7999999999993</v>
      </c>
      <c r="K273" s="315">
        <f t="shared" ref="K273:K337" si="81">J273-G273</f>
        <v>0</v>
      </c>
      <c r="L273" s="52">
        <f>5560.2+1.1</f>
        <v>5561.3</v>
      </c>
      <c r="M273" s="320">
        <f t="shared" si="63"/>
        <v>0</v>
      </c>
      <c r="N273" s="65">
        <f>3615.6+0.7</f>
        <v>3616.2999999999997</v>
      </c>
      <c r="O273" s="52">
        <f>3615.6+0.7</f>
        <v>3616.2999999999997</v>
      </c>
      <c r="P273" s="315">
        <f t="shared" si="64"/>
        <v>0</v>
      </c>
      <c r="Q273" s="39"/>
      <c r="R273" s="40"/>
      <c r="S273" s="40"/>
    </row>
    <row r="274" spans="1:19" s="214" customFormat="1" ht="25.5" x14ac:dyDescent="0.2">
      <c r="A274" s="75" t="s">
        <v>243</v>
      </c>
      <c r="B274" s="249" t="s">
        <v>242</v>
      </c>
      <c r="C274" s="60" t="s">
        <v>159</v>
      </c>
      <c r="D274" s="60" t="s">
        <v>72</v>
      </c>
      <c r="E274" s="60"/>
      <c r="F274" s="104">
        <f>F275</f>
        <v>3650.2</v>
      </c>
      <c r="G274" s="104">
        <f>G275</f>
        <v>3650.2</v>
      </c>
      <c r="H274" s="315">
        <f t="shared" si="62"/>
        <v>0</v>
      </c>
      <c r="I274" s="104">
        <f t="shared" ref="I274:O274" si="82">I275</f>
        <v>0</v>
      </c>
      <c r="J274" s="104">
        <f>J275</f>
        <v>3650.2</v>
      </c>
      <c r="K274" s="315">
        <f t="shared" si="81"/>
        <v>0</v>
      </c>
      <c r="L274" s="104">
        <f t="shared" si="82"/>
        <v>0</v>
      </c>
      <c r="M274" s="320">
        <f t="shared" si="63"/>
        <v>0</v>
      </c>
      <c r="N274" s="104">
        <f t="shared" si="82"/>
        <v>0</v>
      </c>
      <c r="O274" s="52">
        <f t="shared" si="82"/>
        <v>0</v>
      </c>
      <c r="P274" s="315">
        <f t="shared" si="64"/>
        <v>0</v>
      </c>
      <c r="Q274" s="39"/>
      <c r="R274" s="40"/>
      <c r="S274" s="40"/>
    </row>
    <row r="275" spans="1:19" s="214" customFormat="1" x14ac:dyDescent="0.2">
      <c r="A275" s="97" t="s">
        <v>98</v>
      </c>
      <c r="B275" s="249" t="s">
        <v>242</v>
      </c>
      <c r="C275" s="60" t="s">
        <v>159</v>
      </c>
      <c r="D275" s="60" t="s">
        <v>72</v>
      </c>
      <c r="E275" s="60" t="s">
        <v>81</v>
      </c>
      <c r="F275" s="104">
        <f>2000+0.2+1650</f>
        <v>3650.2</v>
      </c>
      <c r="G275" s="104">
        <f>2000+0.2+1650</f>
        <v>3650.2</v>
      </c>
      <c r="H275" s="315">
        <f t="shared" si="62"/>
        <v>0</v>
      </c>
      <c r="I275" s="104">
        <v>0</v>
      </c>
      <c r="J275" s="104">
        <f>2000+0.2+1650</f>
        <v>3650.2</v>
      </c>
      <c r="K275" s="315">
        <f t="shared" si="81"/>
        <v>0</v>
      </c>
      <c r="L275" s="104">
        <v>0</v>
      </c>
      <c r="M275" s="320">
        <f t="shared" si="63"/>
        <v>0</v>
      </c>
      <c r="N275" s="111">
        <v>0</v>
      </c>
      <c r="O275" s="52">
        <v>0</v>
      </c>
      <c r="P275" s="315">
        <f t="shared" si="64"/>
        <v>0</v>
      </c>
      <c r="Q275" s="39"/>
      <c r="R275" s="40"/>
      <c r="S275" s="40"/>
    </row>
    <row r="276" spans="1:19" s="214" customFormat="1" ht="51" x14ac:dyDescent="0.2">
      <c r="A276" s="75" t="s">
        <v>275</v>
      </c>
      <c r="B276" s="249" t="s">
        <v>274</v>
      </c>
      <c r="C276" s="60" t="s">
        <v>159</v>
      </c>
      <c r="D276" s="60" t="s">
        <v>45</v>
      </c>
      <c r="E276" s="60"/>
      <c r="F276" s="104">
        <f>F277</f>
        <v>252.6</v>
      </c>
      <c r="G276" s="104">
        <f>G277</f>
        <v>123.7</v>
      </c>
      <c r="H276" s="315">
        <f t="shared" si="62"/>
        <v>-128.89999999999998</v>
      </c>
      <c r="I276" s="104">
        <f>I277</f>
        <v>0</v>
      </c>
      <c r="J276" s="104">
        <f>J277</f>
        <v>123.7</v>
      </c>
      <c r="K276" s="315">
        <f t="shared" si="81"/>
        <v>0</v>
      </c>
      <c r="L276" s="104">
        <f>L277</f>
        <v>0</v>
      </c>
      <c r="M276" s="320">
        <f t="shared" si="63"/>
        <v>0</v>
      </c>
      <c r="N276" s="111">
        <f>N277</f>
        <v>0</v>
      </c>
      <c r="O276" s="52">
        <f>O277</f>
        <v>0</v>
      </c>
      <c r="P276" s="315">
        <f t="shared" si="64"/>
        <v>0</v>
      </c>
      <c r="Q276" s="39"/>
      <c r="R276" s="40"/>
      <c r="S276" s="40"/>
    </row>
    <row r="277" spans="1:19" s="214" customFormat="1" x14ac:dyDescent="0.2">
      <c r="A277" s="97" t="s">
        <v>98</v>
      </c>
      <c r="B277" s="249" t="s">
        <v>274</v>
      </c>
      <c r="C277" s="60" t="s">
        <v>159</v>
      </c>
      <c r="D277" s="60" t="s">
        <v>45</v>
      </c>
      <c r="E277" s="60" t="s">
        <v>81</v>
      </c>
      <c r="F277" s="104">
        <f>245+7.6</f>
        <v>252.6</v>
      </c>
      <c r="G277" s="104">
        <f>252.6-252.6+120+3.7</f>
        <v>123.7</v>
      </c>
      <c r="H277" s="315">
        <f t="shared" si="62"/>
        <v>-128.89999999999998</v>
      </c>
      <c r="I277" s="104">
        <v>0</v>
      </c>
      <c r="J277" s="104">
        <f>252.6-252.6+120+3.7</f>
        <v>123.7</v>
      </c>
      <c r="K277" s="315">
        <f t="shared" si="81"/>
        <v>0</v>
      </c>
      <c r="L277" s="104">
        <v>0</v>
      </c>
      <c r="M277" s="320">
        <f t="shared" si="63"/>
        <v>0</v>
      </c>
      <c r="N277" s="111">
        <v>0</v>
      </c>
      <c r="O277" s="52">
        <v>0</v>
      </c>
      <c r="P277" s="315">
        <f t="shared" si="64"/>
        <v>0</v>
      </c>
      <c r="Q277" s="110"/>
      <c r="R277" s="245"/>
      <c r="S277" s="245"/>
    </row>
    <row r="278" spans="1:19" s="214" customFormat="1" ht="51" x14ac:dyDescent="0.2">
      <c r="A278" s="75" t="s">
        <v>275</v>
      </c>
      <c r="B278" s="249" t="s">
        <v>274</v>
      </c>
      <c r="C278" s="60" t="s">
        <v>159</v>
      </c>
      <c r="D278" s="60" t="s">
        <v>72</v>
      </c>
      <c r="E278" s="60"/>
      <c r="F278" s="104">
        <f>F279</f>
        <v>0</v>
      </c>
      <c r="G278" s="104">
        <f>G279</f>
        <v>128.9</v>
      </c>
      <c r="H278" s="315">
        <f t="shared" si="62"/>
        <v>128.9</v>
      </c>
      <c r="I278" s="104">
        <f>I279</f>
        <v>0</v>
      </c>
      <c r="J278" s="104">
        <f>J279</f>
        <v>128.9</v>
      </c>
      <c r="K278" s="315">
        <f t="shared" si="81"/>
        <v>0</v>
      </c>
      <c r="L278" s="104">
        <f>L279</f>
        <v>0</v>
      </c>
      <c r="M278" s="320">
        <f t="shared" si="63"/>
        <v>0</v>
      </c>
      <c r="N278" s="111">
        <f>N279</f>
        <v>0</v>
      </c>
      <c r="O278" s="52">
        <f>O279</f>
        <v>0</v>
      </c>
      <c r="P278" s="315">
        <f t="shared" si="64"/>
        <v>0</v>
      </c>
      <c r="Q278" s="39"/>
      <c r="R278" s="40"/>
      <c r="S278" s="40"/>
    </row>
    <row r="279" spans="1:19" s="214" customFormat="1" x14ac:dyDescent="0.2">
      <c r="A279" s="97" t="s">
        <v>98</v>
      </c>
      <c r="B279" s="249" t="s">
        <v>274</v>
      </c>
      <c r="C279" s="60" t="s">
        <v>159</v>
      </c>
      <c r="D279" s="60" t="s">
        <v>72</v>
      </c>
      <c r="E279" s="60" t="s">
        <v>81</v>
      </c>
      <c r="F279" s="104">
        <v>0</v>
      </c>
      <c r="G279" s="104">
        <f>125+3.9</f>
        <v>128.9</v>
      </c>
      <c r="H279" s="315">
        <f t="shared" si="62"/>
        <v>128.9</v>
      </c>
      <c r="I279" s="104">
        <v>0</v>
      </c>
      <c r="J279" s="104">
        <f>125+3.9</f>
        <v>128.9</v>
      </c>
      <c r="K279" s="315">
        <f t="shared" si="81"/>
        <v>0</v>
      </c>
      <c r="L279" s="104">
        <v>0</v>
      </c>
      <c r="M279" s="320">
        <f t="shared" si="63"/>
        <v>0</v>
      </c>
      <c r="N279" s="111">
        <v>0</v>
      </c>
      <c r="O279" s="52">
        <v>0</v>
      </c>
      <c r="P279" s="315">
        <f t="shared" si="64"/>
        <v>0</v>
      </c>
      <c r="Q279" s="110"/>
      <c r="R279" s="245"/>
      <c r="S279" s="245"/>
    </row>
    <row r="280" spans="1:19" s="214" customFormat="1" ht="51" x14ac:dyDescent="0.2">
      <c r="A280" s="75" t="s">
        <v>239</v>
      </c>
      <c r="B280" s="249" t="s">
        <v>238</v>
      </c>
      <c r="C280" s="60" t="s">
        <v>159</v>
      </c>
      <c r="D280" s="60" t="s">
        <v>45</v>
      </c>
      <c r="E280" s="60"/>
      <c r="F280" s="104">
        <f>F281</f>
        <v>96.3</v>
      </c>
      <c r="G280" s="104">
        <f>G281</f>
        <v>96.3</v>
      </c>
      <c r="H280" s="315">
        <f t="shared" si="62"/>
        <v>0</v>
      </c>
      <c r="I280" s="104">
        <f>I281</f>
        <v>96.3</v>
      </c>
      <c r="J280" s="104">
        <f>J281</f>
        <v>96.3</v>
      </c>
      <c r="K280" s="315">
        <f t="shared" si="81"/>
        <v>0</v>
      </c>
      <c r="L280" s="104">
        <f>L281</f>
        <v>96.3</v>
      </c>
      <c r="M280" s="320">
        <f t="shared" si="63"/>
        <v>0</v>
      </c>
      <c r="N280" s="111">
        <f>N281</f>
        <v>96.3</v>
      </c>
      <c r="O280" s="52">
        <f>O281</f>
        <v>96.3</v>
      </c>
      <c r="P280" s="315">
        <f t="shared" si="64"/>
        <v>0</v>
      </c>
      <c r="Q280" s="110"/>
      <c r="R280" s="245"/>
      <c r="S280" s="245"/>
    </row>
    <row r="281" spans="1:19" s="214" customFormat="1" x14ac:dyDescent="0.2">
      <c r="A281" s="97" t="s">
        <v>98</v>
      </c>
      <c r="B281" s="249" t="s">
        <v>238</v>
      </c>
      <c r="C281" s="60" t="s">
        <v>159</v>
      </c>
      <c r="D281" s="60" t="s">
        <v>45</v>
      </c>
      <c r="E281" s="60" t="s">
        <v>81</v>
      </c>
      <c r="F281" s="104">
        <f>77+19.3</f>
        <v>96.3</v>
      </c>
      <c r="G281" s="104">
        <f>77+19.3</f>
        <v>96.3</v>
      </c>
      <c r="H281" s="315">
        <f t="shared" si="62"/>
        <v>0</v>
      </c>
      <c r="I281" s="104">
        <f>77+19.3</f>
        <v>96.3</v>
      </c>
      <c r="J281" s="104">
        <f>77+19.3</f>
        <v>96.3</v>
      </c>
      <c r="K281" s="315">
        <f t="shared" si="81"/>
        <v>0</v>
      </c>
      <c r="L281" s="104">
        <f>77+19.3</f>
        <v>96.3</v>
      </c>
      <c r="M281" s="320">
        <f t="shared" si="63"/>
        <v>0</v>
      </c>
      <c r="N281" s="111">
        <f>77+19.3</f>
        <v>96.3</v>
      </c>
      <c r="O281" s="52">
        <f>77+19.3</f>
        <v>96.3</v>
      </c>
      <c r="P281" s="315">
        <f t="shared" si="64"/>
        <v>0</v>
      </c>
      <c r="Q281" s="110"/>
      <c r="R281" s="245"/>
      <c r="S281" s="245"/>
    </row>
    <row r="282" spans="1:19" s="214" customFormat="1" ht="25.5" x14ac:dyDescent="0.2">
      <c r="A282" s="75" t="s">
        <v>241</v>
      </c>
      <c r="B282" s="54" t="s">
        <v>240</v>
      </c>
      <c r="C282" s="60" t="s">
        <v>159</v>
      </c>
      <c r="D282" s="60" t="s">
        <v>72</v>
      </c>
      <c r="E282" s="53"/>
      <c r="F282" s="104">
        <f>F283</f>
        <v>612.20000000000005</v>
      </c>
      <c r="G282" s="104">
        <f>G283</f>
        <v>612.20000000000005</v>
      </c>
      <c r="H282" s="315">
        <f t="shared" si="62"/>
        <v>0</v>
      </c>
      <c r="I282" s="104">
        <f t="shared" ref="I282:O282" si="83">I283</f>
        <v>0</v>
      </c>
      <c r="J282" s="104">
        <f>J283</f>
        <v>612.20000000000005</v>
      </c>
      <c r="K282" s="315">
        <f t="shared" si="81"/>
        <v>0</v>
      </c>
      <c r="L282" s="104">
        <f t="shared" si="83"/>
        <v>0</v>
      </c>
      <c r="M282" s="320">
        <f t="shared" si="63"/>
        <v>0</v>
      </c>
      <c r="N282" s="104">
        <f t="shared" si="83"/>
        <v>0</v>
      </c>
      <c r="O282" s="52">
        <f t="shared" si="83"/>
        <v>0</v>
      </c>
      <c r="P282" s="315">
        <f t="shared" si="64"/>
        <v>0</v>
      </c>
      <c r="Q282" s="32"/>
      <c r="R282" s="245"/>
      <c r="S282" s="245"/>
    </row>
    <row r="283" spans="1:19" s="214" customFormat="1" x14ac:dyDescent="0.2">
      <c r="A283" s="97" t="s">
        <v>98</v>
      </c>
      <c r="B283" s="54" t="s">
        <v>240</v>
      </c>
      <c r="C283" s="60" t="s">
        <v>159</v>
      </c>
      <c r="D283" s="60" t="s">
        <v>72</v>
      </c>
      <c r="E283" s="53" t="s">
        <v>81</v>
      </c>
      <c r="F283" s="104">
        <f>600+12.2</f>
        <v>612.20000000000005</v>
      </c>
      <c r="G283" s="104">
        <f>600+12.2</f>
        <v>612.20000000000005</v>
      </c>
      <c r="H283" s="315">
        <f t="shared" si="62"/>
        <v>0</v>
      </c>
      <c r="I283" s="104">
        <v>0</v>
      </c>
      <c r="J283" s="104">
        <f>600+12.2</f>
        <v>612.20000000000005</v>
      </c>
      <c r="K283" s="315">
        <f t="shared" si="81"/>
        <v>0</v>
      </c>
      <c r="L283" s="104">
        <v>0</v>
      </c>
      <c r="M283" s="320">
        <f t="shared" si="63"/>
        <v>0</v>
      </c>
      <c r="N283" s="104">
        <v>0</v>
      </c>
      <c r="O283" s="52">
        <v>0</v>
      </c>
      <c r="P283" s="315">
        <f t="shared" si="64"/>
        <v>0</v>
      </c>
      <c r="Q283" s="32"/>
      <c r="R283" s="245"/>
      <c r="S283" s="245"/>
    </row>
    <row r="284" spans="1:19" s="214" customFormat="1" ht="51" x14ac:dyDescent="0.2">
      <c r="A284" s="75" t="s">
        <v>239</v>
      </c>
      <c r="B284" s="249" t="s">
        <v>238</v>
      </c>
      <c r="C284" s="60" t="s">
        <v>159</v>
      </c>
      <c r="D284" s="60" t="s">
        <v>72</v>
      </c>
      <c r="E284" s="60"/>
      <c r="F284" s="104">
        <f>F285</f>
        <v>1385.6</v>
      </c>
      <c r="G284" s="104">
        <f>G285</f>
        <v>1385.6</v>
      </c>
      <c r="H284" s="315">
        <f t="shared" si="62"/>
        <v>0</v>
      </c>
      <c r="I284" s="104">
        <f>I285</f>
        <v>1385.6</v>
      </c>
      <c r="J284" s="104">
        <f>J285</f>
        <v>1385.6</v>
      </c>
      <c r="K284" s="315">
        <f t="shared" si="81"/>
        <v>0</v>
      </c>
      <c r="L284" s="104">
        <f>L285</f>
        <v>1385.6</v>
      </c>
      <c r="M284" s="320">
        <f t="shared" si="63"/>
        <v>0</v>
      </c>
      <c r="N284" s="111">
        <f>N285</f>
        <v>1385.6</v>
      </c>
      <c r="O284" s="52">
        <f>O285</f>
        <v>1385.6</v>
      </c>
      <c r="P284" s="315">
        <f t="shared" si="64"/>
        <v>0</v>
      </c>
      <c r="Q284" s="251"/>
      <c r="R284" s="245"/>
      <c r="S284" s="245"/>
    </row>
    <row r="285" spans="1:19" s="214" customFormat="1" x14ac:dyDescent="0.2">
      <c r="A285" s="113" t="s">
        <v>98</v>
      </c>
      <c r="B285" s="249" t="s">
        <v>238</v>
      </c>
      <c r="C285" s="60" t="s">
        <v>159</v>
      </c>
      <c r="D285" s="60" t="s">
        <v>72</v>
      </c>
      <c r="E285" s="60" t="s">
        <v>81</v>
      </c>
      <c r="F285" s="104">
        <f>1108.5+277.1</f>
        <v>1385.6</v>
      </c>
      <c r="G285" s="104">
        <f>1108.5+277.1</f>
        <v>1385.6</v>
      </c>
      <c r="H285" s="315">
        <f t="shared" si="62"/>
        <v>0</v>
      </c>
      <c r="I285" s="104">
        <f>1108.5+277.1</f>
        <v>1385.6</v>
      </c>
      <c r="J285" s="104">
        <f>1108.5+277.1</f>
        <v>1385.6</v>
      </c>
      <c r="K285" s="315">
        <f t="shared" si="81"/>
        <v>0</v>
      </c>
      <c r="L285" s="104">
        <f>1108.5+277.1</f>
        <v>1385.6</v>
      </c>
      <c r="M285" s="320">
        <f t="shared" si="63"/>
        <v>0</v>
      </c>
      <c r="N285" s="111">
        <f>1108.5+277.1</f>
        <v>1385.6</v>
      </c>
      <c r="O285" s="52">
        <f>1108.5+277.1</f>
        <v>1385.6</v>
      </c>
      <c r="P285" s="315">
        <f t="shared" si="64"/>
        <v>0</v>
      </c>
      <c r="Q285" s="110"/>
      <c r="R285" s="245"/>
      <c r="S285" s="245"/>
    </row>
    <row r="286" spans="1:19" s="214" customFormat="1" ht="38.25" x14ac:dyDescent="0.2">
      <c r="A286" s="112" t="s">
        <v>237</v>
      </c>
      <c r="B286" s="54" t="s">
        <v>236</v>
      </c>
      <c r="C286" s="60" t="s">
        <v>159</v>
      </c>
      <c r="D286" s="60" t="s">
        <v>72</v>
      </c>
      <c r="E286" s="60"/>
      <c r="F286" s="52">
        <f>F287</f>
        <v>1142.3000000000002</v>
      </c>
      <c r="G286" s="52">
        <f>G287</f>
        <v>1142.3000000000002</v>
      </c>
      <c r="H286" s="315">
        <f t="shared" si="62"/>
        <v>0</v>
      </c>
      <c r="I286" s="52">
        <f>I287</f>
        <v>0</v>
      </c>
      <c r="J286" s="52">
        <f>J287</f>
        <v>1142.3000000000002</v>
      </c>
      <c r="K286" s="315">
        <f t="shared" si="81"/>
        <v>0</v>
      </c>
      <c r="L286" s="52">
        <f>L287</f>
        <v>0</v>
      </c>
      <c r="M286" s="320">
        <f t="shared" si="63"/>
        <v>0</v>
      </c>
      <c r="N286" s="65">
        <f>N287</f>
        <v>0</v>
      </c>
      <c r="O286" s="52">
        <f>O287</f>
        <v>0</v>
      </c>
      <c r="P286" s="315">
        <f t="shared" si="64"/>
        <v>0</v>
      </c>
      <c r="Q286" s="110"/>
      <c r="R286" s="245"/>
      <c r="S286" s="245"/>
    </row>
    <row r="287" spans="1:19" s="214" customFormat="1" x14ac:dyDescent="0.2">
      <c r="A287" s="113" t="s">
        <v>98</v>
      </c>
      <c r="B287" s="54" t="s">
        <v>236</v>
      </c>
      <c r="C287" s="60" t="s">
        <v>159</v>
      </c>
      <c r="D287" s="60" t="s">
        <v>72</v>
      </c>
      <c r="E287" s="60" t="s">
        <v>81</v>
      </c>
      <c r="F287" s="52">
        <f>2866.3+0.6-1724.3-0.3</f>
        <v>1142.3000000000002</v>
      </c>
      <c r="G287" s="52">
        <f>2866.3+0.6-1724.3-0.3</f>
        <v>1142.3000000000002</v>
      </c>
      <c r="H287" s="315">
        <f t="shared" si="62"/>
        <v>0</v>
      </c>
      <c r="I287" s="52">
        <v>0</v>
      </c>
      <c r="J287" s="52">
        <f>2866.3+0.6-1724.3-0.3</f>
        <v>1142.3000000000002</v>
      </c>
      <c r="K287" s="315">
        <f t="shared" si="81"/>
        <v>0</v>
      </c>
      <c r="L287" s="52">
        <v>0</v>
      </c>
      <c r="M287" s="320">
        <f t="shared" si="63"/>
        <v>0</v>
      </c>
      <c r="N287" s="65">
        <v>0</v>
      </c>
      <c r="O287" s="52">
        <v>0</v>
      </c>
      <c r="P287" s="315">
        <f t="shared" si="64"/>
        <v>0</v>
      </c>
      <c r="Q287" s="110"/>
      <c r="R287" s="245"/>
      <c r="S287" s="245"/>
    </row>
    <row r="288" spans="1:19" s="214" customFormat="1" ht="38.25" x14ac:dyDescent="0.2">
      <c r="A288" s="75" t="s">
        <v>235</v>
      </c>
      <c r="B288" s="249" t="s">
        <v>234</v>
      </c>
      <c r="C288" s="60" t="s">
        <v>159</v>
      </c>
      <c r="D288" s="60" t="s">
        <v>72</v>
      </c>
      <c r="E288" s="60"/>
      <c r="F288" s="104">
        <f>F290+F289</f>
        <v>31855.7</v>
      </c>
      <c r="G288" s="104">
        <f t="shared" ref="G288:O288" si="84">G290+G289</f>
        <v>32599.600000000002</v>
      </c>
      <c r="H288" s="315">
        <f t="shared" si="62"/>
        <v>743.90000000000146</v>
      </c>
      <c r="I288" s="104">
        <f t="shared" si="84"/>
        <v>0</v>
      </c>
      <c r="J288" s="104">
        <f t="shared" si="84"/>
        <v>32023</v>
      </c>
      <c r="K288" s="315">
        <f t="shared" si="81"/>
        <v>-576.60000000000218</v>
      </c>
      <c r="L288" s="104">
        <f t="shared" si="84"/>
        <v>0</v>
      </c>
      <c r="M288" s="320">
        <f t="shared" si="63"/>
        <v>0</v>
      </c>
      <c r="N288" s="104">
        <f t="shared" si="84"/>
        <v>0</v>
      </c>
      <c r="O288" s="104">
        <f t="shared" si="84"/>
        <v>0</v>
      </c>
      <c r="P288" s="315">
        <f t="shared" si="64"/>
        <v>0</v>
      </c>
      <c r="Q288" s="110"/>
      <c r="R288" s="245"/>
      <c r="S288" s="245"/>
    </row>
    <row r="289" spans="1:19" s="214" customFormat="1" ht="25.5" x14ac:dyDescent="0.2">
      <c r="A289" s="56" t="s">
        <v>73</v>
      </c>
      <c r="B289" s="249" t="s">
        <v>234</v>
      </c>
      <c r="C289" s="60" t="s">
        <v>159</v>
      </c>
      <c r="D289" s="60" t="s">
        <v>72</v>
      </c>
      <c r="E289" s="60" t="s">
        <v>70</v>
      </c>
      <c r="F289" s="104">
        <v>0</v>
      </c>
      <c r="G289" s="104">
        <v>23</v>
      </c>
      <c r="H289" s="315">
        <f t="shared" si="62"/>
        <v>23</v>
      </c>
      <c r="I289" s="104">
        <v>0</v>
      </c>
      <c r="J289" s="104">
        <v>23</v>
      </c>
      <c r="K289" s="315">
        <f t="shared" si="81"/>
        <v>0</v>
      </c>
      <c r="L289" s="104">
        <v>0</v>
      </c>
      <c r="M289" s="320">
        <f t="shared" si="63"/>
        <v>0</v>
      </c>
      <c r="N289" s="111">
        <v>0</v>
      </c>
      <c r="O289" s="52">
        <v>0</v>
      </c>
      <c r="P289" s="315">
        <f t="shared" si="64"/>
        <v>0</v>
      </c>
      <c r="Q289" s="110"/>
      <c r="R289" s="245"/>
      <c r="S289" s="245"/>
    </row>
    <row r="290" spans="1:19" s="214" customFormat="1" x14ac:dyDescent="0.2">
      <c r="A290" s="112" t="s">
        <v>167</v>
      </c>
      <c r="B290" s="249" t="s">
        <v>234</v>
      </c>
      <c r="C290" s="60" t="s">
        <v>159</v>
      </c>
      <c r="D290" s="60" t="s">
        <v>72</v>
      </c>
      <c r="E290" s="60" t="s">
        <v>164</v>
      </c>
      <c r="F290" s="104">
        <f>30900+955.7</f>
        <v>31855.7</v>
      </c>
      <c r="G290" s="104">
        <f>31855.7+720.9</f>
        <v>32576.600000000002</v>
      </c>
      <c r="H290" s="315">
        <f t="shared" si="62"/>
        <v>720.90000000000146</v>
      </c>
      <c r="I290" s="104">
        <v>0</v>
      </c>
      <c r="J290" s="104">
        <f>32576.6-576.6</f>
        <v>32000</v>
      </c>
      <c r="K290" s="315">
        <f t="shared" si="81"/>
        <v>-576.60000000000218</v>
      </c>
      <c r="L290" s="104">
        <v>0</v>
      </c>
      <c r="M290" s="320">
        <f t="shared" si="63"/>
        <v>0</v>
      </c>
      <c r="N290" s="111">
        <v>0</v>
      </c>
      <c r="O290" s="52">
        <v>0</v>
      </c>
      <c r="P290" s="315">
        <f t="shared" si="64"/>
        <v>0</v>
      </c>
      <c r="Q290" s="39"/>
      <c r="R290" s="245"/>
      <c r="S290" s="245"/>
    </row>
    <row r="291" spans="1:19" s="214" customFormat="1" ht="38.25" x14ac:dyDescent="0.2">
      <c r="A291" s="75" t="s">
        <v>233</v>
      </c>
      <c r="B291" s="249" t="s">
        <v>232</v>
      </c>
      <c r="C291" s="60" t="s">
        <v>159</v>
      </c>
      <c r="D291" s="60" t="s">
        <v>72</v>
      </c>
      <c r="E291" s="60"/>
      <c r="F291" s="104">
        <f>F292</f>
        <v>5828.2</v>
      </c>
      <c r="G291" s="104">
        <f>G292</f>
        <v>5828.2</v>
      </c>
      <c r="H291" s="315">
        <f t="shared" si="62"/>
        <v>0</v>
      </c>
      <c r="I291" s="104">
        <f>I292</f>
        <v>5144.0000000000009</v>
      </c>
      <c r="J291" s="104">
        <f>J292</f>
        <v>5828.2</v>
      </c>
      <c r="K291" s="315">
        <f t="shared" si="81"/>
        <v>0</v>
      </c>
      <c r="L291" s="104">
        <f>L292</f>
        <v>5144.0000000000009</v>
      </c>
      <c r="M291" s="320">
        <f t="shared" si="63"/>
        <v>0</v>
      </c>
      <c r="N291" s="111">
        <f>N292</f>
        <v>4842.5</v>
      </c>
      <c r="O291" s="52">
        <f>O292</f>
        <v>4842.5</v>
      </c>
      <c r="P291" s="315">
        <f t="shared" si="64"/>
        <v>0</v>
      </c>
      <c r="Q291" s="110"/>
      <c r="R291" s="245"/>
      <c r="S291" s="245"/>
    </row>
    <row r="292" spans="1:19" s="214" customFormat="1" x14ac:dyDescent="0.2">
      <c r="A292" s="97" t="s">
        <v>98</v>
      </c>
      <c r="B292" s="249" t="s">
        <v>232</v>
      </c>
      <c r="C292" s="250" t="s">
        <v>159</v>
      </c>
      <c r="D292" s="250" t="s">
        <v>72</v>
      </c>
      <c r="E292" s="250" t="s">
        <v>81</v>
      </c>
      <c r="F292" s="104">
        <f>1466.9+29.9+4244.7+86.7</f>
        <v>5828.2</v>
      </c>
      <c r="G292" s="104">
        <f>1466.9+29.9+4244.7+86.7</f>
        <v>5828.2</v>
      </c>
      <c r="H292" s="315">
        <f t="shared" si="62"/>
        <v>0</v>
      </c>
      <c r="I292" s="104">
        <f>1995.3+40.7+3045.8+62.6-0.4</f>
        <v>5144.0000000000009</v>
      </c>
      <c r="J292" s="104">
        <f>1466.9+29.9+4244.7+86.7</f>
        <v>5828.2</v>
      </c>
      <c r="K292" s="315">
        <f t="shared" si="81"/>
        <v>0</v>
      </c>
      <c r="L292" s="104">
        <f>1995.3+40.7+3045.8+62.6-0.4</f>
        <v>5144.0000000000009</v>
      </c>
      <c r="M292" s="320">
        <f t="shared" si="63"/>
        <v>0</v>
      </c>
      <c r="N292" s="104">
        <f>1995.3+40.7+2750.4+56.1</f>
        <v>4842.5</v>
      </c>
      <c r="O292" s="52">
        <f>1995.3+40.7+2750.4+56.1</f>
        <v>4842.5</v>
      </c>
      <c r="P292" s="315">
        <f t="shared" si="64"/>
        <v>0</v>
      </c>
      <c r="Q292" s="110"/>
      <c r="R292" s="245"/>
      <c r="S292" s="245"/>
    </row>
    <row r="293" spans="1:19" s="214" customFormat="1" ht="25.5" x14ac:dyDescent="0.2">
      <c r="A293" s="75" t="s">
        <v>223</v>
      </c>
      <c r="B293" s="249" t="s">
        <v>222</v>
      </c>
      <c r="C293" s="250"/>
      <c r="D293" s="250"/>
      <c r="E293" s="250"/>
      <c r="F293" s="104">
        <f t="shared" ref="F293:O294" si="85">F294</f>
        <v>1139.2</v>
      </c>
      <c r="G293" s="104">
        <f t="shared" si="85"/>
        <v>1139.2</v>
      </c>
      <c r="H293" s="315">
        <f t="shared" si="62"/>
        <v>0</v>
      </c>
      <c r="I293" s="104">
        <f t="shared" si="85"/>
        <v>1139.2</v>
      </c>
      <c r="J293" s="104">
        <f t="shared" si="85"/>
        <v>1139.2</v>
      </c>
      <c r="K293" s="315">
        <f t="shared" si="81"/>
        <v>0</v>
      </c>
      <c r="L293" s="104">
        <f t="shared" si="85"/>
        <v>1139.2</v>
      </c>
      <c r="M293" s="320">
        <f t="shared" si="63"/>
        <v>0</v>
      </c>
      <c r="N293" s="111">
        <f t="shared" si="85"/>
        <v>1139.2</v>
      </c>
      <c r="O293" s="52">
        <f t="shared" si="85"/>
        <v>1139.2</v>
      </c>
      <c r="P293" s="315">
        <f t="shared" si="64"/>
        <v>0</v>
      </c>
      <c r="Q293" s="110"/>
      <c r="R293" s="245"/>
      <c r="S293" s="245"/>
    </row>
    <row r="294" spans="1:19" s="214" customFormat="1" ht="25.5" x14ac:dyDescent="0.2">
      <c r="A294" s="75" t="s">
        <v>221</v>
      </c>
      <c r="B294" s="249" t="s">
        <v>220</v>
      </c>
      <c r="C294" s="250" t="s">
        <v>159</v>
      </c>
      <c r="D294" s="250" t="s">
        <v>111</v>
      </c>
      <c r="E294" s="250"/>
      <c r="F294" s="104">
        <f t="shared" si="85"/>
        <v>1139.2</v>
      </c>
      <c r="G294" s="104">
        <f t="shared" si="85"/>
        <v>1139.2</v>
      </c>
      <c r="H294" s="315">
        <f t="shared" si="62"/>
        <v>0</v>
      </c>
      <c r="I294" s="104">
        <f t="shared" si="85"/>
        <v>1139.2</v>
      </c>
      <c r="J294" s="104">
        <f t="shared" si="85"/>
        <v>1139.2</v>
      </c>
      <c r="K294" s="315">
        <f t="shared" si="81"/>
        <v>0</v>
      </c>
      <c r="L294" s="104">
        <f t="shared" si="85"/>
        <v>1139.2</v>
      </c>
      <c r="M294" s="320">
        <f t="shared" si="63"/>
        <v>0</v>
      </c>
      <c r="N294" s="111">
        <f t="shared" si="85"/>
        <v>1139.2</v>
      </c>
      <c r="O294" s="52">
        <f t="shared" si="85"/>
        <v>1139.2</v>
      </c>
      <c r="P294" s="315">
        <f t="shared" si="64"/>
        <v>0</v>
      </c>
      <c r="Q294" s="110"/>
      <c r="R294" s="245"/>
      <c r="S294" s="245"/>
    </row>
    <row r="295" spans="1:19" s="214" customFormat="1" x14ac:dyDescent="0.2">
      <c r="A295" s="97" t="s">
        <v>98</v>
      </c>
      <c r="B295" s="249" t="s">
        <v>220</v>
      </c>
      <c r="C295" s="250" t="s">
        <v>159</v>
      </c>
      <c r="D295" s="250" t="s">
        <v>111</v>
      </c>
      <c r="E295" s="250" t="s">
        <v>81</v>
      </c>
      <c r="F295" s="104">
        <f>569.6+569.6</f>
        <v>1139.2</v>
      </c>
      <c r="G295" s="104">
        <f>569.6+569.6</f>
        <v>1139.2</v>
      </c>
      <c r="H295" s="315">
        <f t="shared" si="62"/>
        <v>0</v>
      </c>
      <c r="I295" s="104">
        <f>569.6+569.6</f>
        <v>1139.2</v>
      </c>
      <c r="J295" s="104">
        <f>569.6+569.6</f>
        <v>1139.2</v>
      </c>
      <c r="K295" s="315">
        <f t="shared" si="81"/>
        <v>0</v>
      </c>
      <c r="L295" s="104">
        <f>569.6+569.6</f>
        <v>1139.2</v>
      </c>
      <c r="M295" s="320">
        <f t="shared" si="63"/>
        <v>0</v>
      </c>
      <c r="N295" s="111">
        <f>569.6+569.6</f>
        <v>1139.2</v>
      </c>
      <c r="O295" s="52">
        <f>569.6+569.6</f>
        <v>1139.2</v>
      </c>
      <c r="P295" s="315">
        <f t="shared" si="64"/>
        <v>0</v>
      </c>
      <c r="Q295" s="110"/>
      <c r="R295" s="245"/>
      <c r="S295" s="245"/>
    </row>
    <row r="296" spans="1:19" s="214" customFormat="1" x14ac:dyDescent="0.2">
      <c r="A296" s="84" t="s">
        <v>52</v>
      </c>
      <c r="B296" s="54" t="s">
        <v>140</v>
      </c>
      <c r="C296" s="60"/>
      <c r="D296" s="60"/>
      <c r="E296" s="60"/>
      <c r="F296" s="52">
        <f>F297+F313+F318+F326+F329</f>
        <v>309523.79999999993</v>
      </c>
      <c r="G296" s="52">
        <f>G297+G313+G318+G326+G329</f>
        <v>304620.2</v>
      </c>
      <c r="H296" s="315">
        <f t="shared" si="62"/>
        <v>-4903.5999999999185</v>
      </c>
      <c r="I296" s="52">
        <f>I297+I313+I318+I326+I329</f>
        <v>307989.89999999997</v>
      </c>
      <c r="J296" s="52">
        <f>J297+J313+J318+J326+J329</f>
        <v>303940.40000000002</v>
      </c>
      <c r="K296" s="315">
        <f t="shared" si="81"/>
        <v>-679.79999999998836</v>
      </c>
      <c r="L296" s="52">
        <f>L297+L313+L318+L326+L329</f>
        <v>307989.89999999997</v>
      </c>
      <c r="M296" s="320">
        <f t="shared" si="63"/>
        <v>0</v>
      </c>
      <c r="N296" s="52">
        <f>N297+N313+N318+N326+N329</f>
        <v>307947.8</v>
      </c>
      <c r="O296" s="52">
        <f>O297+O313+O318+O326+O329</f>
        <v>307947.8</v>
      </c>
      <c r="P296" s="315">
        <f t="shared" si="64"/>
        <v>0</v>
      </c>
      <c r="Q296" s="110"/>
      <c r="R296" s="245"/>
      <c r="S296" s="245"/>
    </row>
    <row r="297" spans="1:19" s="214" customFormat="1" ht="25.5" x14ac:dyDescent="0.2">
      <c r="A297" s="84" t="s">
        <v>219</v>
      </c>
      <c r="B297" s="54" t="s">
        <v>218</v>
      </c>
      <c r="C297" s="60"/>
      <c r="D297" s="60"/>
      <c r="E297" s="60"/>
      <c r="F297" s="52">
        <f>F298+F301+F303+F309+F305+F307+F311</f>
        <v>298386.69999999995</v>
      </c>
      <c r="G297" s="52">
        <f t="shared" ref="G297:O297" si="86">G298+G301+G303+G309+G305+G307+G311</f>
        <v>293786.7</v>
      </c>
      <c r="H297" s="315">
        <f t="shared" si="62"/>
        <v>-4599.9999999999418</v>
      </c>
      <c r="I297" s="52">
        <f t="shared" si="86"/>
        <v>296880.8</v>
      </c>
      <c r="J297" s="52">
        <f t="shared" si="86"/>
        <v>292530.30000000005</v>
      </c>
      <c r="K297" s="315">
        <f t="shared" si="81"/>
        <v>-1256.3999999999651</v>
      </c>
      <c r="L297" s="52">
        <f t="shared" si="86"/>
        <v>296880.8</v>
      </c>
      <c r="M297" s="320">
        <f t="shared" si="63"/>
        <v>0</v>
      </c>
      <c r="N297" s="52">
        <f t="shared" si="86"/>
        <v>296838.7</v>
      </c>
      <c r="O297" s="52">
        <f t="shared" si="86"/>
        <v>296838.7</v>
      </c>
      <c r="P297" s="315">
        <f t="shared" si="64"/>
        <v>0</v>
      </c>
      <c r="Q297" s="110"/>
      <c r="R297" s="245"/>
      <c r="S297" s="245"/>
    </row>
    <row r="298" spans="1:19" s="214" customFormat="1" ht="25.5" x14ac:dyDescent="0.2">
      <c r="A298" s="109" t="s">
        <v>231</v>
      </c>
      <c r="B298" s="54" t="s">
        <v>230</v>
      </c>
      <c r="C298" s="60"/>
      <c r="D298" s="60"/>
      <c r="E298" s="60"/>
      <c r="F298" s="52">
        <f>F299+F300</f>
        <v>196842.3</v>
      </c>
      <c r="G298" s="52">
        <f>G299+G300</f>
        <v>196842.3</v>
      </c>
      <c r="H298" s="315">
        <f t="shared" si="62"/>
        <v>0</v>
      </c>
      <c r="I298" s="52">
        <f>I299+I300</f>
        <v>193710.4</v>
      </c>
      <c r="J298" s="52">
        <f>J299+J300</f>
        <v>195585.90000000002</v>
      </c>
      <c r="K298" s="315">
        <f t="shared" si="81"/>
        <v>-1256.3999999999651</v>
      </c>
      <c r="L298" s="52">
        <f>L299+L300</f>
        <v>193710.4</v>
      </c>
      <c r="M298" s="320">
        <f t="shared" si="63"/>
        <v>0</v>
      </c>
      <c r="N298" s="65">
        <f>N299+N300</f>
        <v>193710.4</v>
      </c>
      <c r="O298" s="52">
        <f>O299+O300</f>
        <v>193710.4</v>
      </c>
      <c r="P298" s="315">
        <f t="shared" si="64"/>
        <v>0</v>
      </c>
      <c r="Q298" s="110"/>
      <c r="R298" s="245"/>
      <c r="S298" s="245"/>
    </row>
    <row r="299" spans="1:19" s="214" customFormat="1" x14ac:dyDescent="0.2">
      <c r="A299" s="95" t="s">
        <v>98</v>
      </c>
      <c r="B299" s="54" t="s">
        <v>230</v>
      </c>
      <c r="C299" s="60" t="s">
        <v>159</v>
      </c>
      <c r="D299" s="60" t="s">
        <v>45</v>
      </c>
      <c r="E299" s="60" t="s">
        <v>81</v>
      </c>
      <c r="F299" s="52">
        <f>66981.8+323.4</f>
        <v>67305.2</v>
      </c>
      <c r="G299" s="52">
        <f>66981.8+323.4</f>
        <v>67305.2</v>
      </c>
      <c r="H299" s="315">
        <f t="shared" si="62"/>
        <v>0</v>
      </c>
      <c r="I299" s="52">
        <f>66981.8+323.4</f>
        <v>67305.2</v>
      </c>
      <c r="J299" s="52">
        <f>66981.8+323.4</f>
        <v>67305.2</v>
      </c>
      <c r="K299" s="315">
        <f t="shared" si="81"/>
        <v>0</v>
      </c>
      <c r="L299" s="52">
        <f>66981.8+323.4</f>
        <v>67305.2</v>
      </c>
      <c r="M299" s="320">
        <f t="shared" si="63"/>
        <v>0</v>
      </c>
      <c r="N299" s="65">
        <f>66981.8+323.4</f>
        <v>67305.2</v>
      </c>
      <c r="O299" s="52">
        <f>66981.8+323.4</f>
        <v>67305.2</v>
      </c>
      <c r="P299" s="315">
        <f t="shared" si="64"/>
        <v>0</v>
      </c>
      <c r="Q299" s="110"/>
      <c r="R299" s="245"/>
      <c r="S299" s="245"/>
    </row>
    <row r="300" spans="1:19" s="214" customFormat="1" x14ac:dyDescent="0.2">
      <c r="A300" s="95" t="s">
        <v>98</v>
      </c>
      <c r="B300" s="54" t="s">
        <v>230</v>
      </c>
      <c r="C300" s="60" t="s">
        <v>159</v>
      </c>
      <c r="D300" s="60" t="s">
        <v>72</v>
      </c>
      <c r="E300" s="60" t="s">
        <v>81</v>
      </c>
      <c r="F300" s="52">
        <f>129537.1</f>
        <v>129537.1</v>
      </c>
      <c r="G300" s="52">
        <f>129537.1</f>
        <v>129537.1</v>
      </c>
      <c r="H300" s="315">
        <f t="shared" si="62"/>
        <v>0</v>
      </c>
      <c r="I300" s="52">
        <f>126405.2</f>
        <v>126405.2</v>
      </c>
      <c r="J300" s="52">
        <f>129537.1-1256.4</f>
        <v>128280.70000000001</v>
      </c>
      <c r="K300" s="315">
        <f t="shared" si="81"/>
        <v>-1256.3999999999942</v>
      </c>
      <c r="L300" s="52">
        <f>126405.2</f>
        <v>126405.2</v>
      </c>
      <c r="M300" s="320">
        <f t="shared" si="63"/>
        <v>0</v>
      </c>
      <c r="N300" s="65">
        <f>126405.2</f>
        <v>126405.2</v>
      </c>
      <c r="O300" s="52">
        <f>126405.2</f>
        <v>126405.2</v>
      </c>
      <c r="P300" s="315">
        <f t="shared" si="64"/>
        <v>0</v>
      </c>
      <c r="Q300" s="39"/>
      <c r="R300" s="40"/>
      <c r="S300" s="40"/>
    </row>
    <row r="301" spans="1:19" s="214" customFormat="1" x14ac:dyDescent="0.2">
      <c r="A301" s="109" t="s">
        <v>272</v>
      </c>
      <c r="B301" s="54" t="s">
        <v>273</v>
      </c>
      <c r="C301" s="60" t="s">
        <v>159</v>
      </c>
      <c r="D301" s="60" t="s">
        <v>45</v>
      </c>
      <c r="E301" s="60"/>
      <c r="F301" s="52">
        <f>F302</f>
        <v>25010.300000000003</v>
      </c>
      <c r="G301" s="52">
        <f>G302</f>
        <v>24910.300000000003</v>
      </c>
      <c r="H301" s="315">
        <f t="shared" si="62"/>
        <v>-100</v>
      </c>
      <c r="I301" s="52">
        <f>I302</f>
        <v>25777.7</v>
      </c>
      <c r="J301" s="52">
        <f>J302</f>
        <v>24910.300000000003</v>
      </c>
      <c r="K301" s="315">
        <f t="shared" si="81"/>
        <v>0</v>
      </c>
      <c r="L301" s="52">
        <f>L302</f>
        <v>25777.7</v>
      </c>
      <c r="M301" s="320">
        <f t="shared" si="63"/>
        <v>0</v>
      </c>
      <c r="N301" s="65">
        <f>N302</f>
        <v>25777.7</v>
      </c>
      <c r="O301" s="52">
        <f>O302</f>
        <v>25777.7</v>
      </c>
      <c r="P301" s="315">
        <f t="shared" si="64"/>
        <v>0</v>
      </c>
      <c r="Q301" s="39"/>
      <c r="R301" s="40"/>
      <c r="S301" s="40"/>
    </row>
    <row r="302" spans="1:19" s="214" customFormat="1" ht="15.75" customHeight="1" x14ac:dyDescent="0.2">
      <c r="A302" s="95" t="s">
        <v>98</v>
      </c>
      <c r="B302" s="54" t="s">
        <v>273</v>
      </c>
      <c r="C302" s="60" t="s">
        <v>159</v>
      </c>
      <c r="D302" s="60" t="s">
        <v>45</v>
      </c>
      <c r="E302" s="60" t="s">
        <v>81</v>
      </c>
      <c r="F302" s="52">
        <f>27912.4-243-2659.1</f>
        <v>25010.300000000003</v>
      </c>
      <c r="G302" s="52">
        <f>27912.4-243-2659.1-100</f>
        <v>24910.300000000003</v>
      </c>
      <c r="H302" s="315">
        <f t="shared" ref="H302:H366" si="87">G302-F302</f>
        <v>-100</v>
      </c>
      <c r="I302" s="52">
        <f>27912.4-2134.7</f>
        <v>25777.7</v>
      </c>
      <c r="J302" s="52">
        <f>27912.4-243-2659.1-100</f>
        <v>24910.300000000003</v>
      </c>
      <c r="K302" s="315">
        <f t="shared" si="81"/>
        <v>0</v>
      </c>
      <c r="L302" s="52">
        <f>27912.4-2134.7</f>
        <v>25777.7</v>
      </c>
      <c r="M302" s="320">
        <f t="shared" ref="M302:M366" si="88">L302-I302</f>
        <v>0</v>
      </c>
      <c r="N302" s="52">
        <f>27912.4-2134.7</f>
        <v>25777.7</v>
      </c>
      <c r="O302" s="52">
        <f>27912.4-2134.7</f>
        <v>25777.7</v>
      </c>
      <c r="P302" s="315">
        <f t="shared" ref="P302:P366" si="89">O302-N302</f>
        <v>0</v>
      </c>
      <c r="Q302" s="39"/>
      <c r="R302" s="40"/>
      <c r="S302" s="40"/>
    </row>
    <row r="303" spans="1:19" s="214" customFormat="1" x14ac:dyDescent="0.2">
      <c r="A303" s="109" t="s">
        <v>229</v>
      </c>
      <c r="B303" s="54" t="s">
        <v>228</v>
      </c>
      <c r="C303" s="60" t="s">
        <v>159</v>
      </c>
      <c r="D303" s="60" t="s">
        <v>72</v>
      </c>
      <c r="E303" s="60"/>
      <c r="F303" s="52">
        <f>F304</f>
        <v>53841.30000000001</v>
      </c>
      <c r="G303" s="52">
        <f>G304</f>
        <v>53899</v>
      </c>
      <c r="H303" s="315">
        <f t="shared" si="87"/>
        <v>57.699999999989814</v>
      </c>
      <c r="I303" s="52">
        <f>I304</f>
        <v>57247.900000000009</v>
      </c>
      <c r="J303" s="52">
        <f>J304</f>
        <v>53899</v>
      </c>
      <c r="K303" s="315">
        <f t="shared" si="81"/>
        <v>0</v>
      </c>
      <c r="L303" s="52">
        <f>L304</f>
        <v>57247.900000000009</v>
      </c>
      <c r="M303" s="320">
        <f t="shared" si="88"/>
        <v>0</v>
      </c>
      <c r="N303" s="65">
        <f>N304</f>
        <v>57205.80000000001</v>
      </c>
      <c r="O303" s="52">
        <f>O304</f>
        <v>57205.80000000001</v>
      </c>
      <c r="P303" s="315">
        <f t="shared" si="89"/>
        <v>0</v>
      </c>
      <c r="Q303" s="39"/>
      <c r="R303" s="40"/>
      <c r="S303" s="40"/>
    </row>
    <row r="304" spans="1:19" ht="15.75" customHeight="1" x14ac:dyDescent="0.2">
      <c r="A304" s="64" t="s">
        <v>98</v>
      </c>
      <c r="B304" s="54" t="s">
        <v>228</v>
      </c>
      <c r="C304" s="60" t="s">
        <v>159</v>
      </c>
      <c r="D304" s="60" t="s">
        <v>72</v>
      </c>
      <c r="E304" s="60" t="s">
        <v>81</v>
      </c>
      <c r="F304" s="52">
        <f>63111.8-1830.1-770-4064.7-955.7-1650</f>
        <v>53841.30000000001</v>
      </c>
      <c r="G304" s="52">
        <f>53841.3+57.7</f>
        <v>53899</v>
      </c>
      <c r="H304" s="315">
        <f t="shared" si="87"/>
        <v>57.699999999989814</v>
      </c>
      <c r="I304" s="52">
        <f>63111.8-1830.1-4000-62.6-2.5-1.7+32.6+0.4</f>
        <v>57247.900000000009</v>
      </c>
      <c r="J304" s="52">
        <f>53841.3+57.7</f>
        <v>53899</v>
      </c>
      <c r="K304" s="315">
        <f t="shared" si="81"/>
        <v>0</v>
      </c>
      <c r="L304" s="52">
        <f>63111.8-1830.1-4000-62.6-2.5-1.7+32.6+0.4</f>
        <v>57247.900000000009</v>
      </c>
      <c r="M304" s="320">
        <f t="shared" si="88"/>
        <v>0</v>
      </c>
      <c r="N304" s="52">
        <f>63111.8-1830.1-4000-56.1-2.7-17.1</f>
        <v>57205.80000000001</v>
      </c>
      <c r="O304" s="52">
        <f>63111.8-1830.1-4000-56.1-2.7-17.1</f>
        <v>57205.80000000001</v>
      </c>
      <c r="P304" s="315">
        <f t="shared" si="89"/>
        <v>0</v>
      </c>
    </row>
    <row r="305" spans="1:44" ht="15.75" customHeight="1" x14ac:dyDescent="0.2">
      <c r="A305" s="56" t="s">
        <v>683</v>
      </c>
      <c r="B305" s="54" t="s">
        <v>216</v>
      </c>
      <c r="C305" s="60" t="s">
        <v>159</v>
      </c>
      <c r="D305" s="60" t="s">
        <v>111</v>
      </c>
      <c r="E305" s="60"/>
      <c r="F305" s="52">
        <f>F306</f>
        <v>17562.7</v>
      </c>
      <c r="G305" s="52">
        <f>G306</f>
        <v>13005</v>
      </c>
      <c r="H305" s="315">
        <f t="shared" si="87"/>
        <v>-4557.7000000000007</v>
      </c>
      <c r="I305" s="52">
        <f>I306</f>
        <v>18314.7</v>
      </c>
      <c r="J305" s="52">
        <f>J306</f>
        <v>13005</v>
      </c>
      <c r="K305" s="315">
        <f t="shared" si="81"/>
        <v>0</v>
      </c>
      <c r="L305" s="52">
        <f>L306</f>
        <v>18314.7</v>
      </c>
      <c r="M305" s="320">
        <f t="shared" si="88"/>
        <v>0</v>
      </c>
      <c r="N305" s="52">
        <f>N306</f>
        <v>18314.7</v>
      </c>
      <c r="O305" s="52">
        <f>O306</f>
        <v>18314.7</v>
      </c>
      <c r="P305" s="315">
        <f t="shared" si="89"/>
        <v>0</v>
      </c>
    </row>
    <row r="306" spans="1:44" ht="15.75" customHeight="1" x14ac:dyDescent="0.2">
      <c r="A306" s="64" t="s">
        <v>98</v>
      </c>
      <c r="B306" s="54" t="s">
        <v>216</v>
      </c>
      <c r="C306" s="60" t="s">
        <v>159</v>
      </c>
      <c r="D306" s="60" t="s">
        <v>111</v>
      </c>
      <c r="E306" s="60" t="s">
        <v>81</v>
      </c>
      <c r="F306" s="52">
        <f>18314.7-280-472</f>
        <v>17562.7</v>
      </c>
      <c r="G306" s="52">
        <f>17562.7-57.7-4500</f>
        <v>13005</v>
      </c>
      <c r="H306" s="315">
        <f t="shared" si="87"/>
        <v>-4557.7000000000007</v>
      </c>
      <c r="I306" s="52">
        <f>18314.7</f>
        <v>18314.7</v>
      </c>
      <c r="J306" s="52">
        <f>17562.7-57.7-4500</f>
        <v>13005</v>
      </c>
      <c r="K306" s="315">
        <f t="shared" si="81"/>
        <v>0</v>
      </c>
      <c r="L306" s="52">
        <f>18314.7</f>
        <v>18314.7</v>
      </c>
      <c r="M306" s="320">
        <f t="shared" si="88"/>
        <v>0</v>
      </c>
      <c r="N306" s="52">
        <f>18314.7</f>
        <v>18314.7</v>
      </c>
      <c r="O306" s="52">
        <f>18314.7</f>
        <v>18314.7</v>
      </c>
      <c r="P306" s="315">
        <f t="shared" si="89"/>
        <v>0</v>
      </c>
    </row>
    <row r="307" spans="1:44" ht="24.75" customHeight="1" x14ac:dyDescent="0.2">
      <c r="A307" s="56" t="s">
        <v>215</v>
      </c>
      <c r="B307" s="54" t="s">
        <v>214</v>
      </c>
      <c r="C307" s="60" t="s">
        <v>159</v>
      </c>
      <c r="D307" s="60" t="s">
        <v>111</v>
      </c>
      <c r="E307" s="60"/>
      <c r="F307" s="52">
        <f>F308</f>
        <v>3300</v>
      </c>
      <c r="G307" s="52">
        <f>G308</f>
        <v>3300</v>
      </c>
      <c r="H307" s="315">
        <f t="shared" si="87"/>
        <v>0</v>
      </c>
      <c r="I307" s="52">
        <f>I308</f>
        <v>0</v>
      </c>
      <c r="J307" s="52">
        <f>J308</f>
        <v>3300</v>
      </c>
      <c r="K307" s="315">
        <f t="shared" si="81"/>
        <v>0</v>
      </c>
      <c r="L307" s="52">
        <f>L308</f>
        <v>0</v>
      </c>
      <c r="M307" s="320">
        <f t="shared" si="88"/>
        <v>0</v>
      </c>
      <c r="N307" s="52">
        <f>N308</f>
        <v>0</v>
      </c>
      <c r="O307" s="52">
        <f>O308</f>
        <v>0</v>
      </c>
      <c r="P307" s="315">
        <f t="shared" si="89"/>
        <v>0</v>
      </c>
    </row>
    <row r="308" spans="1:44" ht="15.75" customHeight="1" x14ac:dyDescent="0.2">
      <c r="A308" s="64" t="s">
        <v>98</v>
      </c>
      <c r="B308" s="54" t="s">
        <v>214</v>
      </c>
      <c r="C308" s="60" t="s">
        <v>159</v>
      </c>
      <c r="D308" s="60" t="s">
        <v>111</v>
      </c>
      <c r="E308" s="60" t="s">
        <v>81</v>
      </c>
      <c r="F308" s="52">
        <v>3300</v>
      </c>
      <c r="G308" s="52">
        <v>3300</v>
      </c>
      <c r="H308" s="315">
        <f t="shared" si="87"/>
        <v>0</v>
      </c>
      <c r="I308" s="52">
        <v>0</v>
      </c>
      <c r="J308" s="52">
        <v>3300</v>
      </c>
      <c r="K308" s="315">
        <f t="shared" si="81"/>
        <v>0</v>
      </c>
      <c r="L308" s="52">
        <v>0</v>
      </c>
      <c r="M308" s="320">
        <f t="shared" si="88"/>
        <v>0</v>
      </c>
      <c r="N308" s="65">
        <v>0</v>
      </c>
      <c r="O308" s="52">
        <v>0</v>
      </c>
      <c r="P308" s="315">
        <f t="shared" si="89"/>
        <v>0</v>
      </c>
    </row>
    <row r="309" spans="1:44" s="31" customFormat="1" ht="25.5" x14ac:dyDescent="0.2">
      <c r="A309" s="95" t="s">
        <v>88</v>
      </c>
      <c r="B309" s="54" t="s">
        <v>227</v>
      </c>
      <c r="C309" s="60" t="s">
        <v>159</v>
      </c>
      <c r="D309" s="60" t="s">
        <v>72</v>
      </c>
      <c r="E309" s="60"/>
      <c r="F309" s="52">
        <f>F310</f>
        <v>1830.1</v>
      </c>
      <c r="G309" s="52">
        <f>G310</f>
        <v>1772.3999999999999</v>
      </c>
      <c r="H309" s="315">
        <f t="shared" si="87"/>
        <v>-57.700000000000045</v>
      </c>
      <c r="I309" s="52">
        <f>I310</f>
        <v>1830.1</v>
      </c>
      <c r="J309" s="52">
        <f>J310</f>
        <v>1772.3999999999999</v>
      </c>
      <c r="K309" s="315">
        <f t="shared" si="81"/>
        <v>0</v>
      </c>
      <c r="L309" s="52">
        <f>L310</f>
        <v>1830.1</v>
      </c>
      <c r="M309" s="320">
        <f t="shared" si="88"/>
        <v>0</v>
      </c>
      <c r="N309" s="65">
        <f>N310</f>
        <v>1830.1</v>
      </c>
      <c r="O309" s="52">
        <f>O310</f>
        <v>1830.1</v>
      </c>
      <c r="P309" s="315">
        <f t="shared" si="89"/>
        <v>0</v>
      </c>
      <c r="Q309" s="39"/>
      <c r="R309" s="40"/>
      <c r="S309" s="40"/>
      <c r="T309" s="214"/>
      <c r="U309" s="214"/>
      <c r="V309" s="231"/>
      <c r="W309" s="231"/>
      <c r="X309" s="231"/>
      <c r="Y309" s="231"/>
      <c r="Z309" s="231"/>
      <c r="AA309" s="231"/>
      <c r="AB309" s="231"/>
      <c r="AC309" s="231"/>
      <c r="AD309" s="231"/>
      <c r="AE309" s="231"/>
      <c r="AF309" s="231"/>
      <c r="AG309" s="231"/>
      <c r="AH309" s="231"/>
      <c r="AI309" s="231"/>
      <c r="AJ309" s="231"/>
      <c r="AK309" s="231"/>
      <c r="AL309" s="231"/>
      <c r="AM309" s="231"/>
      <c r="AN309" s="231"/>
      <c r="AO309" s="231"/>
      <c r="AP309" s="231"/>
      <c r="AQ309" s="231"/>
      <c r="AR309" s="231"/>
    </row>
    <row r="310" spans="1:44" s="31" customFormat="1" ht="12" customHeight="1" x14ac:dyDescent="0.2">
      <c r="A310" s="95" t="s">
        <v>82</v>
      </c>
      <c r="B310" s="54" t="s">
        <v>227</v>
      </c>
      <c r="C310" s="60" t="s">
        <v>159</v>
      </c>
      <c r="D310" s="60" t="s">
        <v>72</v>
      </c>
      <c r="E310" s="60" t="s">
        <v>81</v>
      </c>
      <c r="F310" s="52">
        <v>1830.1</v>
      </c>
      <c r="G310" s="52">
        <f>1830.1-57.7</f>
        <v>1772.3999999999999</v>
      </c>
      <c r="H310" s="315">
        <f t="shared" si="87"/>
        <v>-57.700000000000045</v>
      </c>
      <c r="I310" s="52">
        <v>1830.1</v>
      </c>
      <c r="J310" s="52">
        <f>1830.1-57.7</f>
        <v>1772.3999999999999</v>
      </c>
      <c r="K310" s="315">
        <f t="shared" si="81"/>
        <v>0</v>
      </c>
      <c r="L310" s="52">
        <v>1830.1</v>
      </c>
      <c r="M310" s="320">
        <f t="shared" si="88"/>
        <v>0</v>
      </c>
      <c r="N310" s="65">
        <v>1830.1</v>
      </c>
      <c r="O310" s="52">
        <v>1830.1</v>
      </c>
      <c r="P310" s="315">
        <f t="shared" si="89"/>
        <v>0</v>
      </c>
      <c r="Q310" s="39"/>
      <c r="R310" s="40"/>
      <c r="S310" s="40"/>
      <c r="T310" s="214"/>
      <c r="U310" s="214"/>
      <c r="V310" s="231"/>
      <c r="W310" s="231"/>
      <c r="X310" s="231"/>
      <c r="Y310" s="231"/>
      <c r="Z310" s="231"/>
      <c r="AA310" s="231"/>
      <c r="AB310" s="231"/>
      <c r="AC310" s="231"/>
      <c r="AD310" s="231"/>
      <c r="AE310" s="231"/>
      <c r="AF310" s="231"/>
      <c r="AG310" s="231"/>
      <c r="AH310" s="231"/>
      <c r="AI310" s="231"/>
      <c r="AJ310" s="231"/>
      <c r="AK310" s="231"/>
      <c r="AL310" s="231"/>
      <c r="AM310" s="231"/>
      <c r="AN310" s="231"/>
      <c r="AO310" s="231"/>
      <c r="AP310" s="231"/>
      <c r="AQ310" s="231"/>
      <c r="AR310" s="231"/>
    </row>
    <row r="311" spans="1:44" s="31" customFormat="1" ht="24" customHeight="1" x14ac:dyDescent="0.2">
      <c r="A311" s="95" t="s">
        <v>88</v>
      </c>
      <c r="B311" s="54" t="s">
        <v>227</v>
      </c>
      <c r="C311" s="60" t="s">
        <v>159</v>
      </c>
      <c r="D311" s="60" t="s">
        <v>111</v>
      </c>
      <c r="E311" s="60"/>
      <c r="F311" s="100">
        <f>F312</f>
        <v>0</v>
      </c>
      <c r="G311" s="100">
        <f t="shared" ref="G311:O311" si="90">G312</f>
        <v>57.7</v>
      </c>
      <c r="H311" s="315">
        <f t="shared" si="87"/>
        <v>57.7</v>
      </c>
      <c r="I311" s="100">
        <f t="shared" si="90"/>
        <v>0</v>
      </c>
      <c r="J311" s="100">
        <f t="shared" si="90"/>
        <v>57.7</v>
      </c>
      <c r="K311" s="315">
        <f t="shared" si="81"/>
        <v>0</v>
      </c>
      <c r="L311" s="100">
        <f t="shared" si="90"/>
        <v>0</v>
      </c>
      <c r="M311" s="320">
        <f t="shared" si="88"/>
        <v>0</v>
      </c>
      <c r="N311" s="100">
        <f t="shared" si="90"/>
        <v>0</v>
      </c>
      <c r="O311" s="100">
        <f t="shared" si="90"/>
        <v>0</v>
      </c>
      <c r="P311" s="315">
        <f t="shared" si="89"/>
        <v>0</v>
      </c>
      <c r="Q311" s="39"/>
      <c r="R311" s="40"/>
      <c r="S311" s="40"/>
      <c r="T311" s="214"/>
      <c r="U311" s="214"/>
      <c r="V311" s="231"/>
      <c r="W311" s="231"/>
      <c r="X311" s="231"/>
      <c r="Y311" s="231"/>
      <c r="Z311" s="231"/>
      <c r="AA311" s="231"/>
      <c r="AB311" s="231"/>
      <c r="AC311" s="231"/>
      <c r="AD311" s="231"/>
      <c r="AE311" s="231"/>
      <c r="AF311" s="231"/>
      <c r="AG311" s="231"/>
      <c r="AH311" s="231"/>
      <c r="AI311" s="231"/>
      <c r="AJ311" s="231"/>
      <c r="AK311" s="231"/>
      <c r="AL311" s="231"/>
      <c r="AM311" s="231"/>
      <c r="AN311" s="231"/>
      <c r="AO311" s="231"/>
      <c r="AP311" s="231"/>
      <c r="AQ311" s="231"/>
      <c r="AR311" s="231"/>
    </row>
    <row r="312" spans="1:44" s="31" customFormat="1" ht="12" customHeight="1" x14ac:dyDescent="0.2">
      <c r="A312" s="95" t="s">
        <v>82</v>
      </c>
      <c r="B312" s="54" t="s">
        <v>227</v>
      </c>
      <c r="C312" s="60" t="s">
        <v>159</v>
      </c>
      <c r="D312" s="60" t="s">
        <v>111</v>
      </c>
      <c r="E312" s="60" t="s">
        <v>81</v>
      </c>
      <c r="F312" s="100">
        <v>0</v>
      </c>
      <c r="G312" s="100">
        <v>57.7</v>
      </c>
      <c r="H312" s="315">
        <f t="shared" si="87"/>
        <v>57.7</v>
      </c>
      <c r="I312" s="100">
        <v>0</v>
      </c>
      <c r="J312" s="100">
        <v>57.7</v>
      </c>
      <c r="K312" s="315">
        <f t="shared" si="81"/>
        <v>0</v>
      </c>
      <c r="L312" s="100">
        <v>0</v>
      </c>
      <c r="M312" s="320">
        <f t="shared" si="88"/>
        <v>0</v>
      </c>
      <c r="N312" s="134">
        <v>0</v>
      </c>
      <c r="O312" s="52">
        <v>0</v>
      </c>
      <c r="P312" s="315">
        <f t="shared" si="89"/>
        <v>0</v>
      </c>
      <c r="Q312" s="39"/>
      <c r="R312" s="40"/>
      <c r="S312" s="40"/>
      <c r="T312" s="214"/>
      <c r="U312" s="214"/>
      <c r="V312" s="231"/>
      <c r="W312" s="231"/>
      <c r="X312" s="231"/>
      <c r="Y312" s="231"/>
      <c r="Z312" s="231"/>
      <c r="AA312" s="231"/>
      <c r="AB312" s="231"/>
      <c r="AC312" s="231"/>
      <c r="AD312" s="231"/>
      <c r="AE312" s="231"/>
      <c r="AF312" s="231"/>
      <c r="AG312" s="231"/>
      <c r="AH312" s="231"/>
      <c r="AI312" s="231"/>
      <c r="AJ312" s="231"/>
      <c r="AK312" s="231"/>
      <c r="AL312" s="231"/>
      <c r="AM312" s="231"/>
      <c r="AN312" s="231"/>
      <c r="AO312" s="231"/>
      <c r="AP312" s="231"/>
      <c r="AQ312" s="231"/>
      <c r="AR312" s="231"/>
    </row>
    <row r="313" spans="1:44" ht="25.5" customHeight="1" x14ac:dyDescent="0.2">
      <c r="A313" s="84" t="s">
        <v>139</v>
      </c>
      <c r="B313" s="252" t="s">
        <v>138</v>
      </c>
      <c r="C313" s="253"/>
      <c r="D313" s="253"/>
      <c r="E313" s="253"/>
      <c r="F313" s="100">
        <f>F314</f>
        <v>4858.6000000000004</v>
      </c>
      <c r="G313" s="100">
        <f>G314</f>
        <v>4858.6000000000004</v>
      </c>
      <c r="H313" s="315">
        <f t="shared" si="87"/>
        <v>0</v>
      </c>
      <c r="I313" s="100">
        <f>I314</f>
        <v>4858.6000000000004</v>
      </c>
      <c r="J313" s="100">
        <f>J314</f>
        <v>4858.5999999999995</v>
      </c>
      <c r="K313" s="315">
        <f t="shared" si="81"/>
        <v>0</v>
      </c>
      <c r="L313" s="100">
        <f>L314</f>
        <v>4858.6000000000004</v>
      </c>
      <c r="M313" s="320">
        <f t="shared" si="88"/>
        <v>0</v>
      </c>
      <c r="N313" s="134">
        <f>N314</f>
        <v>4858.6000000000004</v>
      </c>
      <c r="O313" s="52">
        <f>O314</f>
        <v>4858.6000000000004</v>
      </c>
      <c r="P313" s="315">
        <f t="shared" si="89"/>
        <v>0</v>
      </c>
    </row>
    <row r="314" spans="1:44" ht="25.5" x14ac:dyDescent="0.2">
      <c r="A314" s="95" t="s">
        <v>137</v>
      </c>
      <c r="B314" s="54" t="s">
        <v>136</v>
      </c>
      <c r="C314" s="60"/>
      <c r="D314" s="60"/>
      <c r="E314" s="60"/>
      <c r="F314" s="52">
        <f>F315+F316</f>
        <v>4858.6000000000004</v>
      </c>
      <c r="G314" s="52">
        <f>G315+G316+G317</f>
        <v>4858.6000000000004</v>
      </c>
      <c r="H314" s="52">
        <f t="shared" ref="H314:O314" si="91">H315+H316+H317</f>
        <v>0</v>
      </c>
      <c r="I314" s="52">
        <f t="shared" si="91"/>
        <v>4858.6000000000004</v>
      </c>
      <c r="J314" s="52">
        <f t="shared" si="91"/>
        <v>4858.5999999999995</v>
      </c>
      <c r="K314" s="315">
        <f t="shared" si="81"/>
        <v>0</v>
      </c>
      <c r="L314" s="52">
        <f t="shared" si="91"/>
        <v>4858.6000000000004</v>
      </c>
      <c r="M314" s="52">
        <f t="shared" si="91"/>
        <v>0</v>
      </c>
      <c r="N314" s="52">
        <f t="shared" si="91"/>
        <v>4858.6000000000004</v>
      </c>
      <c r="O314" s="52">
        <f t="shared" si="91"/>
        <v>4858.6000000000004</v>
      </c>
      <c r="P314" s="315">
        <f t="shared" si="89"/>
        <v>0</v>
      </c>
    </row>
    <row r="315" spans="1:44" x14ac:dyDescent="0.2">
      <c r="A315" s="95" t="s">
        <v>98</v>
      </c>
      <c r="B315" s="54" t="s">
        <v>136</v>
      </c>
      <c r="C315" s="60" t="s">
        <v>159</v>
      </c>
      <c r="D315" s="60" t="s">
        <v>72</v>
      </c>
      <c r="E315" s="60" t="s">
        <v>81</v>
      </c>
      <c r="F315" s="52">
        <v>3397</v>
      </c>
      <c r="G315" s="52">
        <v>3397</v>
      </c>
      <c r="H315" s="315">
        <f t="shared" si="87"/>
        <v>0</v>
      </c>
      <c r="I315" s="52">
        <v>3397</v>
      </c>
      <c r="J315" s="52">
        <f>3397-71.4</f>
        <v>3325.6</v>
      </c>
      <c r="K315" s="315">
        <f t="shared" si="81"/>
        <v>-71.400000000000091</v>
      </c>
      <c r="L315" s="52">
        <v>3397</v>
      </c>
      <c r="M315" s="320">
        <f t="shared" si="88"/>
        <v>0</v>
      </c>
      <c r="N315" s="65">
        <v>3397</v>
      </c>
      <c r="O315" s="52">
        <v>3397</v>
      </c>
      <c r="P315" s="315">
        <f t="shared" si="89"/>
        <v>0</v>
      </c>
    </row>
    <row r="316" spans="1:44" x14ac:dyDescent="0.2">
      <c r="A316" s="95" t="s">
        <v>129</v>
      </c>
      <c r="B316" s="54" t="s">
        <v>136</v>
      </c>
      <c r="C316" s="60" t="s">
        <v>97</v>
      </c>
      <c r="D316" s="60" t="s">
        <v>111</v>
      </c>
      <c r="E316" s="60" t="s">
        <v>127</v>
      </c>
      <c r="F316" s="52">
        <v>1461.6</v>
      </c>
      <c r="G316" s="52">
        <v>1461.6</v>
      </c>
      <c r="H316" s="315">
        <f t="shared" si="87"/>
        <v>0</v>
      </c>
      <c r="I316" s="52">
        <v>1461.6</v>
      </c>
      <c r="J316" s="52">
        <v>1461.6</v>
      </c>
      <c r="K316" s="315">
        <f t="shared" si="81"/>
        <v>0</v>
      </c>
      <c r="L316" s="52">
        <v>1461.6</v>
      </c>
      <c r="M316" s="320">
        <f t="shared" si="88"/>
        <v>0</v>
      </c>
      <c r="N316" s="65">
        <v>1461.6</v>
      </c>
      <c r="O316" s="52">
        <v>1461.6</v>
      </c>
      <c r="P316" s="315">
        <f t="shared" si="89"/>
        <v>0</v>
      </c>
    </row>
    <row r="317" spans="1:44" x14ac:dyDescent="0.2">
      <c r="A317" s="95" t="s">
        <v>98</v>
      </c>
      <c r="B317" s="54" t="s">
        <v>136</v>
      </c>
      <c r="C317" s="253" t="s">
        <v>97</v>
      </c>
      <c r="D317" s="253" t="s">
        <v>108</v>
      </c>
      <c r="E317" s="253" t="s">
        <v>81</v>
      </c>
      <c r="F317" s="100"/>
      <c r="G317" s="100">
        <v>0</v>
      </c>
      <c r="H317" s="315"/>
      <c r="I317" s="100"/>
      <c r="J317" s="100">
        <v>71.400000000000006</v>
      </c>
      <c r="K317" s="315">
        <f t="shared" si="81"/>
        <v>71.400000000000006</v>
      </c>
      <c r="L317" s="100">
        <v>0</v>
      </c>
      <c r="M317" s="320"/>
      <c r="N317" s="134"/>
      <c r="O317" s="52">
        <v>0</v>
      </c>
      <c r="P317" s="315"/>
    </row>
    <row r="318" spans="1:44" ht="25.5" customHeight="1" x14ac:dyDescent="0.2">
      <c r="A318" s="84" t="s">
        <v>204</v>
      </c>
      <c r="B318" s="252" t="s">
        <v>203</v>
      </c>
      <c r="C318" s="253"/>
      <c r="D318" s="253"/>
      <c r="E318" s="253"/>
      <c r="F318" s="100">
        <f>F319+F324</f>
        <v>882.5</v>
      </c>
      <c r="G318" s="100">
        <f>G319+G324</f>
        <v>882.5</v>
      </c>
      <c r="H318" s="315">
        <f t="shared" si="87"/>
        <v>0</v>
      </c>
      <c r="I318" s="100">
        <f>I319+I324</f>
        <v>882.5</v>
      </c>
      <c r="J318" s="100">
        <f>J319+J324</f>
        <v>882.5</v>
      </c>
      <c r="K318" s="315">
        <f t="shared" si="81"/>
        <v>0</v>
      </c>
      <c r="L318" s="100">
        <f>L319+L324</f>
        <v>882.5</v>
      </c>
      <c r="M318" s="320">
        <f t="shared" si="88"/>
        <v>0</v>
      </c>
      <c r="N318" s="134">
        <f>N319+N324</f>
        <v>882.5</v>
      </c>
      <c r="O318" s="52">
        <f>O319+O324</f>
        <v>882.5</v>
      </c>
      <c r="P318" s="315">
        <f t="shared" si="89"/>
        <v>0</v>
      </c>
    </row>
    <row r="319" spans="1:44" ht="25.5" customHeight="1" x14ac:dyDescent="0.2">
      <c r="A319" s="84" t="s">
        <v>202</v>
      </c>
      <c r="B319" s="252" t="s">
        <v>201</v>
      </c>
      <c r="C319" s="253"/>
      <c r="D319" s="253"/>
      <c r="E319" s="253"/>
      <c r="F319" s="100">
        <f>F320+F321+F323+F322</f>
        <v>382.5</v>
      </c>
      <c r="G319" s="100">
        <f>G320+G321+G323+G322</f>
        <v>382.5</v>
      </c>
      <c r="H319" s="315">
        <f t="shared" si="87"/>
        <v>0</v>
      </c>
      <c r="I319" s="100">
        <f>I320+I321+I323+I322</f>
        <v>382.5</v>
      </c>
      <c r="J319" s="100">
        <f>J320+J321+J323+J322</f>
        <v>382.5</v>
      </c>
      <c r="K319" s="315">
        <f t="shared" si="81"/>
        <v>0</v>
      </c>
      <c r="L319" s="100">
        <f>L320+L321+L323+L322</f>
        <v>382.5</v>
      </c>
      <c r="M319" s="320">
        <f t="shared" si="88"/>
        <v>0</v>
      </c>
      <c r="N319" s="134">
        <f>N320+N321+N323+N322</f>
        <v>382.5</v>
      </c>
      <c r="O319" s="52">
        <f>O320+O321+O323+O322</f>
        <v>382.5</v>
      </c>
      <c r="P319" s="315">
        <f t="shared" si="89"/>
        <v>0</v>
      </c>
    </row>
    <row r="320" spans="1:44" ht="13.5" customHeight="1" x14ac:dyDescent="0.2">
      <c r="A320" s="64" t="s">
        <v>98</v>
      </c>
      <c r="B320" s="252" t="s">
        <v>201</v>
      </c>
      <c r="C320" s="253" t="s">
        <v>159</v>
      </c>
      <c r="D320" s="253" t="s">
        <v>72</v>
      </c>
      <c r="E320" s="253" t="s">
        <v>81</v>
      </c>
      <c r="F320" s="100">
        <v>50</v>
      </c>
      <c r="G320" s="100">
        <v>50</v>
      </c>
      <c r="H320" s="315">
        <f t="shared" si="87"/>
        <v>0</v>
      </c>
      <c r="I320" s="100">
        <v>50</v>
      </c>
      <c r="J320" s="100">
        <f>50+5.5</f>
        <v>55.5</v>
      </c>
      <c r="K320" s="315">
        <f t="shared" si="81"/>
        <v>5.5</v>
      </c>
      <c r="L320" s="100">
        <v>50</v>
      </c>
      <c r="M320" s="320">
        <f t="shared" si="88"/>
        <v>0</v>
      </c>
      <c r="N320" s="134">
        <v>50</v>
      </c>
      <c r="O320" s="52">
        <v>50</v>
      </c>
      <c r="P320" s="315">
        <f t="shared" si="89"/>
        <v>0</v>
      </c>
    </row>
    <row r="321" spans="1:16" ht="15" customHeight="1" x14ac:dyDescent="0.2">
      <c r="A321" s="64" t="s">
        <v>98</v>
      </c>
      <c r="B321" s="252" t="s">
        <v>201</v>
      </c>
      <c r="C321" s="253" t="s">
        <v>159</v>
      </c>
      <c r="D321" s="253" t="s">
        <v>111</v>
      </c>
      <c r="E321" s="253" t="s">
        <v>81</v>
      </c>
      <c r="F321" s="100">
        <v>50</v>
      </c>
      <c r="G321" s="100">
        <v>50</v>
      </c>
      <c r="H321" s="315">
        <f t="shared" si="87"/>
        <v>0</v>
      </c>
      <c r="I321" s="100">
        <v>50</v>
      </c>
      <c r="J321" s="100">
        <v>50</v>
      </c>
      <c r="K321" s="315">
        <f t="shared" si="81"/>
        <v>0</v>
      </c>
      <c r="L321" s="100">
        <v>50</v>
      </c>
      <c r="M321" s="320">
        <f t="shared" si="88"/>
        <v>0</v>
      </c>
      <c r="N321" s="134">
        <v>50</v>
      </c>
      <c r="O321" s="52">
        <v>50</v>
      </c>
      <c r="P321" s="315">
        <f t="shared" si="89"/>
        <v>0</v>
      </c>
    </row>
    <row r="322" spans="1:16" ht="15" customHeight="1" x14ac:dyDescent="0.2">
      <c r="A322" s="99" t="s">
        <v>84</v>
      </c>
      <c r="B322" s="252" t="s">
        <v>201</v>
      </c>
      <c r="C322" s="253" t="s">
        <v>159</v>
      </c>
      <c r="D322" s="253" t="s">
        <v>160</v>
      </c>
      <c r="E322" s="53" t="s">
        <v>83</v>
      </c>
      <c r="F322" s="104">
        <v>62</v>
      </c>
      <c r="G322" s="104">
        <v>62</v>
      </c>
      <c r="H322" s="315">
        <f t="shared" si="87"/>
        <v>0</v>
      </c>
      <c r="I322" s="104">
        <v>62</v>
      </c>
      <c r="J322" s="104">
        <v>62</v>
      </c>
      <c r="K322" s="315">
        <f t="shared" si="81"/>
        <v>0</v>
      </c>
      <c r="L322" s="104">
        <v>62</v>
      </c>
      <c r="M322" s="320">
        <f t="shared" si="88"/>
        <v>0</v>
      </c>
      <c r="N322" s="111">
        <v>62</v>
      </c>
      <c r="O322" s="52">
        <v>62</v>
      </c>
      <c r="P322" s="315">
        <f t="shared" si="89"/>
        <v>0</v>
      </c>
    </row>
    <row r="323" spans="1:16" ht="24.75" customHeight="1" x14ac:dyDescent="0.2">
      <c r="A323" s="56" t="s">
        <v>73</v>
      </c>
      <c r="B323" s="252" t="s">
        <v>201</v>
      </c>
      <c r="C323" s="253" t="s">
        <v>159</v>
      </c>
      <c r="D323" s="253" t="s">
        <v>160</v>
      </c>
      <c r="E323" s="53" t="s">
        <v>70</v>
      </c>
      <c r="F323" s="52">
        <v>220.5</v>
      </c>
      <c r="G323" s="52">
        <v>220.5</v>
      </c>
      <c r="H323" s="315">
        <f t="shared" si="87"/>
        <v>0</v>
      </c>
      <c r="I323" s="52">
        <v>220.5</v>
      </c>
      <c r="J323" s="52">
        <f>220.5-5.5</f>
        <v>215</v>
      </c>
      <c r="K323" s="315">
        <f t="shared" si="81"/>
        <v>-5.5</v>
      </c>
      <c r="L323" s="52">
        <v>220.5</v>
      </c>
      <c r="M323" s="320">
        <f t="shared" si="88"/>
        <v>0</v>
      </c>
      <c r="N323" s="65">
        <v>220.5</v>
      </c>
      <c r="O323" s="52">
        <v>220.5</v>
      </c>
      <c r="P323" s="315">
        <f t="shared" si="89"/>
        <v>0</v>
      </c>
    </row>
    <row r="324" spans="1:16" ht="15.75" customHeight="1" x14ac:dyDescent="0.2">
      <c r="A324" s="64" t="s">
        <v>200</v>
      </c>
      <c r="B324" s="54" t="s">
        <v>199</v>
      </c>
      <c r="C324" s="253" t="s">
        <v>159</v>
      </c>
      <c r="D324" s="253" t="s">
        <v>160</v>
      </c>
      <c r="E324" s="253"/>
      <c r="F324" s="100">
        <f>F325</f>
        <v>500</v>
      </c>
      <c r="G324" s="100">
        <f>G325</f>
        <v>500</v>
      </c>
      <c r="H324" s="315">
        <f t="shared" si="87"/>
        <v>0</v>
      </c>
      <c r="I324" s="100">
        <f>I325</f>
        <v>500</v>
      </c>
      <c r="J324" s="100">
        <f>J325</f>
        <v>500</v>
      </c>
      <c r="K324" s="315">
        <f t="shared" si="81"/>
        <v>0</v>
      </c>
      <c r="L324" s="100">
        <f>L325</f>
        <v>500</v>
      </c>
      <c r="M324" s="320">
        <f t="shared" si="88"/>
        <v>0</v>
      </c>
      <c r="N324" s="134">
        <f>N325</f>
        <v>500</v>
      </c>
      <c r="O324" s="52">
        <f>O325</f>
        <v>500</v>
      </c>
      <c r="P324" s="315">
        <f t="shared" si="89"/>
        <v>0</v>
      </c>
    </row>
    <row r="325" spans="1:16" ht="15.75" customHeight="1" x14ac:dyDescent="0.2">
      <c r="A325" s="64" t="s">
        <v>98</v>
      </c>
      <c r="B325" s="54" t="s">
        <v>199</v>
      </c>
      <c r="C325" s="253" t="s">
        <v>159</v>
      </c>
      <c r="D325" s="253" t="s">
        <v>160</v>
      </c>
      <c r="E325" s="253" t="s">
        <v>81</v>
      </c>
      <c r="F325" s="100">
        <v>500</v>
      </c>
      <c r="G325" s="100">
        <v>500</v>
      </c>
      <c r="H325" s="315">
        <f t="shared" si="87"/>
        <v>0</v>
      </c>
      <c r="I325" s="100">
        <v>500</v>
      </c>
      <c r="J325" s="100">
        <v>500</v>
      </c>
      <c r="K325" s="315">
        <f t="shared" si="81"/>
        <v>0</v>
      </c>
      <c r="L325" s="100">
        <v>500</v>
      </c>
      <c r="M325" s="320">
        <f t="shared" si="88"/>
        <v>0</v>
      </c>
      <c r="N325" s="134">
        <v>500</v>
      </c>
      <c r="O325" s="52">
        <v>500</v>
      </c>
      <c r="P325" s="315">
        <f t="shared" si="89"/>
        <v>0</v>
      </c>
    </row>
    <row r="326" spans="1:16" ht="25.5" customHeight="1" x14ac:dyDescent="0.2">
      <c r="A326" s="109" t="s">
        <v>484</v>
      </c>
      <c r="B326" s="54" t="s">
        <v>483</v>
      </c>
      <c r="C326" s="253" t="s">
        <v>108</v>
      </c>
      <c r="D326" s="253" t="s">
        <v>45</v>
      </c>
      <c r="E326" s="253"/>
      <c r="F326" s="100">
        <f t="shared" ref="F326:O327" si="92">F327</f>
        <v>565</v>
      </c>
      <c r="G326" s="100">
        <f t="shared" si="92"/>
        <v>754</v>
      </c>
      <c r="H326" s="315">
        <f t="shared" si="87"/>
        <v>189</v>
      </c>
      <c r="I326" s="100">
        <f t="shared" si="92"/>
        <v>565</v>
      </c>
      <c r="J326" s="100">
        <f t="shared" si="92"/>
        <v>754</v>
      </c>
      <c r="K326" s="315">
        <f t="shared" si="81"/>
        <v>0</v>
      </c>
      <c r="L326" s="100">
        <f t="shared" si="92"/>
        <v>565</v>
      </c>
      <c r="M326" s="320">
        <f t="shared" si="88"/>
        <v>0</v>
      </c>
      <c r="N326" s="100">
        <f t="shared" si="92"/>
        <v>565</v>
      </c>
      <c r="O326" s="52">
        <f t="shared" si="92"/>
        <v>565</v>
      </c>
      <c r="P326" s="315">
        <f t="shared" si="89"/>
        <v>0</v>
      </c>
    </row>
    <row r="327" spans="1:16" ht="15.75" customHeight="1" x14ac:dyDescent="0.2">
      <c r="A327" s="56" t="s">
        <v>482</v>
      </c>
      <c r="B327" s="252" t="s">
        <v>481</v>
      </c>
      <c r="C327" s="253" t="s">
        <v>108</v>
      </c>
      <c r="D327" s="253" t="s">
        <v>45</v>
      </c>
      <c r="E327" s="253"/>
      <c r="F327" s="100">
        <f t="shared" si="92"/>
        <v>565</v>
      </c>
      <c r="G327" s="100">
        <f t="shared" si="92"/>
        <v>754</v>
      </c>
      <c r="H327" s="315">
        <f t="shared" si="87"/>
        <v>189</v>
      </c>
      <c r="I327" s="100">
        <f t="shared" si="92"/>
        <v>565</v>
      </c>
      <c r="J327" s="100">
        <f t="shared" si="92"/>
        <v>754</v>
      </c>
      <c r="K327" s="315">
        <f t="shared" si="81"/>
        <v>0</v>
      </c>
      <c r="L327" s="100">
        <f t="shared" si="92"/>
        <v>565</v>
      </c>
      <c r="M327" s="320">
        <f t="shared" si="88"/>
        <v>0</v>
      </c>
      <c r="N327" s="134">
        <f t="shared" si="92"/>
        <v>565</v>
      </c>
      <c r="O327" s="52">
        <f t="shared" si="92"/>
        <v>565</v>
      </c>
      <c r="P327" s="315">
        <f t="shared" si="89"/>
        <v>0</v>
      </c>
    </row>
    <row r="328" spans="1:16" ht="25.5" customHeight="1" x14ac:dyDescent="0.2">
      <c r="A328" s="56" t="s">
        <v>73</v>
      </c>
      <c r="B328" s="54" t="s">
        <v>481</v>
      </c>
      <c r="C328" s="60" t="s">
        <v>108</v>
      </c>
      <c r="D328" s="60" t="s">
        <v>45</v>
      </c>
      <c r="E328" s="60" t="s">
        <v>70</v>
      </c>
      <c r="F328" s="100">
        <v>565</v>
      </c>
      <c r="G328" s="100">
        <f>565+189</f>
        <v>754</v>
      </c>
      <c r="H328" s="315">
        <f t="shared" si="87"/>
        <v>189</v>
      </c>
      <c r="I328" s="100">
        <v>565</v>
      </c>
      <c r="J328" s="100">
        <f>565+189</f>
        <v>754</v>
      </c>
      <c r="K328" s="315">
        <f t="shared" si="81"/>
        <v>0</v>
      </c>
      <c r="L328" s="100">
        <v>565</v>
      </c>
      <c r="M328" s="320">
        <f t="shared" si="88"/>
        <v>0</v>
      </c>
      <c r="N328" s="134">
        <v>565</v>
      </c>
      <c r="O328" s="52">
        <v>565</v>
      </c>
      <c r="P328" s="315">
        <f t="shared" si="89"/>
        <v>0</v>
      </c>
    </row>
    <row r="329" spans="1:16" ht="27.75" customHeight="1" x14ac:dyDescent="0.2">
      <c r="A329" s="56" t="s">
        <v>198</v>
      </c>
      <c r="B329" s="54" t="s">
        <v>197</v>
      </c>
      <c r="C329" s="60" t="s">
        <v>159</v>
      </c>
      <c r="D329" s="60" t="s">
        <v>160</v>
      </c>
      <c r="E329" s="60"/>
      <c r="F329" s="52">
        <f>F330+F333</f>
        <v>4831</v>
      </c>
      <c r="G329" s="52">
        <f>G330+G333</f>
        <v>4338.3999999999996</v>
      </c>
      <c r="H329" s="315">
        <f t="shared" si="87"/>
        <v>-492.60000000000036</v>
      </c>
      <c r="I329" s="52">
        <f>I330+I333</f>
        <v>4803</v>
      </c>
      <c r="J329" s="52">
        <f>J330+J333</f>
        <v>4915</v>
      </c>
      <c r="K329" s="315">
        <f t="shared" si="81"/>
        <v>576.60000000000036</v>
      </c>
      <c r="L329" s="52">
        <f>L330+L333</f>
        <v>4803</v>
      </c>
      <c r="M329" s="320">
        <f t="shared" si="88"/>
        <v>0</v>
      </c>
      <c r="N329" s="52">
        <f>N330+N333</f>
        <v>4803</v>
      </c>
      <c r="O329" s="52">
        <f>O330+O333</f>
        <v>4803</v>
      </c>
      <c r="P329" s="315">
        <f t="shared" si="89"/>
        <v>0</v>
      </c>
    </row>
    <row r="330" spans="1:16" ht="13.5" customHeight="1" x14ac:dyDescent="0.2">
      <c r="A330" s="56" t="s">
        <v>196</v>
      </c>
      <c r="B330" s="54" t="s">
        <v>195</v>
      </c>
      <c r="C330" s="60" t="s">
        <v>159</v>
      </c>
      <c r="D330" s="60" t="s">
        <v>160</v>
      </c>
      <c r="E330" s="60"/>
      <c r="F330" s="52">
        <f>F331+F332</f>
        <v>4631</v>
      </c>
      <c r="G330" s="52">
        <f>G331+G332</f>
        <v>4138.3999999999996</v>
      </c>
      <c r="H330" s="315">
        <f t="shared" si="87"/>
        <v>-492.60000000000036</v>
      </c>
      <c r="I330" s="52">
        <f>I331+I332</f>
        <v>4553</v>
      </c>
      <c r="J330" s="52">
        <f>J331+J332</f>
        <v>4715</v>
      </c>
      <c r="K330" s="315">
        <f t="shared" si="81"/>
        <v>576.60000000000036</v>
      </c>
      <c r="L330" s="52">
        <f>L331+L332</f>
        <v>4553</v>
      </c>
      <c r="M330" s="320">
        <f t="shared" si="88"/>
        <v>0</v>
      </c>
      <c r="N330" s="52">
        <f>N331+N332</f>
        <v>4553</v>
      </c>
      <c r="O330" s="52">
        <f>O331+O332</f>
        <v>4553</v>
      </c>
      <c r="P330" s="315">
        <f t="shared" si="89"/>
        <v>0</v>
      </c>
    </row>
    <row r="331" spans="1:16" ht="13.5" customHeight="1" x14ac:dyDescent="0.2">
      <c r="A331" s="99" t="s">
        <v>84</v>
      </c>
      <c r="B331" s="54" t="s">
        <v>195</v>
      </c>
      <c r="C331" s="60" t="s">
        <v>159</v>
      </c>
      <c r="D331" s="60" t="s">
        <v>160</v>
      </c>
      <c r="E331" s="60" t="s">
        <v>83</v>
      </c>
      <c r="F331" s="52">
        <f>2358.4+1812.6+22+78</f>
        <v>4271</v>
      </c>
      <c r="G331" s="52">
        <f>4271+228.3-720.9</f>
        <v>3778.4</v>
      </c>
      <c r="H331" s="315">
        <f t="shared" si="87"/>
        <v>-492.59999999999991</v>
      </c>
      <c r="I331" s="52">
        <f>2358.4+1812.6+22</f>
        <v>4193</v>
      </c>
      <c r="J331" s="52">
        <f>3778.4+576.6</f>
        <v>4355</v>
      </c>
      <c r="K331" s="315">
        <f t="shared" si="81"/>
        <v>576.59999999999991</v>
      </c>
      <c r="L331" s="52">
        <f>2358.4+1812.6+22</f>
        <v>4193</v>
      </c>
      <c r="M331" s="320">
        <f t="shared" si="88"/>
        <v>0</v>
      </c>
      <c r="N331" s="52">
        <f>2358.4+1812.6+22</f>
        <v>4193</v>
      </c>
      <c r="O331" s="52">
        <f>2358.4+1812.6+22</f>
        <v>4193</v>
      </c>
      <c r="P331" s="315">
        <f t="shared" si="89"/>
        <v>0</v>
      </c>
    </row>
    <row r="332" spans="1:16" ht="27" customHeight="1" x14ac:dyDescent="0.2">
      <c r="A332" s="56" t="s">
        <v>73</v>
      </c>
      <c r="B332" s="54" t="s">
        <v>195</v>
      </c>
      <c r="C332" s="60" t="s">
        <v>159</v>
      </c>
      <c r="D332" s="60" t="s">
        <v>160</v>
      </c>
      <c r="E332" s="60" t="s">
        <v>70</v>
      </c>
      <c r="F332" s="52">
        <v>360</v>
      </c>
      <c r="G332" s="52">
        <v>360</v>
      </c>
      <c r="H332" s="315">
        <f t="shared" si="87"/>
        <v>0</v>
      </c>
      <c r="I332" s="52">
        <v>360</v>
      </c>
      <c r="J332" s="52">
        <v>360</v>
      </c>
      <c r="K332" s="315">
        <f t="shared" si="81"/>
        <v>0</v>
      </c>
      <c r="L332" s="52">
        <v>360</v>
      </c>
      <c r="M332" s="320">
        <f t="shared" si="88"/>
        <v>0</v>
      </c>
      <c r="N332" s="65">
        <v>360</v>
      </c>
      <c r="O332" s="52">
        <v>360</v>
      </c>
      <c r="P332" s="315">
        <f t="shared" si="89"/>
        <v>0</v>
      </c>
    </row>
    <row r="333" spans="1:16" ht="27.75" customHeight="1" x14ac:dyDescent="0.2">
      <c r="A333" s="56" t="s">
        <v>194</v>
      </c>
      <c r="B333" s="54" t="s">
        <v>193</v>
      </c>
      <c r="C333" s="60"/>
      <c r="D333" s="60"/>
      <c r="E333" s="60"/>
      <c r="F333" s="52">
        <f>F336+F334+F335</f>
        <v>200</v>
      </c>
      <c r="G333" s="52">
        <f t="shared" ref="G333:O333" si="93">G336+G334+G335</f>
        <v>200</v>
      </c>
      <c r="H333" s="315">
        <f t="shared" si="87"/>
        <v>0</v>
      </c>
      <c r="I333" s="52">
        <f t="shared" si="93"/>
        <v>250</v>
      </c>
      <c r="J333" s="52">
        <f t="shared" si="93"/>
        <v>200</v>
      </c>
      <c r="K333" s="315">
        <f t="shared" si="81"/>
        <v>0</v>
      </c>
      <c r="L333" s="52">
        <f t="shared" si="93"/>
        <v>250</v>
      </c>
      <c r="M333" s="320">
        <f t="shared" si="88"/>
        <v>0</v>
      </c>
      <c r="N333" s="52">
        <f t="shared" si="93"/>
        <v>250</v>
      </c>
      <c r="O333" s="52">
        <f t="shared" si="93"/>
        <v>250</v>
      </c>
      <c r="P333" s="315">
        <f t="shared" si="89"/>
        <v>0</v>
      </c>
    </row>
    <row r="334" spans="1:16" ht="14.25" customHeight="1" x14ac:dyDescent="0.2">
      <c r="A334" s="64" t="s">
        <v>98</v>
      </c>
      <c r="B334" s="252" t="s">
        <v>193</v>
      </c>
      <c r="C334" s="253" t="s">
        <v>159</v>
      </c>
      <c r="D334" s="253" t="s">
        <v>45</v>
      </c>
      <c r="E334" s="253" t="s">
        <v>81</v>
      </c>
      <c r="F334" s="52">
        <v>0</v>
      </c>
      <c r="G334" s="52">
        <v>10</v>
      </c>
      <c r="H334" s="315">
        <f t="shared" si="87"/>
        <v>10</v>
      </c>
      <c r="I334" s="52">
        <v>0</v>
      </c>
      <c r="J334" s="52">
        <v>10</v>
      </c>
      <c r="K334" s="315">
        <f t="shared" si="81"/>
        <v>0</v>
      </c>
      <c r="L334" s="52">
        <v>0</v>
      </c>
      <c r="M334" s="320">
        <f t="shared" si="88"/>
        <v>0</v>
      </c>
      <c r="N334" s="65">
        <v>0</v>
      </c>
      <c r="O334" s="52">
        <v>0</v>
      </c>
      <c r="P334" s="315">
        <f t="shared" si="89"/>
        <v>0</v>
      </c>
    </row>
    <row r="335" spans="1:16" ht="15.75" customHeight="1" x14ac:dyDescent="0.2">
      <c r="A335" s="64" t="s">
        <v>98</v>
      </c>
      <c r="B335" s="252" t="s">
        <v>193</v>
      </c>
      <c r="C335" s="253" t="s">
        <v>159</v>
      </c>
      <c r="D335" s="253" t="s">
        <v>111</v>
      </c>
      <c r="E335" s="253" t="s">
        <v>81</v>
      </c>
      <c r="F335" s="52">
        <v>0</v>
      </c>
      <c r="G335" s="52">
        <v>10</v>
      </c>
      <c r="H335" s="315">
        <f t="shared" si="87"/>
        <v>10</v>
      </c>
      <c r="I335" s="52">
        <v>0</v>
      </c>
      <c r="J335" s="52">
        <v>10</v>
      </c>
      <c r="K335" s="315">
        <f t="shared" si="81"/>
        <v>0</v>
      </c>
      <c r="L335" s="52">
        <v>0</v>
      </c>
      <c r="M335" s="320">
        <f t="shared" si="88"/>
        <v>0</v>
      </c>
      <c r="N335" s="65">
        <v>0</v>
      </c>
      <c r="O335" s="52">
        <v>0</v>
      </c>
      <c r="P335" s="315">
        <f t="shared" si="89"/>
        <v>0</v>
      </c>
    </row>
    <row r="336" spans="1:16" ht="25.5" customHeight="1" x14ac:dyDescent="0.2">
      <c r="A336" s="56" t="s">
        <v>73</v>
      </c>
      <c r="B336" s="54" t="s">
        <v>193</v>
      </c>
      <c r="C336" s="60" t="s">
        <v>159</v>
      </c>
      <c r="D336" s="60" t="s">
        <v>160</v>
      </c>
      <c r="E336" s="60" t="s">
        <v>70</v>
      </c>
      <c r="F336" s="52">
        <f>250-50</f>
        <v>200</v>
      </c>
      <c r="G336" s="52">
        <f>200-20</f>
        <v>180</v>
      </c>
      <c r="H336" s="315">
        <f t="shared" si="87"/>
        <v>-20</v>
      </c>
      <c r="I336" s="52">
        <v>250</v>
      </c>
      <c r="J336" s="52">
        <f>200-20</f>
        <v>180</v>
      </c>
      <c r="K336" s="315">
        <f t="shared" si="81"/>
        <v>0</v>
      </c>
      <c r="L336" s="52">
        <v>250</v>
      </c>
      <c r="M336" s="320">
        <f t="shared" si="88"/>
        <v>0</v>
      </c>
      <c r="N336" s="65">
        <v>250</v>
      </c>
      <c r="O336" s="52">
        <v>250</v>
      </c>
      <c r="P336" s="315">
        <f t="shared" si="89"/>
        <v>0</v>
      </c>
    </row>
    <row r="337" spans="1:44" s="31" customFormat="1" ht="26.25" customHeight="1" x14ac:dyDescent="0.2">
      <c r="A337" s="232" t="s">
        <v>717</v>
      </c>
      <c r="B337" s="225" t="s">
        <v>452</v>
      </c>
      <c r="C337" s="226"/>
      <c r="D337" s="226"/>
      <c r="E337" s="226"/>
      <c r="F337" s="227">
        <f>F338+F352</f>
        <v>14127.8</v>
      </c>
      <c r="G337" s="227">
        <f>G338+G352</f>
        <v>14127.8</v>
      </c>
      <c r="H337" s="315">
        <f t="shared" si="87"/>
        <v>0</v>
      </c>
      <c r="I337" s="227">
        <f>I338+I352</f>
        <v>9808.7000000000007</v>
      </c>
      <c r="J337" s="227">
        <f>J338+J352</f>
        <v>14127.8</v>
      </c>
      <c r="K337" s="315">
        <f t="shared" si="81"/>
        <v>0</v>
      </c>
      <c r="L337" s="227">
        <f>L338+L352</f>
        <v>9808.7000000000007</v>
      </c>
      <c r="M337" s="320">
        <f t="shared" si="88"/>
        <v>0</v>
      </c>
      <c r="N337" s="228">
        <f>N338+N352</f>
        <v>23612.5</v>
      </c>
      <c r="O337" s="227">
        <f>O338+O352</f>
        <v>23612.5</v>
      </c>
      <c r="P337" s="315">
        <f t="shared" si="89"/>
        <v>0</v>
      </c>
      <c r="Q337" s="39"/>
      <c r="R337" s="40"/>
      <c r="S337" s="40"/>
      <c r="T337" s="214"/>
      <c r="U337" s="214"/>
      <c r="V337" s="231"/>
      <c r="W337" s="231"/>
      <c r="X337" s="231"/>
      <c r="Y337" s="231"/>
      <c r="Z337" s="231"/>
      <c r="AA337" s="231"/>
      <c r="AB337" s="231"/>
      <c r="AC337" s="231"/>
      <c r="AD337" s="231"/>
      <c r="AE337" s="231"/>
      <c r="AF337" s="231"/>
      <c r="AG337" s="231"/>
      <c r="AH337" s="231"/>
      <c r="AI337" s="231"/>
      <c r="AJ337" s="231"/>
      <c r="AK337" s="231"/>
      <c r="AL337" s="231"/>
      <c r="AM337" s="231"/>
      <c r="AN337" s="231"/>
      <c r="AO337" s="231"/>
      <c r="AP337" s="231"/>
      <c r="AQ337" s="231"/>
      <c r="AR337" s="231"/>
    </row>
    <row r="338" spans="1:44" s="31" customFormat="1" x14ac:dyDescent="0.2">
      <c r="A338" s="95" t="s">
        <v>66</v>
      </c>
      <c r="B338" s="54" t="s">
        <v>504</v>
      </c>
      <c r="C338" s="60"/>
      <c r="D338" s="60"/>
      <c r="E338" s="60"/>
      <c r="F338" s="52">
        <f>F339+F344+F349</f>
        <v>5684.3</v>
      </c>
      <c r="G338" s="52">
        <f>G339+G344+G349</f>
        <v>5684.3</v>
      </c>
      <c r="H338" s="315">
        <f t="shared" si="87"/>
        <v>0</v>
      </c>
      <c r="I338" s="52">
        <f>I339+I344+I349</f>
        <v>2045.2</v>
      </c>
      <c r="J338" s="52">
        <f>J339+J344+J349</f>
        <v>5684.3</v>
      </c>
      <c r="K338" s="315">
        <f t="shared" ref="K338:K401" si="94">J338-G338</f>
        <v>0</v>
      </c>
      <c r="L338" s="52">
        <f>L339+L344+L349</f>
        <v>2045.2</v>
      </c>
      <c r="M338" s="320">
        <f t="shared" si="88"/>
        <v>0</v>
      </c>
      <c r="N338" s="65">
        <f>N339+N344+N349</f>
        <v>15349</v>
      </c>
      <c r="O338" s="52">
        <f>O339+O344+O349</f>
        <v>15349</v>
      </c>
      <c r="P338" s="315">
        <f t="shared" si="89"/>
        <v>0</v>
      </c>
      <c r="Q338" s="39"/>
      <c r="R338" s="40"/>
      <c r="S338" s="40"/>
      <c r="T338" s="214"/>
      <c r="U338" s="214"/>
      <c r="V338" s="231"/>
      <c r="W338" s="231"/>
      <c r="X338" s="231"/>
      <c r="Y338" s="231"/>
      <c r="Z338" s="231"/>
      <c r="AA338" s="231"/>
      <c r="AB338" s="231"/>
      <c r="AC338" s="231"/>
      <c r="AD338" s="231"/>
      <c r="AE338" s="231"/>
      <c r="AF338" s="231"/>
      <c r="AG338" s="231"/>
      <c r="AH338" s="231"/>
      <c r="AI338" s="231"/>
      <c r="AJ338" s="231"/>
      <c r="AK338" s="231"/>
      <c r="AL338" s="231"/>
      <c r="AM338" s="231"/>
      <c r="AN338" s="231"/>
      <c r="AO338" s="231"/>
      <c r="AP338" s="231"/>
      <c r="AQ338" s="231"/>
      <c r="AR338" s="231"/>
    </row>
    <row r="339" spans="1:44" s="31" customFormat="1" ht="25.5" x14ac:dyDescent="0.2">
      <c r="A339" s="176" t="s">
        <v>503</v>
      </c>
      <c r="B339" s="54" t="s">
        <v>502</v>
      </c>
      <c r="C339" s="60"/>
      <c r="D339" s="60"/>
      <c r="E339" s="60"/>
      <c r="F339" s="52">
        <f>F340+F342</f>
        <v>1317.3</v>
      </c>
      <c r="G339" s="52">
        <f>G340+G342</f>
        <v>1317.3</v>
      </c>
      <c r="H339" s="315">
        <f t="shared" si="87"/>
        <v>0</v>
      </c>
      <c r="I339" s="52">
        <f>I340+I342</f>
        <v>60.2</v>
      </c>
      <c r="J339" s="52">
        <f>J340+J342</f>
        <v>1317.3</v>
      </c>
      <c r="K339" s="315">
        <f t="shared" si="94"/>
        <v>0</v>
      </c>
      <c r="L339" s="52">
        <f>L340+L342</f>
        <v>60.2</v>
      </c>
      <c r="M339" s="320">
        <f t="shared" si="88"/>
        <v>0</v>
      </c>
      <c r="N339" s="65">
        <f>N340+N342</f>
        <v>60.2</v>
      </c>
      <c r="O339" s="52">
        <f>O340+O342</f>
        <v>60.2</v>
      </c>
      <c r="P339" s="315">
        <f t="shared" si="89"/>
        <v>0</v>
      </c>
      <c r="Q339" s="39"/>
      <c r="R339" s="40"/>
      <c r="S339" s="40"/>
      <c r="T339" s="214"/>
      <c r="U339" s="214"/>
      <c r="V339" s="231"/>
      <c r="W339" s="231"/>
      <c r="X339" s="231"/>
      <c r="Y339" s="231"/>
      <c r="Z339" s="231"/>
      <c r="AA339" s="231"/>
      <c r="AB339" s="231"/>
      <c r="AC339" s="231"/>
      <c r="AD339" s="231"/>
      <c r="AE339" s="231"/>
      <c r="AF339" s="231"/>
      <c r="AG339" s="231"/>
      <c r="AH339" s="231"/>
      <c r="AI339" s="231"/>
      <c r="AJ339" s="231"/>
      <c r="AK339" s="231"/>
      <c r="AL339" s="231"/>
      <c r="AM339" s="231"/>
      <c r="AN339" s="231"/>
      <c r="AO339" s="231"/>
      <c r="AP339" s="231"/>
      <c r="AQ339" s="231"/>
      <c r="AR339" s="231"/>
    </row>
    <row r="340" spans="1:44" s="31" customFormat="1" ht="25.5" x14ac:dyDescent="0.2">
      <c r="A340" s="99" t="s">
        <v>501</v>
      </c>
      <c r="B340" s="54" t="s">
        <v>500</v>
      </c>
      <c r="C340" s="60" t="s">
        <v>111</v>
      </c>
      <c r="D340" s="60" t="s">
        <v>489</v>
      </c>
      <c r="E340" s="60"/>
      <c r="F340" s="52">
        <f>F341</f>
        <v>417.3</v>
      </c>
      <c r="G340" s="52">
        <f>G341</f>
        <v>417.3</v>
      </c>
      <c r="H340" s="315">
        <f t="shared" si="87"/>
        <v>0</v>
      </c>
      <c r="I340" s="52">
        <f>I341</f>
        <v>60.2</v>
      </c>
      <c r="J340" s="52">
        <f>J341</f>
        <v>417.3</v>
      </c>
      <c r="K340" s="315">
        <f t="shared" si="94"/>
        <v>0</v>
      </c>
      <c r="L340" s="52">
        <f>L341</f>
        <v>60.2</v>
      </c>
      <c r="M340" s="320">
        <f t="shared" si="88"/>
        <v>0</v>
      </c>
      <c r="N340" s="65">
        <f>N341</f>
        <v>60.2</v>
      </c>
      <c r="O340" s="52">
        <f>O341</f>
        <v>60.2</v>
      </c>
      <c r="P340" s="315">
        <f t="shared" si="89"/>
        <v>0</v>
      </c>
      <c r="Q340" s="39"/>
      <c r="R340" s="40"/>
      <c r="S340" s="40"/>
      <c r="T340" s="214"/>
      <c r="U340" s="214"/>
      <c r="V340" s="231"/>
      <c r="W340" s="231"/>
      <c r="X340" s="231"/>
      <c r="Y340" s="231"/>
      <c r="Z340" s="231"/>
      <c r="AA340" s="231"/>
      <c r="AB340" s="231"/>
      <c r="AC340" s="231"/>
      <c r="AD340" s="231"/>
      <c r="AE340" s="231"/>
      <c r="AF340" s="231"/>
      <c r="AG340" s="231"/>
      <c r="AH340" s="231"/>
      <c r="AI340" s="231"/>
      <c r="AJ340" s="231"/>
      <c r="AK340" s="231"/>
      <c r="AL340" s="231"/>
      <c r="AM340" s="231"/>
      <c r="AN340" s="231"/>
      <c r="AO340" s="231"/>
      <c r="AP340" s="231"/>
      <c r="AQ340" s="231"/>
      <c r="AR340" s="231"/>
    </row>
    <row r="341" spans="1:44" s="31" customFormat="1" ht="25.5" x14ac:dyDescent="0.2">
      <c r="A341" s="99" t="s">
        <v>73</v>
      </c>
      <c r="B341" s="54" t="s">
        <v>500</v>
      </c>
      <c r="C341" s="60" t="s">
        <v>111</v>
      </c>
      <c r="D341" s="60" t="s">
        <v>489</v>
      </c>
      <c r="E341" s="60" t="s">
        <v>70</v>
      </c>
      <c r="F341" s="52">
        <f>177.9+9.4+230</f>
        <v>417.3</v>
      </c>
      <c r="G341" s="52">
        <f>177.9+9.4+230</f>
        <v>417.3</v>
      </c>
      <c r="H341" s="315">
        <f t="shared" si="87"/>
        <v>0</v>
      </c>
      <c r="I341" s="52">
        <f>57.2+3</f>
        <v>60.2</v>
      </c>
      <c r="J341" s="52">
        <f>177.9+9.4+230</f>
        <v>417.3</v>
      </c>
      <c r="K341" s="315">
        <f t="shared" si="94"/>
        <v>0</v>
      </c>
      <c r="L341" s="52">
        <f>57.2+3</f>
        <v>60.2</v>
      </c>
      <c r="M341" s="320">
        <f t="shared" si="88"/>
        <v>0</v>
      </c>
      <c r="N341" s="65">
        <f>57.2+3</f>
        <v>60.2</v>
      </c>
      <c r="O341" s="52">
        <f>57.2+3</f>
        <v>60.2</v>
      </c>
      <c r="P341" s="315">
        <f t="shared" si="89"/>
        <v>0</v>
      </c>
      <c r="Q341" s="39"/>
      <c r="R341" s="40"/>
      <c r="S341" s="40"/>
      <c r="T341" s="214"/>
      <c r="U341" s="214"/>
      <c r="V341" s="231"/>
      <c r="W341" s="231"/>
      <c r="X341" s="231"/>
      <c r="Y341" s="231"/>
      <c r="Z341" s="231"/>
      <c r="AA341" s="231"/>
      <c r="AB341" s="231"/>
      <c r="AC341" s="231"/>
      <c r="AD341" s="231"/>
      <c r="AE341" s="231"/>
      <c r="AF341" s="231"/>
      <c r="AG341" s="231"/>
      <c r="AH341" s="231"/>
      <c r="AI341" s="231"/>
      <c r="AJ341" s="231"/>
      <c r="AK341" s="231"/>
      <c r="AL341" s="231"/>
      <c r="AM341" s="231"/>
      <c r="AN341" s="231"/>
      <c r="AO341" s="231"/>
      <c r="AP341" s="231"/>
      <c r="AQ341" s="231"/>
      <c r="AR341" s="231"/>
    </row>
    <row r="342" spans="1:44" s="31" customFormat="1" ht="25.5" x14ac:dyDescent="0.2">
      <c r="A342" s="176" t="s">
        <v>499</v>
      </c>
      <c r="B342" s="54" t="s">
        <v>498</v>
      </c>
      <c r="C342" s="60" t="s">
        <v>111</v>
      </c>
      <c r="D342" s="60" t="s">
        <v>489</v>
      </c>
      <c r="E342" s="60"/>
      <c r="F342" s="52">
        <f>F343</f>
        <v>900</v>
      </c>
      <c r="G342" s="52">
        <f>G343</f>
        <v>900</v>
      </c>
      <c r="H342" s="315">
        <f t="shared" si="87"/>
        <v>0</v>
      </c>
      <c r="I342" s="52">
        <f>I343</f>
        <v>0</v>
      </c>
      <c r="J342" s="52">
        <f>J343</f>
        <v>900</v>
      </c>
      <c r="K342" s="315">
        <f t="shared" si="94"/>
        <v>0</v>
      </c>
      <c r="L342" s="52">
        <f>L343</f>
        <v>0</v>
      </c>
      <c r="M342" s="320">
        <f t="shared" si="88"/>
        <v>0</v>
      </c>
      <c r="N342" s="65">
        <f>N343</f>
        <v>0</v>
      </c>
      <c r="O342" s="52">
        <f>O343</f>
        <v>0</v>
      </c>
      <c r="P342" s="315">
        <f t="shared" si="89"/>
        <v>0</v>
      </c>
      <c r="Q342" s="39"/>
      <c r="R342" s="40"/>
      <c r="S342" s="40"/>
      <c r="T342" s="214"/>
      <c r="U342" s="214"/>
      <c r="V342" s="231"/>
      <c r="W342" s="231"/>
      <c r="X342" s="231"/>
      <c r="Y342" s="231"/>
      <c r="Z342" s="231"/>
      <c r="AA342" s="231"/>
      <c r="AB342" s="231"/>
      <c r="AC342" s="231"/>
      <c r="AD342" s="231"/>
      <c r="AE342" s="231"/>
      <c r="AF342" s="231"/>
      <c r="AG342" s="231"/>
      <c r="AH342" s="231"/>
      <c r="AI342" s="231"/>
      <c r="AJ342" s="231"/>
      <c r="AK342" s="231"/>
      <c r="AL342" s="231"/>
      <c r="AM342" s="231"/>
      <c r="AN342" s="231"/>
      <c r="AO342" s="231"/>
      <c r="AP342" s="231"/>
      <c r="AQ342" s="231"/>
      <c r="AR342" s="231"/>
    </row>
    <row r="343" spans="1:44" s="31" customFormat="1" ht="25.5" x14ac:dyDescent="0.2">
      <c r="A343" s="99" t="s">
        <v>73</v>
      </c>
      <c r="B343" s="54" t="s">
        <v>498</v>
      </c>
      <c r="C343" s="60" t="s">
        <v>111</v>
      </c>
      <c r="D343" s="60" t="s">
        <v>489</v>
      </c>
      <c r="E343" s="60" t="s">
        <v>70</v>
      </c>
      <c r="F343" s="52">
        <f>855+45</f>
        <v>900</v>
      </c>
      <c r="G343" s="52">
        <f>855+45</f>
        <v>900</v>
      </c>
      <c r="H343" s="315">
        <f t="shared" si="87"/>
        <v>0</v>
      </c>
      <c r="I343" s="52">
        <v>0</v>
      </c>
      <c r="J343" s="52">
        <f>855+45</f>
        <v>900</v>
      </c>
      <c r="K343" s="315">
        <f t="shared" si="94"/>
        <v>0</v>
      </c>
      <c r="L343" s="52">
        <v>0</v>
      </c>
      <c r="M343" s="320">
        <f t="shared" si="88"/>
        <v>0</v>
      </c>
      <c r="N343" s="65">
        <v>0</v>
      </c>
      <c r="O343" s="52">
        <v>0</v>
      </c>
      <c r="P343" s="315">
        <f t="shared" si="89"/>
        <v>0</v>
      </c>
      <c r="Q343" s="39"/>
      <c r="R343" s="40"/>
      <c r="S343" s="40"/>
      <c r="T343" s="214"/>
      <c r="U343" s="214"/>
      <c r="V343" s="231"/>
      <c r="W343" s="231"/>
      <c r="X343" s="231"/>
      <c r="Y343" s="231"/>
      <c r="Z343" s="231"/>
      <c r="AA343" s="231"/>
      <c r="AB343" s="231"/>
      <c r="AC343" s="231"/>
      <c r="AD343" s="231"/>
      <c r="AE343" s="231"/>
      <c r="AF343" s="231"/>
      <c r="AG343" s="231"/>
      <c r="AH343" s="231"/>
      <c r="AI343" s="231"/>
      <c r="AJ343" s="231"/>
      <c r="AK343" s="231"/>
      <c r="AL343" s="231"/>
      <c r="AM343" s="231"/>
      <c r="AN343" s="231"/>
      <c r="AO343" s="231"/>
      <c r="AP343" s="231"/>
      <c r="AQ343" s="231"/>
      <c r="AR343" s="231"/>
    </row>
    <row r="344" spans="1:44" s="31" customFormat="1" ht="25.5" x14ac:dyDescent="0.2">
      <c r="A344" s="99" t="s">
        <v>515</v>
      </c>
      <c r="B344" s="54" t="s">
        <v>514</v>
      </c>
      <c r="C344" s="60"/>
      <c r="D344" s="60"/>
      <c r="E344" s="60"/>
      <c r="F344" s="52">
        <f>F345+F347</f>
        <v>4367</v>
      </c>
      <c r="G344" s="52">
        <f>G345+G347</f>
        <v>4367</v>
      </c>
      <c r="H344" s="315">
        <f t="shared" si="87"/>
        <v>0</v>
      </c>
      <c r="I344" s="52">
        <f>I345+I347</f>
        <v>1985</v>
      </c>
      <c r="J344" s="52">
        <f>J345+J347</f>
        <v>4367</v>
      </c>
      <c r="K344" s="315">
        <f t="shared" si="94"/>
        <v>0</v>
      </c>
      <c r="L344" s="52">
        <f>L345+L347</f>
        <v>1985</v>
      </c>
      <c r="M344" s="320">
        <f t="shared" si="88"/>
        <v>0</v>
      </c>
      <c r="N344" s="65">
        <f>N345+N347</f>
        <v>2988.8</v>
      </c>
      <c r="O344" s="52">
        <f>O345+O347</f>
        <v>2988.8</v>
      </c>
      <c r="P344" s="315">
        <f t="shared" si="89"/>
        <v>0</v>
      </c>
      <c r="Q344" s="39"/>
      <c r="R344" s="40"/>
      <c r="S344" s="40"/>
      <c r="T344" s="214"/>
      <c r="U344" s="214"/>
      <c r="V344" s="231"/>
      <c r="W344" s="231"/>
      <c r="X344" s="231"/>
      <c r="Y344" s="231"/>
      <c r="Z344" s="231"/>
      <c r="AA344" s="231"/>
      <c r="AB344" s="231"/>
      <c r="AC344" s="231"/>
      <c r="AD344" s="231"/>
      <c r="AE344" s="231"/>
      <c r="AF344" s="231"/>
      <c r="AG344" s="231"/>
      <c r="AH344" s="231"/>
      <c r="AI344" s="231"/>
      <c r="AJ344" s="231"/>
      <c r="AK344" s="231"/>
      <c r="AL344" s="231"/>
      <c r="AM344" s="231"/>
      <c r="AN344" s="231"/>
      <c r="AO344" s="231"/>
      <c r="AP344" s="231"/>
      <c r="AQ344" s="231"/>
      <c r="AR344" s="231"/>
    </row>
    <row r="345" spans="1:44" s="31" customFormat="1" ht="25.5" x14ac:dyDescent="0.2">
      <c r="A345" s="99" t="s">
        <v>513</v>
      </c>
      <c r="B345" s="54" t="s">
        <v>512</v>
      </c>
      <c r="C345" s="60" t="s">
        <v>718</v>
      </c>
      <c r="D345" s="60" t="s">
        <v>97</v>
      </c>
      <c r="E345" s="60"/>
      <c r="F345" s="52">
        <f>F346</f>
        <v>4367</v>
      </c>
      <c r="G345" s="52">
        <f>G346</f>
        <v>4367</v>
      </c>
      <c r="H345" s="315">
        <f t="shared" si="87"/>
        <v>0</v>
      </c>
      <c r="I345" s="52">
        <f>I346</f>
        <v>1985</v>
      </c>
      <c r="J345" s="52">
        <f>J346</f>
        <v>4367</v>
      </c>
      <c r="K345" s="315">
        <f t="shared" si="94"/>
        <v>0</v>
      </c>
      <c r="L345" s="52">
        <f>L346</f>
        <v>1985</v>
      </c>
      <c r="M345" s="320">
        <f t="shared" si="88"/>
        <v>0</v>
      </c>
      <c r="N345" s="65">
        <f>N346</f>
        <v>2988.8</v>
      </c>
      <c r="O345" s="52">
        <f>O346</f>
        <v>2988.8</v>
      </c>
      <c r="P345" s="315">
        <f t="shared" si="89"/>
        <v>0</v>
      </c>
      <c r="Q345" s="39"/>
      <c r="R345" s="40"/>
      <c r="S345" s="40"/>
      <c r="T345" s="214"/>
      <c r="U345" s="214"/>
      <c r="V345" s="231"/>
      <c r="W345" s="231"/>
      <c r="X345" s="231"/>
      <c r="Y345" s="231"/>
      <c r="Z345" s="231"/>
      <c r="AA345" s="231"/>
      <c r="AB345" s="231"/>
      <c r="AC345" s="231"/>
      <c r="AD345" s="231"/>
      <c r="AE345" s="231"/>
      <c r="AF345" s="231"/>
      <c r="AG345" s="231"/>
      <c r="AH345" s="231"/>
      <c r="AI345" s="231"/>
      <c r="AJ345" s="231"/>
      <c r="AK345" s="231"/>
      <c r="AL345" s="231"/>
      <c r="AM345" s="231"/>
      <c r="AN345" s="231"/>
      <c r="AO345" s="231"/>
      <c r="AP345" s="231"/>
      <c r="AQ345" s="231"/>
      <c r="AR345" s="231"/>
    </row>
    <row r="346" spans="1:44" s="31" customFormat="1" ht="25.5" x14ac:dyDescent="0.2">
      <c r="A346" s="99" t="s">
        <v>73</v>
      </c>
      <c r="B346" s="54" t="s">
        <v>512</v>
      </c>
      <c r="C346" s="60" t="s">
        <v>111</v>
      </c>
      <c r="D346" s="60" t="s">
        <v>97</v>
      </c>
      <c r="E346" s="60" t="s">
        <v>70</v>
      </c>
      <c r="F346" s="52">
        <f>2183.5+2183.5</f>
        <v>4367</v>
      </c>
      <c r="G346" s="52">
        <f>2183.5+2183.5</f>
        <v>4367</v>
      </c>
      <c r="H346" s="315">
        <f t="shared" si="87"/>
        <v>0</v>
      </c>
      <c r="I346" s="52">
        <f>992.5+992.5</f>
        <v>1985</v>
      </c>
      <c r="J346" s="52">
        <f>2183.5+2183.5</f>
        <v>4367</v>
      </c>
      <c r="K346" s="315">
        <f t="shared" si="94"/>
        <v>0</v>
      </c>
      <c r="L346" s="52">
        <f>992.5+992.5</f>
        <v>1985</v>
      </c>
      <c r="M346" s="320">
        <f t="shared" si="88"/>
        <v>0</v>
      </c>
      <c r="N346" s="65">
        <v>2988.8</v>
      </c>
      <c r="O346" s="52">
        <v>2988.8</v>
      </c>
      <c r="P346" s="315">
        <f t="shared" si="89"/>
        <v>0</v>
      </c>
      <c r="Q346" s="39"/>
      <c r="R346" s="40"/>
      <c r="S346" s="40"/>
      <c r="T346" s="214"/>
      <c r="U346" s="214"/>
      <c r="V346" s="231"/>
      <c r="W346" s="231"/>
      <c r="X346" s="231"/>
      <c r="Y346" s="231"/>
      <c r="Z346" s="231"/>
      <c r="AA346" s="231"/>
      <c r="AB346" s="231"/>
      <c r="AC346" s="231"/>
      <c r="AD346" s="231"/>
      <c r="AE346" s="231"/>
      <c r="AF346" s="231"/>
      <c r="AG346" s="231"/>
      <c r="AH346" s="231"/>
      <c r="AI346" s="231"/>
      <c r="AJ346" s="231"/>
      <c r="AK346" s="231"/>
      <c r="AL346" s="231"/>
      <c r="AM346" s="231"/>
      <c r="AN346" s="231"/>
      <c r="AO346" s="231"/>
      <c r="AP346" s="231"/>
      <c r="AQ346" s="231"/>
      <c r="AR346" s="231"/>
    </row>
    <row r="347" spans="1:44" s="31" customFormat="1" ht="25.5" hidden="1" x14ac:dyDescent="0.2">
      <c r="A347" s="56" t="s">
        <v>719</v>
      </c>
      <c r="B347" s="54" t="s">
        <v>511</v>
      </c>
      <c r="C347" s="60" t="s">
        <v>718</v>
      </c>
      <c r="D347" s="60" t="s">
        <v>97</v>
      </c>
      <c r="E347" s="60"/>
      <c r="F347" s="52">
        <f>F348</f>
        <v>0</v>
      </c>
      <c r="G347" s="52">
        <f>G348</f>
        <v>0</v>
      </c>
      <c r="H347" s="315">
        <f t="shared" si="87"/>
        <v>0</v>
      </c>
      <c r="I347" s="52">
        <f>I348</f>
        <v>0</v>
      </c>
      <c r="J347" s="52">
        <f>J348</f>
        <v>0</v>
      </c>
      <c r="K347" s="315">
        <f t="shared" si="94"/>
        <v>0</v>
      </c>
      <c r="L347" s="52">
        <f>L348</f>
        <v>0</v>
      </c>
      <c r="M347" s="320">
        <f t="shared" si="88"/>
        <v>0</v>
      </c>
      <c r="N347" s="65">
        <f>N348</f>
        <v>0</v>
      </c>
      <c r="O347" s="52">
        <f>O348</f>
        <v>0</v>
      </c>
      <c r="P347" s="315">
        <f t="shared" si="89"/>
        <v>0</v>
      </c>
      <c r="Q347" s="39"/>
      <c r="R347" s="40"/>
      <c r="S347" s="40"/>
      <c r="T347" s="214"/>
      <c r="U347" s="214"/>
      <c r="V347" s="231"/>
      <c r="W347" s="231"/>
      <c r="X347" s="231"/>
      <c r="Y347" s="231"/>
      <c r="Z347" s="231"/>
      <c r="AA347" s="231"/>
      <c r="AB347" s="231"/>
      <c r="AC347" s="231"/>
      <c r="AD347" s="231"/>
      <c r="AE347" s="231"/>
      <c r="AF347" s="231"/>
      <c r="AG347" s="231"/>
      <c r="AH347" s="231"/>
      <c r="AI347" s="231"/>
      <c r="AJ347" s="231"/>
      <c r="AK347" s="231"/>
      <c r="AL347" s="231"/>
      <c r="AM347" s="231"/>
      <c r="AN347" s="231"/>
      <c r="AO347" s="231"/>
      <c r="AP347" s="231"/>
      <c r="AQ347" s="231"/>
      <c r="AR347" s="231"/>
    </row>
    <row r="348" spans="1:44" s="31" customFormat="1" ht="25.5" hidden="1" x14ac:dyDescent="0.2">
      <c r="A348" s="66" t="s">
        <v>73</v>
      </c>
      <c r="B348" s="54" t="s">
        <v>511</v>
      </c>
      <c r="C348" s="60" t="s">
        <v>111</v>
      </c>
      <c r="D348" s="60" t="s">
        <v>97</v>
      </c>
      <c r="E348" s="60" t="s">
        <v>70</v>
      </c>
      <c r="F348" s="52">
        <v>0</v>
      </c>
      <c r="G348" s="52">
        <v>0</v>
      </c>
      <c r="H348" s="315">
        <f t="shared" si="87"/>
        <v>0</v>
      </c>
      <c r="I348" s="52">
        <v>0</v>
      </c>
      <c r="J348" s="52">
        <v>0</v>
      </c>
      <c r="K348" s="315">
        <f t="shared" si="94"/>
        <v>0</v>
      </c>
      <c r="L348" s="52">
        <v>0</v>
      </c>
      <c r="M348" s="320">
        <f t="shared" si="88"/>
        <v>0</v>
      </c>
      <c r="N348" s="65">
        <v>0</v>
      </c>
      <c r="O348" s="52">
        <v>0</v>
      </c>
      <c r="P348" s="315">
        <f t="shared" si="89"/>
        <v>0</v>
      </c>
      <c r="Q348" s="39"/>
      <c r="R348" s="40"/>
      <c r="S348" s="40"/>
      <c r="T348" s="214"/>
      <c r="U348" s="214"/>
      <c r="V348" s="231"/>
      <c r="W348" s="231"/>
      <c r="X348" s="231"/>
      <c r="Y348" s="231"/>
      <c r="Z348" s="231"/>
      <c r="AA348" s="231"/>
      <c r="AB348" s="231"/>
      <c r="AC348" s="231"/>
      <c r="AD348" s="231"/>
      <c r="AE348" s="231"/>
      <c r="AF348" s="231"/>
      <c r="AG348" s="231"/>
      <c r="AH348" s="231"/>
      <c r="AI348" s="231"/>
      <c r="AJ348" s="231"/>
      <c r="AK348" s="231"/>
      <c r="AL348" s="231"/>
      <c r="AM348" s="231"/>
      <c r="AN348" s="231"/>
      <c r="AO348" s="231"/>
      <c r="AP348" s="231"/>
      <c r="AQ348" s="231"/>
      <c r="AR348" s="231"/>
    </row>
    <row r="349" spans="1:44" s="31" customFormat="1" ht="25.5" x14ac:dyDescent="0.2">
      <c r="A349" s="66" t="s">
        <v>497</v>
      </c>
      <c r="B349" s="54" t="s">
        <v>496</v>
      </c>
      <c r="C349" s="60" t="s">
        <v>111</v>
      </c>
      <c r="D349" s="60" t="s">
        <v>489</v>
      </c>
      <c r="E349" s="60"/>
      <c r="F349" s="52">
        <f t="shared" ref="F349:O350" si="95">F350</f>
        <v>0</v>
      </c>
      <c r="G349" s="52">
        <f t="shared" si="95"/>
        <v>0</v>
      </c>
      <c r="H349" s="315">
        <f t="shared" si="87"/>
        <v>0</v>
      </c>
      <c r="I349" s="52">
        <f t="shared" si="95"/>
        <v>0</v>
      </c>
      <c r="J349" s="52">
        <f t="shared" si="95"/>
        <v>0</v>
      </c>
      <c r="K349" s="315">
        <f t="shared" si="94"/>
        <v>0</v>
      </c>
      <c r="L349" s="52">
        <f t="shared" si="95"/>
        <v>0</v>
      </c>
      <c r="M349" s="320">
        <f t="shared" si="88"/>
        <v>0</v>
      </c>
      <c r="N349" s="65">
        <f t="shared" si="95"/>
        <v>12300</v>
      </c>
      <c r="O349" s="52">
        <f t="shared" si="95"/>
        <v>12300</v>
      </c>
      <c r="P349" s="315">
        <f t="shared" si="89"/>
        <v>0</v>
      </c>
      <c r="Q349" s="39"/>
      <c r="R349" s="40"/>
      <c r="S349" s="40"/>
      <c r="T349" s="214"/>
      <c r="U349" s="214"/>
      <c r="V349" s="231"/>
      <c r="W349" s="231"/>
      <c r="X349" s="231"/>
      <c r="Y349" s="231"/>
      <c r="Z349" s="231"/>
      <c r="AA349" s="231"/>
      <c r="AB349" s="231"/>
      <c r="AC349" s="231"/>
      <c r="AD349" s="231"/>
      <c r="AE349" s="231"/>
      <c r="AF349" s="231"/>
      <c r="AG349" s="231"/>
      <c r="AH349" s="231"/>
      <c r="AI349" s="231"/>
      <c r="AJ349" s="231"/>
      <c r="AK349" s="231"/>
      <c r="AL349" s="231"/>
      <c r="AM349" s="231"/>
      <c r="AN349" s="231"/>
      <c r="AO349" s="231"/>
      <c r="AP349" s="231"/>
      <c r="AQ349" s="231"/>
      <c r="AR349" s="231"/>
    </row>
    <row r="350" spans="1:44" s="31" customFormat="1" x14ac:dyDescent="0.2">
      <c r="A350" s="66" t="s">
        <v>495</v>
      </c>
      <c r="B350" s="54" t="s">
        <v>494</v>
      </c>
      <c r="C350" s="60" t="s">
        <v>111</v>
      </c>
      <c r="D350" s="60" t="s">
        <v>489</v>
      </c>
      <c r="E350" s="60"/>
      <c r="F350" s="52">
        <f t="shared" si="95"/>
        <v>0</v>
      </c>
      <c r="G350" s="52">
        <f t="shared" si="95"/>
        <v>0</v>
      </c>
      <c r="H350" s="315">
        <f t="shared" si="87"/>
        <v>0</v>
      </c>
      <c r="I350" s="52">
        <f t="shared" si="95"/>
        <v>0</v>
      </c>
      <c r="J350" s="52">
        <f t="shared" si="95"/>
        <v>0</v>
      </c>
      <c r="K350" s="315">
        <f t="shared" si="94"/>
        <v>0</v>
      </c>
      <c r="L350" s="52">
        <f t="shared" si="95"/>
        <v>0</v>
      </c>
      <c r="M350" s="320">
        <f t="shared" si="88"/>
        <v>0</v>
      </c>
      <c r="N350" s="65">
        <f t="shared" si="95"/>
        <v>12300</v>
      </c>
      <c r="O350" s="52">
        <f t="shared" si="95"/>
        <v>12300</v>
      </c>
      <c r="P350" s="315">
        <f t="shared" si="89"/>
        <v>0</v>
      </c>
      <c r="Q350" s="39"/>
      <c r="R350" s="40"/>
      <c r="S350" s="40"/>
      <c r="T350" s="214"/>
      <c r="U350" s="214"/>
      <c r="V350" s="231"/>
      <c r="W350" s="231"/>
      <c r="X350" s="231"/>
      <c r="Y350" s="231"/>
      <c r="Z350" s="231"/>
      <c r="AA350" s="231"/>
      <c r="AB350" s="231"/>
      <c r="AC350" s="231"/>
      <c r="AD350" s="231"/>
      <c r="AE350" s="231"/>
      <c r="AF350" s="231"/>
      <c r="AG350" s="231"/>
      <c r="AH350" s="231"/>
      <c r="AI350" s="231"/>
      <c r="AJ350" s="231"/>
      <c r="AK350" s="231"/>
      <c r="AL350" s="231"/>
      <c r="AM350" s="231"/>
      <c r="AN350" s="231"/>
      <c r="AO350" s="231"/>
      <c r="AP350" s="231"/>
      <c r="AQ350" s="231"/>
      <c r="AR350" s="231"/>
    </row>
    <row r="351" spans="1:44" s="31" customFormat="1" ht="25.5" x14ac:dyDescent="0.2">
      <c r="A351" s="99" t="s">
        <v>73</v>
      </c>
      <c r="B351" s="54" t="s">
        <v>494</v>
      </c>
      <c r="C351" s="60" t="s">
        <v>111</v>
      </c>
      <c r="D351" s="60" t="s">
        <v>489</v>
      </c>
      <c r="E351" s="60" t="s">
        <v>70</v>
      </c>
      <c r="F351" s="52">
        <v>0</v>
      </c>
      <c r="G351" s="52">
        <v>0</v>
      </c>
      <c r="H351" s="315">
        <f t="shared" si="87"/>
        <v>0</v>
      </c>
      <c r="I351" s="52">
        <v>0</v>
      </c>
      <c r="J351" s="52">
        <v>0</v>
      </c>
      <c r="K351" s="315">
        <f t="shared" si="94"/>
        <v>0</v>
      </c>
      <c r="L351" s="52">
        <v>0</v>
      </c>
      <c r="M351" s="320">
        <f t="shared" si="88"/>
        <v>0</v>
      </c>
      <c r="N351" s="65">
        <v>12300</v>
      </c>
      <c r="O351" s="52">
        <v>12300</v>
      </c>
      <c r="P351" s="315">
        <f t="shared" si="89"/>
        <v>0</v>
      </c>
      <c r="Q351" s="39"/>
      <c r="R351" s="40"/>
      <c r="S351" s="40"/>
      <c r="T351" s="214"/>
      <c r="U351" s="214"/>
      <c r="V351" s="231"/>
      <c r="W351" s="231"/>
      <c r="X351" s="231"/>
      <c r="Y351" s="231"/>
      <c r="Z351" s="231"/>
      <c r="AA351" s="231"/>
      <c r="AB351" s="231"/>
      <c r="AC351" s="231"/>
      <c r="AD351" s="231"/>
      <c r="AE351" s="231"/>
      <c r="AF351" s="231"/>
      <c r="AG351" s="231"/>
      <c r="AH351" s="231"/>
      <c r="AI351" s="231"/>
      <c r="AJ351" s="231"/>
      <c r="AK351" s="231"/>
      <c r="AL351" s="231"/>
      <c r="AM351" s="231"/>
      <c r="AN351" s="231"/>
      <c r="AO351" s="231"/>
      <c r="AP351" s="231"/>
      <c r="AQ351" s="231"/>
      <c r="AR351" s="231"/>
    </row>
    <row r="352" spans="1:44" s="31" customFormat="1" x14ac:dyDescent="0.2">
      <c r="A352" s="84" t="s">
        <v>52</v>
      </c>
      <c r="B352" s="54" t="s">
        <v>451</v>
      </c>
      <c r="C352" s="60"/>
      <c r="D352" s="60"/>
      <c r="E352" s="60"/>
      <c r="F352" s="52">
        <f>F353+F357+F376+F379</f>
        <v>8443.5</v>
      </c>
      <c r="G352" s="52">
        <f>G353+G357+G376+G379</f>
        <v>8443.5</v>
      </c>
      <c r="H352" s="315">
        <f t="shared" si="87"/>
        <v>0</v>
      </c>
      <c r="I352" s="52">
        <f>I353+I357+I376+I379</f>
        <v>7763.5</v>
      </c>
      <c r="J352" s="52">
        <f>J353+J357+J376+J379</f>
        <v>8443.5</v>
      </c>
      <c r="K352" s="315">
        <f t="shared" si="94"/>
        <v>0</v>
      </c>
      <c r="L352" s="52">
        <f>L353+L357+L376+L379</f>
        <v>7763.5</v>
      </c>
      <c r="M352" s="320">
        <f t="shared" si="88"/>
        <v>0</v>
      </c>
      <c r="N352" s="65">
        <f>N353+N357+N376+N379</f>
        <v>8263.5</v>
      </c>
      <c r="O352" s="52">
        <f>O353+O357+O376+O379</f>
        <v>8263.5</v>
      </c>
      <c r="P352" s="315">
        <f t="shared" si="89"/>
        <v>0</v>
      </c>
      <c r="Q352" s="39"/>
      <c r="R352" s="40"/>
      <c r="S352" s="40"/>
      <c r="T352" s="214"/>
      <c r="U352" s="214"/>
      <c r="V352" s="231"/>
      <c r="W352" s="231"/>
      <c r="X352" s="231"/>
      <c r="Y352" s="231"/>
      <c r="Z352" s="231"/>
      <c r="AA352" s="231"/>
      <c r="AB352" s="231"/>
      <c r="AC352" s="231"/>
      <c r="AD352" s="231"/>
      <c r="AE352" s="231"/>
      <c r="AF352" s="231"/>
      <c r="AG352" s="231"/>
      <c r="AH352" s="231"/>
      <c r="AI352" s="231"/>
      <c r="AJ352" s="231"/>
      <c r="AK352" s="231"/>
      <c r="AL352" s="231"/>
      <c r="AM352" s="231"/>
      <c r="AN352" s="231"/>
      <c r="AO352" s="231"/>
      <c r="AP352" s="231"/>
      <c r="AQ352" s="231"/>
      <c r="AR352" s="231"/>
    </row>
    <row r="353" spans="1:44" s="31" customFormat="1" ht="25.5" x14ac:dyDescent="0.2">
      <c r="A353" s="66" t="s">
        <v>631</v>
      </c>
      <c r="B353" s="54" t="s">
        <v>630</v>
      </c>
      <c r="C353" s="60"/>
      <c r="D353" s="60"/>
      <c r="E353" s="60"/>
      <c r="F353" s="52">
        <f>F354</f>
        <v>852.8</v>
      </c>
      <c r="G353" s="52">
        <f>G354</f>
        <v>852.8</v>
      </c>
      <c r="H353" s="315">
        <f t="shared" si="87"/>
        <v>0</v>
      </c>
      <c r="I353" s="52">
        <f>I354</f>
        <v>852.8</v>
      </c>
      <c r="J353" s="52">
        <f>J354</f>
        <v>852.8</v>
      </c>
      <c r="K353" s="315">
        <f t="shared" si="94"/>
        <v>0</v>
      </c>
      <c r="L353" s="52">
        <f>L354</f>
        <v>852.8</v>
      </c>
      <c r="M353" s="320">
        <f t="shared" si="88"/>
        <v>0</v>
      </c>
      <c r="N353" s="65">
        <f>N354</f>
        <v>852.8</v>
      </c>
      <c r="O353" s="52">
        <f>O354</f>
        <v>852.8</v>
      </c>
      <c r="P353" s="315">
        <f t="shared" si="89"/>
        <v>0</v>
      </c>
      <c r="Q353" s="39"/>
      <c r="R353" s="40"/>
      <c r="S353" s="40"/>
      <c r="T353" s="214"/>
      <c r="U353" s="214"/>
      <c r="V353" s="231"/>
      <c r="W353" s="231"/>
      <c r="X353" s="231"/>
      <c r="Y353" s="231"/>
      <c r="Z353" s="231"/>
      <c r="AA353" s="231"/>
      <c r="AB353" s="231"/>
      <c r="AC353" s="231"/>
      <c r="AD353" s="231"/>
      <c r="AE353" s="231"/>
      <c r="AF353" s="231"/>
      <c r="AG353" s="231"/>
      <c r="AH353" s="231"/>
      <c r="AI353" s="231"/>
      <c r="AJ353" s="231"/>
      <c r="AK353" s="231"/>
      <c r="AL353" s="231"/>
      <c r="AM353" s="231"/>
      <c r="AN353" s="231"/>
      <c r="AO353" s="231"/>
      <c r="AP353" s="231"/>
      <c r="AQ353" s="231"/>
      <c r="AR353" s="231"/>
    </row>
    <row r="354" spans="1:44" s="31" customFormat="1" ht="63.75" x14ac:dyDescent="0.2">
      <c r="A354" s="84" t="s">
        <v>629</v>
      </c>
      <c r="B354" s="54" t="s">
        <v>628</v>
      </c>
      <c r="C354" s="60" t="s">
        <v>45</v>
      </c>
      <c r="D354" s="60" t="s">
        <v>108</v>
      </c>
      <c r="E354" s="60"/>
      <c r="F354" s="52">
        <f>F355+F356</f>
        <v>852.8</v>
      </c>
      <c r="G354" s="52">
        <f>G355+G356</f>
        <v>852.8</v>
      </c>
      <c r="H354" s="315">
        <f t="shared" si="87"/>
        <v>0</v>
      </c>
      <c r="I354" s="52">
        <f>I355+I356</f>
        <v>852.8</v>
      </c>
      <c r="J354" s="52">
        <f>J355+J356</f>
        <v>852.8</v>
      </c>
      <c r="K354" s="315">
        <f t="shared" si="94"/>
        <v>0</v>
      </c>
      <c r="L354" s="52">
        <f>L355+L356</f>
        <v>852.8</v>
      </c>
      <c r="M354" s="320">
        <f t="shared" si="88"/>
        <v>0</v>
      </c>
      <c r="N354" s="65">
        <f>N355+N356</f>
        <v>852.8</v>
      </c>
      <c r="O354" s="52">
        <f>O355+O356</f>
        <v>852.8</v>
      </c>
      <c r="P354" s="315">
        <f t="shared" si="89"/>
        <v>0</v>
      </c>
      <c r="Q354" s="39"/>
      <c r="R354" s="40"/>
      <c r="S354" s="40"/>
      <c r="T354" s="214"/>
      <c r="U354" s="214"/>
      <c r="V354" s="231"/>
      <c r="W354" s="231"/>
      <c r="X354" s="231"/>
      <c r="Y354" s="231"/>
      <c r="Z354" s="231"/>
      <c r="AA354" s="231"/>
      <c r="AB354" s="231"/>
      <c r="AC354" s="231"/>
      <c r="AD354" s="231"/>
      <c r="AE354" s="231"/>
      <c r="AF354" s="231"/>
      <c r="AG354" s="231"/>
      <c r="AH354" s="231"/>
      <c r="AI354" s="231"/>
      <c r="AJ354" s="231"/>
      <c r="AK354" s="231"/>
      <c r="AL354" s="231"/>
      <c r="AM354" s="231"/>
      <c r="AN354" s="231"/>
      <c r="AO354" s="231"/>
      <c r="AP354" s="231"/>
      <c r="AQ354" s="231"/>
      <c r="AR354" s="231"/>
    </row>
    <row r="355" spans="1:44" s="31" customFormat="1" x14ac:dyDescent="0.2">
      <c r="A355" s="84" t="s">
        <v>84</v>
      </c>
      <c r="B355" s="54" t="s">
        <v>628</v>
      </c>
      <c r="C355" s="60" t="s">
        <v>45</v>
      </c>
      <c r="D355" s="60" t="s">
        <v>108</v>
      </c>
      <c r="E355" s="60" t="s">
        <v>83</v>
      </c>
      <c r="F355" s="52">
        <v>676.1</v>
      </c>
      <c r="G355" s="52">
        <v>676.1</v>
      </c>
      <c r="H355" s="315">
        <f t="shared" si="87"/>
        <v>0</v>
      </c>
      <c r="I355" s="52">
        <v>676.1</v>
      </c>
      <c r="J355" s="52">
        <v>676.1</v>
      </c>
      <c r="K355" s="315">
        <f t="shared" si="94"/>
        <v>0</v>
      </c>
      <c r="L355" s="52">
        <v>676.1</v>
      </c>
      <c r="M355" s="320">
        <f t="shared" si="88"/>
        <v>0</v>
      </c>
      <c r="N355" s="65">
        <v>676.1</v>
      </c>
      <c r="O355" s="52">
        <v>676.1</v>
      </c>
      <c r="P355" s="315">
        <f t="shared" si="89"/>
        <v>0</v>
      </c>
      <c r="Q355" s="39"/>
      <c r="R355" s="40"/>
      <c r="S355" s="40"/>
      <c r="T355" s="214"/>
      <c r="U355" s="214"/>
      <c r="V355" s="231"/>
      <c r="W355" s="231"/>
      <c r="X355" s="231"/>
      <c r="Y355" s="231"/>
      <c r="Z355" s="231"/>
      <c r="AA355" s="231"/>
      <c r="AB355" s="231"/>
      <c r="AC355" s="231"/>
      <c r="AD355" s="231"/>
      <c r="AE355" s="231"/>
      <c r="AF355" s="231"/>
      <c r="AG355" s="231"/>
      <c r="AH355" s="231"/>
      <c r="AI355" s="231"/>
      <c r="AJ355" s="231"/>
      <c r="AK355" s="231"/>
      <c r="AL355" s="231"/>
      <c r="AM355" s="231"/>
      <c r="AN355" s="231"/>
      <c r="AO355" s="231"/>
      <c r="AP355" s="231"/>
      <c r="AQ355" s="231"/>
      <c r="AR355" s="231"/>
    </row>
    <row r="356" spans="1:44" s="31" customFormat="1" ht="25.5" x14ac:dyDescent="0.2">
      <c r="A356" s="84" t="s">
        <v>73</v>
      </c>
      <c r="B356" s="54" t="s">
        <v>628</v>
      </c>
      <c r="C356" s="60" t="s">
        <v>45</v>
      </c>
      <c r="D356" s="60" t="s">
        <v>108</v>
      </c>
      <c r="E356" s="60" t="s">
        <v>70</v>
      </c>
      <c r="F356" s="52">
        <f>176.7</f>
        <v>176.7</v>
      </c>
      <c r="G356" s="52">
        <f>176.7</f>
        <v>176.7</v>
      </c>
      <c r="H356" s="315">
        <f t="shared" si="87"/>
        <v>0</v>
      </c>
      <c r="I356" s="52">
        <f>176.7</f>
        <v>176.7</v>
      </c>
      <c r="J356" s="52">
        <f>176.7</f>
        <v>176.7</v>
      </c>
      <c r="K356" s="315">
        <f t="shared" si="94"/>
        <v>0</v>
      </c>
      <c r="L356" s="52">
        <f>176.7</f>
        <v>176.7</v>
      </c>
      <c r="M356" s="320">
        <f t="shared" si="88"/>
        <v>0</v>
      </c>
      <c r="N356" s="65">
        <f>176.7</f>
        <v>176.7</v>
      </c>
      <c r="O356" s="52">
        <f>176.7</f>
        <v>176.7</v>
      </c>
      <c r="P356" s="315">
        <f t="shared" si="89"/>
        <v>0</v>
      </c>
      <c r="Q356" s="39"/>
      <c r="R356" s="40"/>
      <c r="S356" s="40"/>
      <c r="T356" s="214"/>
      <c r="U356" s="214"/>
      <c r="V356" s="231"/>
      <c r="W356" s="231"/>
      <c r="X356" s="231"/>
      <c r="Y356" s="231"/>
      <c r="Z356" s="231"/>
      <c r="AA356" s="231"/>
      <c r="AB356" s="231"/>
      <c r="AC356" s="231"/>
      <c r="AD356" s="231"/>
      <c r="AE356" s="231"/>
      <c r="AF356" s="231"/>
      <c r="AG356" s="231"/>
      <c r="AH356" s="231"/>
      <c r="AI356" s="231"/>
      <c r="AJ356" s="231"/>
      <c r="AK356" s="231"/>
      <c r="AL356" s="231"/>
      <c r="AM356" s="231"/>
      <c r="AN356" s="231"/>
      <c r="AO356" s="231"/>
      <c r="AP356" s="231"/>
      <c r="AQ356" s="231"/>
      <c r="AR356" s="231"/>
    </row>
    <row r="357" spans="1:44" s="31" customFormat="1" ht="25.5" x14ac:dyDescent="0.2">
      <c r="A357" s="84" t="s">
        <v>450</v>
      </c>
      <c r="B357" s="54" t="s">
        <v>449</v>
      </c>
      <c r="C357" s="60"/>
      <c r="D357" s="60"/>
      <c r="E357" s="60"/>
      <c r="F357" s="52">
        <f>F369+F364+F366+F362+F358+F360+F374</f>
        <v>2154.1</v>
      </c>
      <c r="G357" s="52">
        <f>G369+G364+G366+G362+G358+G360+G374</f>
        <v>2154.1</v>
      </c>
      <c r="H357" s="315">
        <f t="shared" si="87"/>
        <v>0</v>
      </c>
      <c r="I357" s="52">
        <f>I369+I364+I366+I362+I358+I360+I374</f>
        <v>1484.1</v>
      </c>
      <c r="J357" s="52">
        <f>J369+J364+J366+J362+J358+J360+J374</f>
        <v>2154.1</v>
      </c>
      <c r="K357" s="315">
        <f t="shared" si="94"/>
        <v>0</v>
      </c>
      <c r="L357" s="52">
        <f>L369+L364+L366+L362+L358+L360+L374</f>
        <v>1484.1</v>
      </c>
      <c r="M357" s="320">
        <f t="shared" si="88"/>
        <v>0</v>
      </c>
      <c r="N357" s="65">
        <f>N369+N364+N366+N362+N358+N360+N374</f>
        <v>1984.1</v>
      </c>
      <c r="O357" s="52">
        <f>O369+O364+O366+O362+O358+O360+O374</f>
        <v>1984.1</v>
      </c>
      <c r="P357" s="315">
        <f t="shared" si="89"/>
        <v>0</v>
      </c>
      <c r="Q357" s="39"/>
      <c r="R357" s="40"/>
      <c r="S357" s="40"/>
      <c r="T357" s="214"/>
      <c r="U357" s="214"/>
      <c r="V357" s="231"/>
      <c r="W357" s="231"/>
      <c r="X357" s="231"/>
      <c r="Y357" s="231"/>
      <c r="Z357" s="231"/>
      <c r="AA357" s="231"/>
      <c r="AB357" s="231"/>
      <c r="AC357" s="231"/>
      <c r="AD357" s="231"/>
      <c r="AE357" s="231"/>
      <c r="AF357" s="231"/>
      <c r="AG357" s="231"/>
      <c r="AH357" s="231"/>
      <c r="AI357" s="231"/>
      <c r="AJ357" s="231"/>
      <c r="AK357" s="231"/>
      <c r="AL357" s="231"/>
      <c r="AM357" s="231"/>
      <c r="AN357" s="231"/>
      <c r="AO357" s="231"/>
      <c r="AP357" s="231"/>
      <c r="AQ357" s="231"/>
      <c r="AR357" s="231"/>
    </row>
    <row r="358" spans="1:44" s="31" customFormat="1" ht="38.25" x14ac:dyDescent="0.2">
      <c r="A358" s="84" t="s">
        <v>1094</v>
      </c>
      <c r="B358" s="54" t="s">
        <v>527</v>
      </c>
      <c r="C358" s="60" t="s">
        <v>111</v>
      </c>
      <c r="D358" s="60" t="s">
        <v>160</v>
      </c>
      <c r="E358" s="60"/>
      <c r="F358" s="52">
        <f>F359</f>
        <v>140.30000000000001</v>
      </c>
      <c r="G358" s="52">
        <f>G359</f>
        <v>140.30000000000001</v>
      </c>
      <c r="H358" s="315">
        <f t="shared" si="87"/>
        <v>0</v>
      </c>
      <c r="I358" s="52">
        <f>I359</f>
        <v>140.30000000000001</v>
      </c>
      <c r="J358" s="52">
        <f>J359</f>
        <v>140.30000000000001</v>
      </c>
      <c r="K358" s="315">
        <f t="shared" si="94"/>
        <v>0</v>
      </c>
      <c r="L358" s="52">
        <f>L359</f>
        <v>140.30000000000001</v>
      </c>
      <c r="M358" s="320">
        <f t="shared" si="88"/>
        <v>0</v>
      </c>
      <c r="N358" s="65">
        <f>N359</f>
        <v>140.30000000000001</v>
      </c>
      <c r="O358" s="52">
        <f>O359</f>
        <v>140.30000000000001</v>
      </c>
      <c r="P358" s="315">
        <f t="shared" si="89"/>
        <v>0</v>
      </c>
      <c r="Q358" s="39"/>
      <c r="R358" s="40"/>
      <c r="S358" s="40"/>
      <c r="T358" s="214"/>
      <c r="U358" s="214"/>
      <c r="V358" s="231"/>
      <c r="W358" s="231"/>
      <c r="X358" s="231"/>
      <c r="Y358" s="231"/>
      <c r="Z358" s="231"/>
      <c r="AA358" s="231"/>
      <c r="AB358" s="231"/>
      <c r="AC358" s="231"/>
      <c r="AD358" s="231"/>
      <c r="AE358" s="231"/>
      <c r="AF358" s="231"/>
      <c r="AG358" s="231"/>
      <c r="AH358" s="231"/>
      <c r="AI358" s="231"/>
      <c r="AJ358" s="231"/>
      <c r="AK358" s="231"/>
      <c r="AL358" s="231"/>
      <c r="AM358" s="231"/>
      <c r="AN358" s="231"/>
      <c r="AO358" s="231"/>
      <c r="AP358" s="231"/>
      <c r="AQ358" s="231"/>
      <c r="AR358" s="231"/>
    </row>
    <row r="359" spans="1:44" s="31" customFormat="1" ht="25.5" x14ac:dyDescent="0.2">
      <c r="A359" s="84" t="s">
        <v>73</v>
      </c>
      <c r="B359" s="54" t="s">
        <v>527</v>
      </c>
      <c r="C359" s="60" t="s">
        <v>111</v>
      </c>
      <c r="D359" s="60" t="s">
        <v>160</v>
      </c>
      <c r="E359" s="60" t="s">
        <v>70</v>
      </c>
      <c r="F359" s="52">
        <v>140.30000000000001</v>
      </c>
      <c r="G359" s="52">
        <v>140.30000000000001</v>
      </c>
      <c r="H359" s="315">
        <f t="shared" si="87"/>
        <v>0</v>
      </c>
      <c r="I359" s="52">
        <v>140.30000000000001</v>
      </c>
      <c r="J359" s="52">
        <v>140.30000000000001</v>
      </c>
      <c r="K359" s="315">
        <f t="shared" si="94"/>
        <v>0</v>
      </c>
      <c r="L359" s="52">
        <v>140.30000000000001</v>
      </c>
      <c r="M359" s="320">
        <f t="shared" si="88"/>
        <v>0</v>
      </c>
      <c r="N359" s="65">
        <v>140.30000000000001</v>
      </c>
      <c r="O359" s="52">
        <v>140.30000000000001</v>
      </c>
      <c r="P359" s="315">
        <f t="shared" si="89"/>
        <v>0</v>
      </c>
      <c r="Q359" s="39"/>
      <c r="R359" s="40"/>
      <c r="S359" s="40"/>
      <c r="T359" s="214"/>
      <c r="U359" s="214"/>
      <c r="V359" s="231"/>
      <c r="W359" s="231"/>
      <c r="X359" s="231"/>
      <c r="Y359" s="231"/>
      <c r="Z359" s="231"/>
      <c r="AA359" s="231"/>
      <c r="AB359" s="231"/>
      <c r="AC359" s="231"/>
      <c r="AD359" s="231"/>
      <c r="AE359" s="231"/>
      <c r="AF359" s="231"/>
      <c r="AG359" s="231"/>
      <c r="AH359" s="231"/>
      <c r="AI359" s="231"/>
      <c r="AJ359" s="231"/>
      <c r="AK359" s="231"/>
      <c r="AL359" s="231"/>
      <c r="AM359" s="231"/>
      <c r="AN359" s="231"/>
      <c r="AO359" s="231"/>
      <c r="AP359" s="231"/>
      <c r="AQ359" s="231"/>
      <c r="AR359" s="231"/>
    </row>
    <row r="360" spans="1:44" s="31" customFormat="1" x14ac:dyDescent="0.2">
      <c r="A360" s="146" t="s">
        <v>526</v>
      </c>
      <c r="B360" s="54" t="s">
        <v>525</v>
      </c>
      <c r="C360" s="60" t="s">
        <v>111</v>
      </c>
      <c r="D360" s="60" t="s">
        <v>160</v>
      </c>
      <c r="E360" s="60"/>
      <c r="F360" s="52">
        <f>F361</f>
        <v>883.8</v>
      </c>
      <c r="G360" s="52">
        <f>G361</f>
        <v>883.8</v>
      </c>
      <c r="H360" s="315">
        <f t="shared" si="87"/>
        <v>0</v>
      </c>
      <c r="I360" s="52">
        <f>I361</f>
        <v>883.8</v>
      </c>
      <c r="J360" s="52">
        <f>J361</f>
        <v>1037.5999999999999</v>
      </c>
      <c r="K360" s="315">
        <f t="shared" si="94"/>
        <v>153.79999999999995</v>
      </c>
      <c r="L360" s="52">
        <f>L361</f>
        <v>883.8</v>
      </c>
      <c r="M360" s="320">
        <f t="shared" si="88"/>
        <v>0</v>
      </c>
      <c r="N360" s="65">
        <f>N361</f>
        <v>883.8</v>
      </c>
      <c r="O360" s="52">
        <f>O361</f>
        <v>883.8</v>
      </c>
      <c r="P360" s="315">
        <f t="shared" si="89"/>
        <v>0</v>
      </c>
      <c r="Q360" s="39"/>
      <c r="R360" s="40"/>
      <c r="S360" s="40"/>
      <c r="T360" s="214"/>
      <c r="U360" s="214"/>
      <c r="V360" s="231"/>
      <c r="W360" s="231"/>
      <c r="X360" s="231"/>
      <c r="Y360" s="231"/>
      <c r="Z360" s="231"/>
      <c r="AA360" s="231"/>
      <c r="AB360" s="231"/>
      <c r="AC360" s="231"/>
      <c r="AD360" s="231"/>
      <c r="AE360" s="231"/>
      <c r="AF360" s="231"/>
      <c r="AG360" s="231"/>
      <c r="AH360" s="231"/>
      <c r="AI360" s="231"/>
      <c r="AJ360" s="231"/>
      <c r="AK360" s="231"/>
      <c r="AL360" s="231"/>
      <c r="AM360" s="231"/>
      <c r="AN360" s="231"/>
      <c r="AO360" s="231"/>
      <c r="AP360" s="231"/>
      <c r="AQ360" s="231"/>
      <c r="AR360" s="231"/>
    </row>
    <row r="361" spans="1:44" s="31" customFormat="1" ht="25.5" x14ac:dyDescent="0.2">
      <c r="A361" s="84" t="s">
        <v>73</v>
      </c>
      <c r="B361" s="54" t="s">
        <v>525</v>
      </c>
      <c r="C361" s="60" t="s">
        <v>111</v>
      </c>
      <c r="D361" s="60" t="s">
        <v>160</v>
      </c>
      <c r="E361" s="60" t="s">
        <v>70</v>
      </c>
      <c r="F361" s="52">
        <v>883.8</v>
      </c>
      <c r="G361" s="52">
        <v>883.8</v>
      </c>
      <c r="H361" s="315">
        <f t="shared" si="87"/>
        <v>0</v>
      </c>
      <c r="I361" s="52">
        <v>883.8</v>
      </c>
      <c r="J361" s="52">
        <f>883.8+153.8</f>
        <v>1037.5999999999999</v>
      </c>
      <c r="K361" s="315">
        <f t="shared" si="94"/>
        <v>153.79999999999995</v>
      </c>
      <c r="L361" s="52">
        <v>883.8</v>
      </c>
      <c r="M361" s="320">
        <f t="shared" si="88"/>
        <v>0</v>
      </c>
      <c r="N361" s="65">
        <v>883.8</v>
      </c>
      <c r="O361" s="52">
        <v>883.8</v>
      </c>
      <c r="P361" s="315">
        <f t="shared" si="89"/>
        <v>0</v>
      </c>
      <c r="Q361" s="39"/>
      <c r="R361" s="40"/>
      <c r="S361" s="40"/>
      <c r="T361" s="214"/>
      <c r="U361" s="214"/>
      <c r="V361" s="231"/>
      <c r="W361" s="231"/>
      <c r="X361" s="231"/>
      <c r="Y361" s="231"/>
      <c r="Z361" s="231"/>
      <c r="AA361" s="231"/>
      <c r="AB361" s="231"/>
      <c r="AC361" s="231"/>
      <c r="AD361" s="231"/>
      <c r="AE361" s="231"/>
      <c r="AF361" s="231"/>
      <c r="AG361" s="231"/>
      <c r="AH361" s="231"/>
      <c r="AI361" s="231"/>
      <c r="AJ361" s="231"/>
      <c r="AK361" s="231"/>
      <c r="AL361" s="231"/>
      <c r="AM361" s="231"/>
      <c r="AN361" s="231"/>
      <c r="AO361" s="231"/>
      <c r="AP361" s="231"/>
      <c r="AQ361" s="231"/>
      <c r="AR361" s="231"/>
    </row>
    <row r="362" spans="1:44" s="31" customFormat="1" ht="38.25" x14ac:dyDescent="0.2">
      <c r="A362" s="84" t="s">
        <v>524</v>
      </c>
      <c r="B362" s="54" t="s">
        <v>523</v>
      </c>
      <c r="C362" s="60" t="s">
        <v>111</v>
      </c>
      <c r="D362" s="60" t="s">
        <v>160</v>
      </c>
      <c r="E362" s="60"/>
      <c r="F362" s="52">
        <f>F363</f>
        <v>500</v>
      </c>
      <c r="G362" s="52">
        <f>G363</f>
        <v>500</v>
      </c>
      <c r="H362" s="315">
        <f t="shared" si="87"/>
        <v>0</v>
      </c>
      <c r="I362" s="52">
        <f>I363</f>
        <v>0</v>
      </c>
      <c r="J362" s="52">
        <f>J363</f>
        <v>346.2</v>
      </c>
      <c r="K362" s="315">
        <f t="shared" si="94"/>
        <v>-153.80000000000001</v>
      </c>
      <c r="L362" s="52">
        <f>L363</f>
        <v>0</v>
      </c>
      <c r="M362" s="320">
        <f t="shared" si="88"/>
        <v>0</v>
      </c>
      <c r="N362" s="65">
        <f>N363</f>
        <v>500</v>
      </c>
      <c r="O362" s="52">
        <f>O363</f>
        <v>500</v>
      </c>
      <c r="P362" s="315">
        <f t="shared" si="89"/>
        <v>0</v>
      </c>
      <c r="Q362" s="39"/>
      <c r="R362" s="40"/>
      <c r="S362" s="40"/>
      <c r="T362" s="214"/>
      <c r="U362" s="214"/>
      <c r="V362" s="231"/>
      <c r="W362" s="231"/>
      <c r="X362" s="231"/>
      <c r="Y362" s="231"/>
      <c r="Z362" s="231"/>
      <c r="AA362" s="231"/>
      <c r="AB362" s="231"/>
      <c r="AC362" s="231"/>
      <c r="AD362" s="231"/>
      <c r="AE362" s="231"/>
      <c r="AF362" s="231"/>
      <c r="AG362" s="231"/>
      <c r="AH362" s="231"/>
      <c r="AI362" s="231"/>
      <c r="AJ362" s="231"/>
      <c r="AK362" s="231"/>
      <c r="AL362" s="231"/>
      <c r="AM362" s="231"/>
      <c r="AN362" s="231"/>
      <c r="AO362" s="231"/>
      <c r="AP362" s="231"/>
      <c r="AQ362" s="231"/>
      <c r="AR362" s="231"/>
    </row>
    <row r="363" spans="1:44" s="31" customFormat="1" ht="30.75" customHeight="1" x14ac:dyDescent="0.2">
      <c r="A363" s="137" t="s">
        <v>73</v>
      </c>
      <c r="B363" s="54" t="s">
        <v>523</v>
      </c>
      <c r="C363" s="60" t="s">
        <v>111</v>
      </c>
      <c r="D363" s="60" t="s">
        <v>160</v>
      </c>
      <c r="E363" s="60" t="s">
        <v>70</v>
      </c>
      <c r="F363" s="52">
        <v>500</v>
      </c>
      <c r="G363" s="52">
        <v>500</v>
      </c>
      <c r="H363" s="315">
        <f t="shared" si="87"/>
        <v>0</v>
      </c>
      <c r="I363" s="52">
        <v>0</v>
      </c>
      <c r="J363" s="52">
        <f>500-153.8</f>
        <v>346.2</v>
      </c>
      <c r="K363" s="315">
        <f t="shared" si="94"/>
        <v>-153.80000000000001</v>
      </c>
      <c r="L363" s="52">
        <v>0</v>
      </c>
      <c r="M363" s="320">
        <f t="shared" si="88"/>
        <v>0</v>
      </c>
      <c r="N363" s="65">
        <v>500</v>
      </c>
      <c r="O363" s="52">
        <v>500</v>
      </c>
      <c r="P363" s="315">
        <f t="shared" si="89"/>
        <v>0</v>
      </c>
      <c r="Q363" s="426"/>
      <c r="R363" s="426"/>
      <c r="S363" s="426"/>
      <c r="T363" s="426"/>
      <c r="U363" s="426"/>
      <c r="V363" s="426"/>
      <c r="W363" s="231"/>
      <c r="X363" s="231"/>
      <c r="Y363" s="231"/>
      <c r="Z363" s="231"/>
      <c r="AA363" s="231"/>
      <c r="AB363" s="231"/>
      <c r="AC363" s="231"/>
      <c r="AD363" s="231"/>
      <c r="AE363" s="231"/>
      <c r="AF363" s="231"/>
      <c r="AG363" s="231"/>
      <c r="AH363" s="231"/>
      <c r="AI363" s="231"/>
      <c r="AJ363" s="231"/>
      <c r="AK363" s="231"/>
      <c r="AL363" s="231"/>
      <c r="AM363" s="231"/>
      <c r="AN363" s="231"/>
      <c r="AO363" s="231"/>
      <c r="AP363" s="231"/>
      <c r="AQ363" s="231"/>
      <c r="AR363" s="231"/>
    </row>
    <row r="364" spans="1:44" s="31" customFormat="1" ht="51" x14ac:dyDescent="0.2">
      <c r="A364" s="84" t="s">
        <v>493</v>
      </c>
      <c r="B364" s="54" t="s">
        <v>492</v>
      </c>
      <c r="C364" s="60" t="s">
        <v>111</v>
      </c>
      <c r="D364" s="60" t="s">
        <v>489</v>
      </c>
      <c r="E364" s="60"/>
      <c r="F364" s="52">
        <f>F365</f>
        <v>80</v>
      </c>
      <c r="G364" s="52">
        <f>G365</f>
        <v>80</v>
      </c>
      <c r="H364" s="315">
        <f t="shared" si="87"/>
        <v>0</v>
      </c>
      <c r="I364" s="52">
        <f>I365</f>
        <v>20</v>
      </c>
      <c r="J364" s="52">
        <f>J365</f>
        <v>80</v>
      </c>
      <c r="K364" s="315">
        <f t="shared" si="94"/>
        <v>0</v>
      </c>
      <c r="L364" s="52">
        <f>L365</f>
        <v>20</v>
      </c>
      <c r="M364" s="320">
        <f t="shared" si="88"/>
        <v>0</v>
      </c>
      <c r="N364" s="65">
        <f>N365</f>
        <v>20</v>
      </c>
      <c r="O364" s="52">
        <f>O365</f>
        <v>20</v>
      </c>
      <c r="P364" s="315">
        <f t="shared" si="89"/>
        <v>0</v>
      </c>
      <c r="Q364" s="39"/>
      <c r="R364" s="40"/>
      <c r="S364" s="40"/>
      <c r="T364" s="214"/>
      <c r="U364" s="214"/>
      <c r="V364" s="231"/>
      <c r="W364" s="231"/>
      <c r="X364" s="231"/>
      <c r="Y364" s="231"/>
      <c r="Z364" s="231"/>
      <c r="AA364" s="231"/>
      <c r="AB364" s="231"/>
      <c r="AC364" s="231"/>
      <c r="AD364" s="231"/>
      <c r="AE364" s="231"/>
      <c r="AF364" s="231"/>
      <c r="AG364" s="231"/>
      <c r="AH364" s="231"/>
      <c r="AI364" s="231"/>
      <c r="AJ364" s="231"/>
      <c r="AK364" s="231"/>
      <c r="AL364" s="231"/>
      <c r="AM364" s="231"/>
      <c r="AN364" s="231"/>
      <c r="AO364" s="231"/>
      <c r="AP364" s="231"/>
      <c r="AQ364" s="231"/>
      <c r="AR364" s="231"/>
    </row>
    <row r="365" spans="1:44" s="31" customFormat="1" ht="25.5" x14ac:dyDescent="0.2">
      <c r="A365" s="137" t="s">
        <v>73</v>
      </c>
      <c r="B365" s="54" t="s">
        <v>492</v>
      </c>
      <c r="C365" s="60" t="s">
        <v>111</v>
      </c>
      <c r="D365" s="60" t="s">
        <v>489</v>
      </c>
      <c r="E365" s="60" t="s">
        <v>70</v>
      </c>
      <c r="F365" s="52">
        <v>80</v>
      </c>
      <c r="G365" s="52">
        <v>80</v>
      </c>
      <c r="H365" s="315">
        <f t="shared" si="87"/>
        <v>0</v>
      </c>
      <c r="I365" s="52">
        <v>20</v>
      </c>
      <c r="J365" s="52">
        <v>80</v>
      </c>
      <c r="K365" s="315">
        <f t="shared" si="94"/>
        <v>0</v>
      </c>
      <c r="L365" s="52">
        <v>20</v>
      </c>
      <c r="M365" s="320">
        <f t="shared" si="88"/>
        <v>0</v>
      </c>
      <c r="N365" s="65">
        <v>20</v>
      </c>
      <c r="O365" s="52">
        <v>20</v>
      </c>
      <c r="P365" s="315">
        <f t="shared" si="89"/>
        <v>0</v>
      </c>
      <c r="Q365" s="39"/>
      <c r="R365" s="40"/>
      <c r="S365" s="40"/>
      <c r="T365" s="214"/>
      <c r="U365" s="214"/>
      <c r="V365" s="231"/>
      <c r="W365" s="231"/>
      <c r="X365" s="231"/>
      <c r="Y365" s="231"/>
      <c r="Z365" s="231"/>
      <c r="AA365" s="231"/>
      <c r="AB365" s="231"/>
      <c r="AC365" s="231"/>
      <c r="AD365" s="231"/>
      <c r="AE365" s="231"/>
      <c r="AF365" s="231"/>
      <c r="AG365" s="231"/>
      <c r="AH365" s="231"/>
      <c r="AI365" s="231"/>
      <c r="AJ365" s="231"/>
      <c r="AK365" s="231"/>
      <c r="AL365" s="231"/>
      <c r="AM365" s="231"/>
      <c r="AN365" s="231"/>
      <c r="AO365" s="231"/>
      <c r="AP365" s="231"/>
      <c r="AQ365" s="231"/>
      <c r="AR365" s="231"/>
    </row>
    <row r="366" spans="1:44" s="31" customFormat="1" ht="25.5" x14ac:dyDescent="0.2">
      <c r="A366" s="84" t="s">
        <v>448</v>
      </c>
      <c r="B366" s="54" t="s">
        <v>447</v>
      </c>
      <c r="C366" s="60"/>
      <c r="D366" s="60"/>
      <c r="E366" s="60"/>
      <c r="F366" s="52">
        <f>F367+F368</f>
        <v>250</v>
      </c>
      <c r="G366" s="52">
        <f>G367+G368</f>
        <v>250</v>
      </c>
      <c r="H366" s="315">
        <f t="shared" si="87"/>
        <v>0</v>
      </c>
      <c r="I366" s="52">
        <f>I367+I368</f>
        <v>250</v>
      </c>
      <c r="J366" s="52">
        <f>J367+J368</f>
        <v>250</v>
      </c>
      <c r="K366" s="315">
        <f t="shared" si="94"/>
        <v>0</v>
      </c>
      <c r="L366" s="52">
        <f>L367+L368</f>
        <v>250</v>
      </c>
      <c r="M366" s="320">
        <f t="shared" si="88"/>
        <v>0</v>
      </c>
      <c r="N366" s="65">
        <f>N367+N368</f>
        <v>250</v>
      </c>
      <c r="O366" s="52">
        <f>O367+O368</f>
        <v>250</v>
      </c>
      <c r="P366" s="315">
        <f t="shared" si="89"/>
        <v>0</v>
      </c>
      <c r="Q366" s="39"/>
      <c r="R366" s="40"/>
      <c r="S366" s="40"/>
      <c r="T366" s="214"/>
      <c r="U366" s="214"/>
      <c r="V366" s="231"/>
      <c r="W366" s="231"/>
      <c r="X366" s="231"/>
      <c r="Y366" s="231"/>
      <c r="Z366" s="231"/>
      <c r="AA366" s="231"/>
      <c r="AB366" s="231"/>
      <c r="AC366" s="231"/>
      <c r="AD366" s="231"/>
      <c r="AE366" s="231"/>
      <c r="AF366" s="231"/>
      <c r="AG366" s="231"/>
      <c r="AH366" s="231"/>
      <c r="AI366" s="231"/>
      <c r="AJ366" s="231"/>
      <c r="AK366" s="231"/>
      <c r="AL366" s="231"/>
      <c r="AM366" s="231"/>
      <c r="AN366" s="231"/>
      <c r="AO366" s="231"/>
      <c r="AP366" s="231"/>
      <c r="AQ366" s="231"/>
      <c r="AR366" s="231"/>
    </row>
    <row r="367" spans="1:44" s="31" customFormat="1" ht="28.5" customHeight="1" x14ac:dyDescent="0.2">
      <c r="A367" s="137" t="s">
        <v>73</v>
      </c>
      <c r="B367" s="54" t="s">
        <v>447</v>
      </c>
      <c r="C367" s="60" t="s">
        <v>111</v>
      </c>
      <c r="D367" s="60" t="s">
        <v>489</v>
      </c>
      <c r="E367" s="60" t="s">
        <v>70</v>
      </c>
      <c r="F367" s="52">
        <v>250</v>
      </c>
      <c r="G367" s="52">
        <v>250</v>
      </c>
      <c r="H367" s="315">
        <f t="shared" ref="H367:H431" si="96">G367-F367</f>
        <v>0</v>
      </c>
      <c r="I367" s="52">
        <v>250</v>
      </c>
      <c r="J367" s="52">
        <v>250</v>
      </c>
      <c r="K367" s="315">
        <f t="shared" si="94"/>
        <v>0</v>
      </c>
      <c r="L367" s="52">
        <v>250</v>
      </c>
      <c r="M367" s="320">
        <f t="shared" ref="M367:M431" si="97">L367-I367</f>
        <v>0</v>
      </c>
      <c r="N367" s="65">
        <v>250</v>
      </c>
      <c r="O367" s="52">
        <v>250</v>
      </c>
      <c r="P367" s="315">
        <f t="shared" ref="P367:P430" si="98">O367-N367</f>
        <v>0</v>
      </c>
      <c r="Q367" s="426"/>
      <c r="R367" s="426"/>
      <c r="S367" s="426"/>
      <c r="T367" s="426"/>
      <c r="U367" s="426"/>
      <c r="V367" s="231"/>
      <c r="W367" s="231"/>
      <c r="X367" s="231"/>
      <c r="Y367" s="231"/>
      <c r="Z367" s="231"/>
      <c r="AA367" s="231"/>
      <c r="AB367" s="231"/>
      <c r="AC367" s="231"/>
      <c r="AD367" s="231"/>
      <c r="AE367" s="231"/>
      <c r="AF367" s="231"/>
      <c r="AG367" s="231"/>
      <c r="AH367" s="231"/>
      <c r="AI367" s="231"/>
      <c r="AJ367" s="231"/>
      <c r="AK367" s="231"/>
      <c r="AL367" s="231"/>
      <c r="AM367" s="231"/>
      <c r="AN367" s="231"/>
      <c r="AO367" s="231"/>
      <c r="AP367" s="231"/>
      <c r="AQ367" s="231"/>
      <c r="AR367" s="231"/>
    </row>
    <row r="368" spans="1:44" s="31" customFormat="1" ht="25.5" hidden="1" x14ac:dyDescent="0.2">
      <c r="A368" s="137" t="s">
        <v>73</v>
      </c>
      <c r="B368" s="54" t="s">
        <v>447</v>
      </c>
      <c r="C368" s="60" t="s">
        <v>108</v>
      </c>
      <c r="D368" s="60" t="s">
        <v>160</v>
      </c>
      <c r="E368" s="60" t="s">
        <v>70</v>
      </c>
      <c r="F368" s="52">
        <f>1050-1050</f>
        <v>0</v>
      </c>
      <c r="G368" s="52">
        <f>1050-1050</f>
        <v>0</v>
      </c>
      <c r="H368" s="315">
        <f t="shared" si="96"/>
        <v>0</v>
      </c>
      <c r="I368" s="52">
        <v>0</v>
      </c>
      <c r="J368" s="52">
        <f>1050-1050</f>
        <v>0</v>
      </c>
      <c r="K368" s="315">
        <f t="shared" si="94"/>
        <v>0</v>
      </c>
      <c r="L368" s="52">
        <v>0</v>
      </c>
      <c r="M368" s="320">
        <f t="shared" si="97"/>
        <v>0</v>
      </c>
      <c r="N368" s="65">
        <v>0</v>
      </c>
      <c r="O368" s="52">
        <v>0</v>
      </c>
      <c r="P368" s="315">
        <f t="shared" si="98"/>
        <v>0</v>
      </c>
      <c r="Q368" s="39"/>
      <c r="R368" s="40"/>
      <c r="S368" s="40"/>
      <c r="T368" s="214"/>
      <c r="U368" s="214"/>
      <c r="V368" s="231"/>
      <c r="W368" s="231"/>
      <c r="X368" s="231"/>
      <c r="Y368" s="231"/>
      <c r="Z368" s="231"/>
      <c r="AA368" s="231"/>
      <c r="AB368" s="231"/>
      <c r="AC368" s="231"/>
      <c r="AD368" s="231"/>
      <c r="AE368" s="231"/>
      <c r="AF368" s="231"/>
      <c r="AG368" s="231"/>
      <c r="AH368" s="231"/>
      <c r="AI368" s="231"/>
      <c r="AJ368" s="231"/>
      <c r="AK368" s="231"/>
      <c r="AL368" s="231"/>
      <c r="AM368" s="231"/>
      <c r="AN368" s="231"/>
      <c r="AO368" s="231"/>
      <c r="AP368" s="231"/>
      <c r="AQ368" s="231"/>
      <c r="AR368" s="231"/>
    </row>
    <row r="369" spans="1:44" s="31" customFormat="1" ht="55.5" customHeight="1" x14ac:dyDescent="0.2">
      <c r="A369" s="84" t="s">
        <v>491</v>
      </c>
      <c r="B369" s="54" t="s">
        <v>488</v>
      </c>
      <c r="C369" s="60"/>
      <c r="D369" s="60"/>
      <c r="E369" s="60"/>
      <c r="F369" s="52">
        <f>F370+F373+F371+F372</f>
        <v>200</v>
      </c>
      <c r="G369" s="52">
        <f>G370+G373+G371+G372</f>
        <v>200</v>
      </c>
      <c r="H369" s="315">
        <f t="shared" si="96"/>
        <v>0</v>
      </c>
      <c r="I369" s="52">
        <f>I370+I373+I371+I372</f>
        <v>90</v>
      </c>
      <c r="J369" s="52">
        <f>J370+J373+J371+J372</f>
        <v>200</v>
      </c>
      <c r="K369" s="315">
        <f t="shared" si="94"/>
        <v>0</v>
      </c>
      <c r="L369" s="52">
        <f>L370+L373+L371+L372</f>
        <v>90</v>
      </c>
      <c r="M369" s="320">
        <f t="shared" si="97"/>
        <v>0</v>
      </c>
      <c r="N369" s="65">
        <f>N370+N373+N371+N372</f>
        <v>90</v>
      </c>
      <c r="O369" s="52">
        <f>O370+O373+O371+O372</f>
        <v>90</v>
      </c>
      <c r="P369" s="315">
        <f t="shared" si="98"/>
        <v>0</v>
      </c>
      <c r="Q369" s="39"/>
      <c r="R369" s="40"/>
      <c r="S369" s="40"/>
      <c r="T369" s="214"/>
      <c r="U369" s="214"/>
      <c r="V369" s="231"/>
      <c r="W369" s="231"/>
      <c r="X369" s="231"/>
      <c r="Y369" s="231"/>
      <c r="Z369" s="231"/>
      <c r="AA369" s="231"/>
      <c r="AB369" s="231"/>
      <c r="AC369" s="231"/>
      <c r="AD369" s="231"/>
      <c r="AE369" s="231"/>
      <c r="AF369" s="231"/>
      <c r="AG369" s="231"/>
      <c r="AH369" s="231"/>
      <c r="AI369" s="231"/>
      <c r="AJ369" s="231"/>
      <c r="AK369" s="231"/>
      <c r="AL369" s="231"/>
      <c r="AM369" s="231"/>
      <c r="AN369" s="231"/>
      <c r="AO369" s="231"/>
      <c r="AP369" s="231"/>
      <c r="AQ369" s="231"/>
      <c r="AR369" s="231"/>
    </row>
    <row r="370" spans="1:44" s="31" customFormat="1" ht="25.5" x14ac:dyDescent="0.2">
      <c r="A370" s="84" t="s">
        <v>73</v>
      </c>
      <c r="B370" s="54" t="s">
        <v>488</v>
      </c>
      <c r="C370" s="60" t="s">
        <v>45</v>
      </c>
      <c r="D370" s="60" t="s">
        <v>46</v>
      </c>
      <c r="E370" s="60" t="s">
        <v>70</v>
      </c>
      <c r="F370" s="52">
        <f>10+20</f>
        <v>30</v>
      </c>
      <c r="G370" s="52">
        <f>10+20</f>
        <v>30</v>
      </c>
      <c r="H370" s="315">
        <f t="shared" si="96"/>
        <v>0</v>
      </c>
      <c r="I370" s="52">
        <f>10+20</f>
        <v>30</v>
      </c>
      <c r="J370" s="52">
        <f>10+20</f>
        <v>30</v>
      </c>
      <c r="K370" s="315">
        <f t="shared" si="94"/>
        <v>0</v>
      </c>
      <c r="L370" s="52">
        <f>10+20</f>
        <v>30</v>
      </c>
      <c r="M370" s="320">
        <f t="shared" si="97"/>
        <v>0</v>
      </c>
      <c r="N370" s="65">
        <f>10+20</f>
        <v>30</v>
      </c>
      <c r="O370" s="52">
        <f>10+20</f>
        <v>30</v>
      </c>
      <c r="P370" s="315">
        <f t="shared" si="98"/>
        <v>0</v>
      </c>
      <c r="Q370" s="39"/>
      <c r="R370" s="40"/>
      <c r="S370" s="40"/>
      <c r="T370" s="214"/>
      <c r="U370" s="214"/>
      <c r="V370" s="231"/>
      <c r="W370" s="231"/>
      <c r="X370" s="231"/>
      <c r="Y370" s="231"/>
      <c r="Z370" s="231"/>
      <c r="AA370" s="231"/>
      <c r="AB370" s="231"/>
      <c r="AC370" s="231"/>
      <c r="AD370" s="231"/>
      <c r="AE370" s="231"/>
      <c r="AF370" s="231"/>
      <c r="AG370" s="231"/>
      <c r="AH370" s="231"/>
      <c r="AI370" s="231"/>
      <c r="AJ370" s="231"/>
      <c r="AK370" s="231"/>
      <c r="AL370" s="231"/>
      <c r="AM370" s="231"/>
      <c r="AN370" s="231"/>
      <c r="AO370" s="231"/>
      <c r="AP370" s="231"/>
      <c r="AQ370" s="231"/>
      <c r="AR370" s="231"/>
    </row>
    <row r="371" spans="1:44" s="31" customFormat="1" ht="25.5" x14ac:dyDescent="0.2">
      <c r="A371" s="137" t="s">
        <v>73</v>
      </c>
      <c r="B371" s="54" t="s">
        <v>488</v>
      </c>
      <c r="C371" s="60" t="s">
        <v>111</v>
      </c>
      <c r="D371" s="60" t="s">
        <v>160</v>
      </c>
      <c r="E371" s="60" t="s">
        <v>70</v>
      </c>
      <c r="F371" s="52">
        <v>90</v>
      </c>
      <c r="G371" s="52">
        <v>90</v>
      </c>
      <c r="H371" s="315">
        <f t="shared" si="96"/>
        <v>0</v>
      </c>
      <c r="I371" s="52">
        <v>20</v>
      </c>
      <c r="J371" s="52">
        <v>90</v>
      </c>
      <c r="K371" s="315">
        <f t="shared" si="94"/>
        <v>0</v>
      </c>
      <c r="L371" s="52">
        <v>20</v>
      </c>
      <c r="M371" s="320">
        <f t="shared" si="97"/>
        <v>0</v>
      </c>
      <c r="N371" s="65">
        <v>20</v>
      </c>
      <c r="O371" s="52">
        <v>20</v>
      </c>
      <c r="P371" s="315">
        <f t="shared" si="98"/>
        <v>0</v>
      </c>
      <c r="Q371" s="39"/>
      <c r="R371" s="40"/>
      <c r="S371" s="40"/>
      <c r="T371" s="214"/>
      <c r="U371" s="214"/>
      <c r="V371" s="231"/>
      <c r="W371" s="231"/>
      <c r="X371" s="231"/>
      <c r="Y371" s="231"/>
      <c r="Z371" s="231"/>
      <c r="AA371" s="231"/>
      <c r="AB371" s="231"/>
      <c r="AC371" s="231"/>
      <c r="AD371" s="231"/>
      <c r="AE371" s="231"/>
      <c r="AF371" s="231"/>
      <c r="AG371" s="231"/>
      <c r="AH371" s="231"/>
      <c r="AI371" s="231"/>
      <c r="AJ371" s="231"/>
      <c r="AK371" s="231"/>
      <c r="AL371" s="231"/>
      <c r="AM371" s="231"/>
      <c r="AN371" s="231"/>
      <c r="AO371" s="231"/>
      <c r="AP371" s="231"/>
      <c r="AQ371" s="231"/>
      <c r="AR371" s="231"/>
    </row>
    <row r="372" spans="1:44" s="31" customFormat="1" ht="25.5" x14ac:dyDescent="0.2">
      <c r="A372" s="137" t="s">
        <v>73</v>
      </c>
      <c r="B372" s="54" t="s">
        <v>488</v>
      </c>
      <c r="C372" s="60" t="s">
        <v>111</v>
      </c>
      <c r="D372" s="60" t="s">
        <v>489</v>
      </c>
      <c r="E372" s="60" t="s">
        <v>70</v>
      </c>
      <c r="F372" s="52">
        <v>55</v>
      </c>
      <c r="G372" s="52">
        <v>55</v>
      </c>
      <c r="H372" s="315">
        <f t="shared" si="96"/>
        <v>0</v>
      </c>
      <c r="I372" s="52">
        <v>15</v>
      </c>
      <c r="J372" s="52">
        <v>55</v>
      </c>
      <c r="K372" s="315">
        <f t="shared" si="94"/>
        <v>0</v>
      </c>
      <c r="L372" s="52">
        <v>15</v>
      </c>
      <c r="M372" s="320">
        <f t="shared" si="97"/>
        <v>0</v>
      </c>
      <c r="N372" s="65">
        <v>15</v>
      </c>
      <c r="O372" s="52">
        <v>15</v>
      </c>
      <c r="P372" s="315">
        <f t="shared" si="98"/>
        <v>0</v>
      </c>
      <c r="Q372" s="39"/>
      <c r="R372" s="40"/>
      <c r="S372" s="40"/>
      <c r="T372" s="214"/>
      <c r="U372" s="214"/>
      <c r="V372" s="231"/>
      <c r="W372" s="231"/>
      <c r="X372" s="231"/>
      <c r="Y372" s="231"/>
      <c r="Z372" s="231"/>
      <c r="AA372" s="231"/>
      <c r="AB372" s="231"/>
      <c r="AC372" s="231"/>
      <c r="AD372" s="231"/>
      <c r="AE372" s="231"/>
      <c r="AF372" s="231"/>
      <c r="AG372" s="231"/>
      <c r="AH372" s="231"/>
      <c r="AI372" s="231"/>
      <c r="AJ372" s="231"/>
      <c r="AK372" s="231"/>
      <c r="AL372" s="231"/>
      <c r="AM372" s="231"/>
      <c r="AN372" s="231"/>
      <c r="AO372" s="231"/>
      <c r="AP372" s="231"/>
      <c r="AQ372" s="231"/>
      <c r="AR372" s="231"/>
    </row>
    <row r="373" spans="1:44" s="31" customFormat="1" x14ac:dyDescent="0.2">
      <c r="A373" s="99" t="s">
        <v>490</v>
      </c>
      <c r="B373" s="54" t="s">
        <v>488</v>
      </c>
      <c r="C373" s="60" t="s">
        <v>111</v>
      </c>
      <c r="D373" s="60" t="s">
        <v>489</v>
      </c>
      <c r="E373" s="60" t="s">
        <v>487</v>
      </c>
      <c r="F373" s="52">
        <f>5+20</f>
        <v>25</v>
      </c>
      <c r="G373" s="52">
        <f>5+20</f>
        <v>25</v>
      </c>
      <c r="H373" s="315">
        <f t="shared" si="96"/>
        <v>0</v>
      </c>
      <c r="I373" s="52">
        <f>5+20</f>
        <v>25</v>
      </c>
      <c r="J373" s="52">
        <f>5+20</f>
        <v>25</v>
      </c>
      <c r="K373" s="315">
        <f t="shared" si="94"/>
        <v>0</v>
      </c>
      <c r="L373" s="52">
        <f>5+20</f>
        <v>25</v>
      </c>
      <c r="M373" s="320">
        <f t="shared" si="97"/>
        <v>0</v>
      </c>
      <c r="N373" s="65">
        <f>5+20</f>
        <v>25</v>
      </c>
      <c r="O373" s="52">
        <f>5+20</f>
        <v>25</v>
      </c>
      <c r="P373" s="315">
        <f t="shared" si="98"/>
        <v>0</v>
      </c>
      <c r="Q373" s="39"/>
      <c r="R373" s="40"/>
      <c r="S373" s="40"/>
      <c r="T373" s="214"/>
      <c r="U373" s="214"/>
      <c r="V373" s="231"/>
      <c r="W373" s="231"/>
      <c r="X373" s="231"/>
      <c r="Y373" s="231"/>
      <c r="Z373" s="231"/>
      <c r="AA373" s="231"/>
      <c r="AB373" s="231"/>
      <c r="AC373" s="231"/>
      <c r="AD373" s="231"/>
      <c r="AE373" s="231"/>
      <c r="AF373" s="231"/>
      <c r="AG373" s="231"/>
      <c r="AH373" s="231"/>
      <c r="AI373" s="231"/>
      <c r="AJ373" s="231"/>
      <c r="AK373" s="231"/>
      <c r="AL373" s="231"/>
      <c r="AM373" s="231"/>
      <c r="AN373" s="231"/>
      <c r="AO373" s="231"/>
      <c r="AP373" s="231"/>
      <c r="AQ373" s="231"/>
      <c r="AR373" s="231"/>
    </row>
    <row r="374" spans="1:44" s="31" customFormat="1" ht="25.5" x14ac:dyDescent="0.2">
      <c r="A374" s="137" t="s">
        <v>522</v>
      </c>
      <c r="B374" s="54" t="s">
        <v>521</v>
      </c>
      <c r="C374" s="60" t="s">
        <v>111</v>
      </c>
      <c r="D374" s="60" t="s">
        <v>160</v>
      </c>
      <c r="E374" s="60"/>
      <c r="F374" s="52">
        <f>F375</f>
        <v>100</v>
      </c>
      <c r="G374" s="52">
        <f>G375</f>
        <v>100</v>
      </c>
      <c r="H374" s="315">
        <f t="shared" si="96"/>
        <v>0</v>
      </c>
      <c r="I374" s="52">
        <f>I375</f>
        <v>100</v>
      </c>
      <c r="J374" s="52">
        <f>J375</f>
        <v>100</v>
      </c>
      <c r="K374" s="315">
        <f t="shared" si="94"/>
        <v>0</v>
      </c>
      <c r="L374" s="52">
        <f>L375</f>
        <v>100</v>
      </c>
      <c r="M374" s="320">
        <f t="shared" si="97"/>
        <v>0</v>
      </c>
      <c r="N374" s="65">
        <f>N375</f>
        <v>100</v>
      </c>
      <c r="O374" s="52">
        <f>O375</f>
        <v>100</v>
      </c>
      <c r="P374" s="315">
        <f t="shared" si="98"/>
        <v>0</v>
      </c>
      <c r="Q374" s="39"/>
      <c r="R374" s="40"/>
      <c r="S374" s="40"/>
      <c r="T374" s="214"/>
      <c r="U374" s="214"/>
      <c r="V374" s="231"/>
      <c r="W374" s="231"/>
      <c r="X374" s="231"/>
      <c r="Y374" s="231"/>
      <c r="Z374" s="231"/>
      <c r="AA374" s="231"/>
      <c r="AB374" s="231"/>
      <c r="AC374" s="231"/>
      <c r="AD374" s="231"/>
      <c r="AE374" s="231"/>
      <c r="AF374" s="231"/>
      <c r="AG374" s="231"/>
      <c r="AH374" s="231"/>
      <c r="AI374" s="231"/>
      <c r="AJ374" s="231"/>
      <c r="AK374" s="231"/>
      <c r="AL374" s="231"/>
      <c r="AM374" s="231"/>
      <c r="AN374" s="231"/>
      <c r="AO374" s="231"/>
      <c r="AP374" s="231"/>
      <c r="AQ374" s="231"/>
      <c r="AR374" s="231"/>
    </row>
    <row r="375" spans="1:44" s="31" customFormat="1" ht="25.5" x14ac:dyDescent="0.2">
      <c r="A375" s="137" t="s">
        <v>73</v>
      </c>
      <c r="B375" s="54" t="s">
        <v>521</v>
      </c>
      <c r="C375" s="60" t="s">
        <v>111</v>
      </c>
      <c r="D375" s="60" t="s">
        <v>160</v>
      </c>
      <c r="E375" s="60" t="s">
        <v>70</v>
      </c>
      <c r="F375" s="52">
        <v>100</v>
      </c>
      <c r="G375" s="52">
        <v>100</v>
      </c>
      <c r="H375" s="315">
        <f t="shared" si="96"/>
        <v>0</v>
      </c>
      <c r="I375" s="52">
        <v>100</v>
      </c>
      <c r="J375" s="52">
        <v>100</v>
      </c>
      <c r="K375" s="315">
        <f t="shared" si="94"/>
        <v>0</v>
      </c>
      <c r="L375" s="52">
        <v>100</v>
      </c>
      <c r="M375" s="320">
        <f t="shared" si="97"/>
        <v>0</v>
      </c>
      <c r="N375" s="65">
        <v>100</v>
      </c>
      <c r="O375" s="52">
        <v>100</v>
      </c>
      <c r="P375" s="315">
        <f t="shared" si="98"/>
        <v>0</v>
      </c>
      <c r="Q375" s="39"/>
      <c r="R375" s="40"/>
      <c r="S375" s="40"/>
      <c r="T375" s="214"/>
      <c r="U375" s="214"/>
      <c r="V375" s="231"/>
      <c r="W375" s="231"/>
      <c r="X375" s="231"/>
      <c r="Y375" s="231"/>
      <c r="Z375" s="231"/>
      <c r="AA375" s="231"/>
      <c r="AB375" s="231"/>
      <c r="AC375" s="231"/>
      <c r="AD375" s="231"/>
      <c r="AE375" s="231"/>
      <c r="AF375" s="231"/>
      <c r="AG375" s="231"/>
      <c r="AH375" s="231"/>
      <c r="AI375" s="231"/>
      <c r="AJ375" s="231"/>
      <c r="AK375" s="231"/>
      <c r="AL375" s="231"/>
      <c r="AM375" s="231"/>
      <c r="AN375" s="231"/>
      <c r="AO375" s="231"/>
      <c r="AP375" s="231"/>
      <c r="AQ375" s="231"/>
      <c r="AR375" s="231"/>
    </row>
    <row r="376" spans="1:44" s="31" customFormat="1" ht="25.5" x14ac:dyDescent="0.2">
      <c r="A376" s="137" t="s">
        <v>510</v>
      </c>
      <c r="B376" s="54" t="s">
        <v>509</v>
      </c>
      <c r="C376" s="60"/>
      <c r="D376" s="60"/>
      <c r="E376" s="60"/>
      <c r="F376" s="52">
        <f t="shared" ref="F376:O377" si="99">F377</f>
        <v>1400</v>
      </c>
      <c r="G376" s="52">
        <f t="shared" si="99"/>
        <v>1400</v>
      </c>
      <c r="H376" s="315">
        <f t="shared" si="96"/>
        <v>0</v>
      </c>
      <c r="I376" s="52">
        <f t="shared" si="99"/>
        <v>1400</v>
      </c>
      <c r="J376" s="52">
        <f t="shared" si="99"/>
        <v>1400</v>
      </c>
      <c r="K376" s="315">
        <f t="shared" si="94"/>
        <v>0</v>
      </c>
      <c r="L376" s="52">
        <f t="shared" si="99"/>
        <v>1400</v>
      </c>
      <c r="M376" s="320">
        <f t="shared" si="97"/>
        <v>0</v>
      </c>
      <c r="N376" s="65">
        <f t="shared" si="99"/>
        <v>1400</v>
      </c>
      <c r="O376" s="52">
        <f t="shared" si="99"/>
        <v>1400</v>
      </c>
      <c r="P376" s="315">
        <f t="shared" si="98"/>
        <v>0</v>
      </c>
      <c r="Q376" s="39"/>
      <c r="R376" s="40"/>
      <c r="S376" s="40"/>
      <c r="T376" s="214"/>
      <c r="U376" s="214"/>
      <c r="V376" s="231"/>
      <c r="W376" s="231"/>
      <c r="X376" s="231"/>
      <c r="Y376" s="231"/>
      <c r="Z376" s="231"/>
      <c r="AA376" s="231"/>
      <c r="AB376" s="231"/>
      <c r="AC376" s="231"/>
      <c r="AD376" s="231"/>
      <c r="AE376" s="231"/>
      <c r="AF376" s="231"/>
      <c r="AG376" s="231"/>
      <c r="AH376" s="231"/>
      <c r="AI376" s="231"/>
      <c r="AJ376" s="231"/>
      <c r="AK376" s="231"/>
      <c r="AL376" s="231"/>
      <c r="AM376" s="231"/>
      <c r="AN376" s="231"/>
      <c r="AO376" s="231"/>
      <c r="AP376" s="231"/>
      <c r="AQ376" s="231"/>
      <c r="AR376" s="231"/>
    </row>
    <row r="377" spans="1:44" s="31" customFormat="1" x14ac:dyDescent="0.2">
      <c r="A377" s="137" t="s">
        <v>508</v>
      </c>
      <c r="B377" s="54" t="s">
        <v>507</v>
      </c>
      <c r="C377" s="60" t="s">
        <v>111</v>
      </c>
      <c r="D377" s="60" t="s">
        <v>97</v>
      </c>
      <c r="E377" s="60"/>
      <c r="F377" s="52">
        <f t="shared" si="99"/>
        <v>1400</v>
      </c>
      <c r="G377" s="52">
        <f t="shared" si="99"/>
        <v>1400</v>
      </c>
      <c r="H377" s="315">
        <f t="shared" si="96"/>
        <v>0</v>
      </c>
      <c r="I377" s="52">
        <f t="shared" si="99"/>
        <v>1400</v>
      </c>
      <c r="J377" s="52">
        <f t="shared" si="99"/>
        <v>1400</v>
      </c>
      <c r="K377" s="315">
        <f t="shared" si="94"/>
        <v>0</v>
      </c>
      <c r="L377" s="52">
        <f t="shared" si="99"/>
        <v>1400</v>
      </c>
      <c r="M377" s="320">
        <f t="shared" si="97"/>
        <v>0</v>
      </c>
      <c r="N377" s="65">
        <f t="shared" si="99"/>
        <v>1400</v>
      </c>
      <c r="O377" s="52">
        <f t="shared" si="99"/>
        <v>1400</v>
      </c>
      <c r="P377" s="315">
        <f t="shared" si="98"/>
        <v>0</v>
      </c>
      <c r="Q377" s="39"/>
      <c r="R377" s="40"/>
      <c r="S377" s="40"/>
      <c r="T377" s="214"/>
      <c r="U377" s="214"/>
      <c r="V377" s="231"/>
      <c r="W377" s="231"/>
      <c r="X377" s="231"/>
      <c r="Y377" s="231"/>
      <c r="Z377" s="231"/>
      <c r="AA377" s="231"/>
      <c r="AB377" s="231"/>
      <c r="AC377" s="231"/>
      <c r="AD377" s="231"/>
      <c r="AE377" s="231"/>
      <c r="AF377" s="231"/>
      <c r="AG377" s="231"/>
      <c r="AH377" s="231"/>
      <c r="AI377" s="231"/>
      <c r="AJ377" s="231"/>
      <c r="AK377" s="231"/>
      <c r="AL377" s="231"/>
      <c r="AM377" s="231"/>
      <c r="AN377" s="231"/>
      <c r="AO377" s="231"/>
      <c r="AP377" s="231"/>
      <c r="AQ377" s="231"/>
      <c r="AR377" s="231"/>
    </row>
    <row r="378" spans="1:44" s="31" customFormat="1" ht="25.5" x14ac:dyDescent="0.2">
      <c r="A378" s="137" t="s">
        <v>73</v>
      </c>
      <c r="B378" s="54" t="s">
        <v>507</v>
      </c>
      <c r="C378" s="60" t="s">
        <v>111</v>
      </c>
      <c r="D378" s="60" t="s">
        <v>97</v>
      </c>
      <c r="E378" s="60" t="s">
        <v>70</v>
      </c>
      <c r="F378" s="52">
        <v>1400</v>
      </c>
      <c r="G378" s="52">
        <v>1400</v>
      </c>
      <c r="H378" s="315">
        <f t="shared" si="96"/>
        <v>0</v>
      </c>
      <c r="I378" s="52">
        <v>1400</v>
      </c>
      <c r="J378" s="52">
        <v>1400</v>
      </c>
      <c r="K378" s="315">
        <f t="shared" si="94"/>
        <v>0</v>
      </c>
      <c r="L378" s="52">
        <v>1400</v>
      </c>
      <c r="M378" s="320">
        <f t="shared" si="97"/>
        <v>0</v>
      </c>
      <c r="N378" s="65">
        <v>1400</v>
      </c>
      <c r="O378" s="52">
        <v>1400</v>
      </c>
      <c r="P378" s="315">
        <f t="shared" si="98"/>
        <v>0</v>
      </c>
      <c r="Q378" s="39"/>
      <c r="R378" s="40"/>
      <c r="S378" s="40"/>
      <c r="T378" s="214"/>
      <c r="U378" s="214"/>
      <c r="V378" s="231"/>
      <c r="W378" s="231"/>
      <c r="X378" s="231"/>
      <c r="Y378" s="231"/>
      <c r="Z378" s="231"/>
      <c r="AA378" s="231"/>
      <c r="AB378" s="231"/>
      <c r="AC378" s="231"/>
      <c r="AD378" s="231"/>
      <c r="AE378" s="231"/>
      <c r="AF378" s="231"/>
      <c r="AG378" s="231"/>
      <c r="AH378" s="231"/>
      <c r="AI378" s="231"/>
      <c r="AJ378" s="231"/>
      <c r="AK378" s="231"/>
      <c r="AL378" s="231"/>
      <c r="AM378" s="231"/>
      <c r="AN378" s="231"/>
      <c r="AO378" s="231"/>
      <c r="AP378" s="231"/>
      <c r="AQ378" s="231"/>
      <c r="AR378" s="231"/>
    </row>
    <row r="379" spans="1:44" s="31" customFormat="1" x14ac:dyDescent="0.2">
      <c r="A379" s="84" t="s">
        <v>520</v>
      </c>
      <c r="B379" s="54" t="s">
        <v>519</v>
      </c>
      <c r="C379" s="60"/>
      <c r="D379" s="60"/>
      <c r="E379" s="60"/>
      <c r="F379" s="52">
        <f>F380</f>
        <v>4036.6000000000004</v>
      </c>
      <c r="G379" s="52">
        <f>G380</f>
        <v>4036.6000000000004</v>
      </c>
      <c r="H379" s="315">
        <f t="shared" si="96"/>
        <v>0</v>
      </c>
      <c r="I379" s="52">
        <f>I380</f>
        <v>4026.6000000000004</v>
      </c>
      <c r="J379" s="52">
        <f>J380</f>
        <v>4036.6000000000004</v>
      </c>
      <c r="K379" s="315">
        <f t="shared" si="94"/>
        <v>0</v>
      </c>
      <c r="L379" s="52">
        <f>L380</f>
        <v>4026.6000000000004</v>
      </c>
      <c r="M379" s="320">
        <f t="shared" si="97"/>
        <v>0</v>
      </c>
      <c r="N379" s="65">
        <f>N380</f>
        <v>4026.6000000000004</v>
      </c>
      <c r="O379" s="52">
        <f>O380</f>
        <v>4026.6000000000004</v>
      </c>
      <c r="P379" s="315">
        <f t="shared" si="98"/>
        <v>0</v>
      </c>
      <c r="Q379" s="39"/>
      <c r="R379" s="40"/>
      <c r="S379" s="40"/>
      <c r="T379" s="214"/>
      <c r="U379" s="214"/>
      <c r="V379" s="231"/>
      <c r="W379" s="231"/>
      <c r="X379" s="231"/>
      <c r="Y379" s="231"/>
      <c r="Z379" s="231"/>
      <c r="AA379" s="231"/>
      <c r="AB379" s="231"/>
      <c r="AC379" s="231"/>
      <c r="AD379" s="231"/>
      <c r="AE379" s="231"/>
      <c r="AF379" s="231"/>
      <c r="AG379" s="231"/>
      <c r="AH379" s="231"/>
      <c r="AI379" s="231"/>
      <c r="AJ379" s="231"/>
      <c r="AK379" s="231"/>
      <c r="AL379" s="231"/>
      <c r="AM379" s="231"/>
      <c r="AN379" s="231"/>
      <c r="AO379" s="231"/>
      <c r="AP379" s="231"/>
      <c r="AQ379" s="231"/>
      <c r="AR379" s="231"/>
    </row>
    <row r="380" spans="1:44" s="31" customFormat="1" ht="25.5" x14ac:dyDescent="0.2">
      <c r="A380" s="176" t="s">
        <v>518</v>
      </c>
      <c r="B380" s="54" t="s">
        <v>517</v>
      </c>
      <c r="C380" s="60" t="s">
        <v>111</v>
      </c>
      <c r="D380" s="60" t="s">
        <v>160</v>
      </c>
      <c r="E380" s="60"/>
      <c r="F380" s="52">
        <f>F381+F382</f>
        <v>4036.6000000000004</v>
      </c>
      <c r="G380" s="52">
        <f>G381+G382</f>
        <v>4036.6000000000004</v>
      </c>
      <c r="H380" s="315">
        <f t="shared" si="96"/>
        <v>0</v>
      </c>
      <c r="I380" s="52">
        <f>I381+I382</f>
        <v>4026.6000000000004</v>
      </c>
      <c r="J380" s="52">
        <f>J381+J382</f>
        <v>4036.6000000000004</v>
      </c>
      <c r="K380" s="315">
        <f t="shared" si="94"/>
        <v>0</v>
      </c>
      <c r="L380" s="52">
        <f>L381+L382</f>
        <v>4026.6000000000004</v>
      </c>
      <c r="M380" s="320">
        <f t="shared" si="97"/>
        <v>0</v>
      </c>
      <c r="N380" s="65">
        <f>N381+N382</f>
        <v>4026.6000000000004</v>
      </c>
      <c r="O380" s="52">
        <f>O381+O382</f>
        <v>4026.6000000000004</v>
      </c>
      <c r="P380" s="315">
        <f t="shared" si="98"/>
        <v>0</v>
      </c>
      <c r="Q380" s="39"/>
      <c r="R380" s="40"/>
      <c r="S380" s="40"/>
      <c r="T380" s="214"/>
      <c r="U380" s="214"/>
      <c r="V380" s="231"/>
      <c r="W380" s="231"/>
      <c r="X380" s="231"/>
      <c r="Y380" s="231"/>
      <c r="Z380" s="231"/>
      <c r="AA380" s="231"/>
      <c r="AB380" s="231"/>
      <c r="AC380" s="231"/>
      <c r="AD380" s="231"/>
      <c r="AE380" s="231"/>
      <c r="AF380" s="231"/>
      <c r="AG380" s="231"/>
      <c r="AH380" s="231"/>
      <c r="AI380" s="231"/>
      <c r="AJ380" s="231"/>
      <c r="AK380" s="231"/>
      <c r="AL380" s="231"/>
      <c r="AM380" s="231"/>
      <c r="AN380" s="231"/>
      <c r="AO380" s="231"/>
      <c r="AP380" s="231"/>
      <c r="AQ380" s="231"/>
      <c r="AR380" s="231"/>
    </row>
    <row r="381" spans="1:44" s="31" customFormat="1" x14ac:dyDescent="0.2">
      <c r="A381" s="84" t="s">
        <v>84</v>
      </c>
      <c r="B381" s="54" t="s">
        <v>517</v>
      </c>
      <c r="C381" s="60" t="s">
        <v>111</v>
      </c>
      <c r="D381" s="60" t="s">
        <v>160</v>
      </c>
      <c r="E381" s="60" t="s">
        <v>83</v>
      </c>
      <c r="F381" s="52">
        <f>3887.8+34.5</f>
        <v>3922.3</v>
      </c>
      <c r="G381" s="52">
        <f>3887.8+34.5</f>
        <v>3922.3</v>
      </c>
      <c r="H381" s="315">
        <f t="shared" si="96"/>
        <v>0</v>
      </c>
      <c r="I381" s="52">
        <f>3887.8+34.5</f>
        <v>3922.3</v>
      </c>
      <c r="J381" s="52">
        <f>3887.8+34.5</f>
        <v>3922.3</v>
      </c>
      <c r="K381" s="315">
        <f t="shared" si="94"/>
        <v>0</v>
      </c>
      <c r="L381" s="52">
        <f>3887.8+34.5</f>
        <v>3922.3</v>
      </c>
      <c r="M381" s="320">
        <f t="shared" si="97"/>
        <v>0</v>
      </c>
      <c r="N381" s="65">
        <f>3887.8+34.5</f>
        <v>3922.3</v>
      </c>
      <c r="O381" s="52">
        <f>3887.8+34.5</f>
        <v>3922.3</v>
      </c>
      <c r="P381" s="315">
        <f t="shared" si="98"/>
        <v>0</v>
      </c>
      <c r="Q381" s="39"/>
      <c r="R381" s="40"/>
      <c r="S381" s="40"/>
      <c r="T381" s="214"/>
      <c r="U381" s="214"/>
      <c r="V381" s="231"/>
      <c r="W381" s="231"/>
      <c r="X381" s="231"/>
      <c r="Y381" s="231"/>
      <c r="Z381" s="231"/>
      <c r="AA381" s="231"/>
      <c r="AB381" s="231"/>
      <c r="AC381" s="231"/>
      <c r="AD381" s="231"/>
      <c r="AE381" s="231"/>
      <c r="AF381" s="231"/>
      <c r="AG381" s="231"/>
      <c r="AH381" s="231"/>
      <c r="AI381" s="231"/>
      <c r="AJ381" s="231"/>
      <c r="AK381" s="231"/>
      <c r="AL381" s="231"/>
      <c r="AM381" s="231"/>
      <c r="AN381" s="231"/>
      <c r="AO381" s="231"/>
      <c r="AP381" s="231"/>
      <c r="AQ381" s="231"/>
      <c r="AR381" s="231"/>
    </row>
    <row r="382" spans="1:44" s="31" customFormat="1" ht="25.5" x14ac:dyDescent="0.2">
      <c r="A382" s="84" t="s">
        <v>73</v>
      </c>
      <c r="B382" s="54" t="s">
        <v>517</v>
      </c>
      <c r="C382" s="60" t="s">
        <v>111</v>
      </c>
      <c r="D382" s="60" t="s">
        <v>160</v>
      </c>
      <c r="E382" s="60" t="s">
        <v>70</v>
      </c>
      <c r="F382" s="52">
        <v>114.3</v>
      </c>
      <c r="G382" s="52">
        <v>114.3</v>
      </c>
      <c r="H382" s="315">
        <f t="shared" si="96"/>
        <v>0</v>
      </c>
      <c r="I382" s="52">
        <v>104.3</v>
      </c>
      <c r="J382" s="52">
        <v>114.3</v>
      </c>
      <c r="K382" s="315">
        <f t="shared" si="94"/>
        <v>0</v>
      </c>
      <c r="L382" s="52">
        <v>104.3</v>
      </c>
      <c r="M382" s="320">
        <f t="shared" si="97"/>
        <v>0</v>
      </c>
      <c r="N382" s="65">
        <v>104.3</v>
      </c>
      <c r="O382" s="52">
        <v>104.3</v>
      </c>
      <c r="P382" s="315">
        <f t="shared" si="98"/>
        <v>0</v>
      </c>
      <c r="Q382" s="39"/>
      <c r="R382" s="40"/>
      <c r="S382" s="40"/>
      <c r="T382" s="214"/>
      <c r="U382" s="214"/>
      <c r="V382" s="231"/>
      <c r="W382" s="231"/>
      <c r="X382" s="231"/>
      <c r="Y382" s="231"/>
      <c r="Z382" s="231"/>
      <c r="AA382" s="231"/>
      <c r="AB382" s="231"/>
      <c r="AC382" s="231"/>
      <c r="AD382" s="231"/>
      <c r="AE382" s="231"/>
      <c r="AF382" s="231"/>
      <c r="AG382" s="231"/>
      <c r="AH382" s="231"/>
      <c r="AI382" s="231"/>
      <c r="AJ382" s="231"/>
      <c r="AK382" s="231"/>
      <c r="AL382" s="231"/>
      <c r="AM382" s="231"/>
      <c r="AN382" s="231"/>
      <c r="AO382" s="231"/>
      <c r="AP382" s="231"/>
      <c r="AQ382" s="231"/>
      <c r="AR382" s="231"/>
    </row>
    <row r="383" spans="1:44" s="31" customFormat="1" ht="28.5" customHeight="1" x14ac:dyDescent="0.2">
      <c r="A383" s="232" t="s">
        <v>720</v>
      </c>
      <c r="B383" s="225" t="s">
        <v>109</v>
      </c>
      <c r="C383" s="226"/>
      <c r="D383" s="226"/>
      <c r="E383" s="226"/>
      <c r="F383" s="227">
        <f>F384+F396</f>
        <v>7387.0999999999995</v>
      </c>
      <c r="G383" s="227">
        <f>G384+G396</f>
        <v>6888.7999999999993</v>
      </c>
      <c r="H383" s="315">
        <f t="shared" si="96"/>
        <v>-498.30000000000018</v>
      </c>
      <c r="I383" s="227">
        <f>I384+I396</f>
        <v>5072.6000000000004</v>
      </c>
      <c r="J383" s="227">
        <f>J384+J396</f>
        <v>6888.7999999999993</v>
      </c>
      <c r="K383" s="315">
        <f t="shared" si="94"/>
        <v>0</v>
      </c>
      <c r="L383" s="227">
        <f>L384+L396</f>
        <v>4171.6000000000004</v>
      </c>
      <c r="M383" s="320">
        <f t="shared" si="97"/>
        <v>-901</v>
      </c>
      <c r="N383" s="228">
        <f>N384+N396</f>
        <v>4705.7</v>
      </c>
      <c r="O383" s="227">
        <f>O384+O396</f>
        <v>3762.7</v>
      </c>
      <c r="P383" s="315">
        <f t="shared" si="98"/>
        <v>-943</v>
      </c>
      <c r="Q383" s="39"/>
      <c r="R383" s="40"/>
      <c r="S383" s="40"/>
      <c r="T383" s="214"/>
      <c r="U383" s="214"/>
      <c r="V383" s="231"/>
      <c r="W383" s="231"/>
      <c r="X383" s="231"/>
      <c r="Y383" s="231"/>
      <c r="Z383" s="231"/>
      <c r="AA383" s="231"/>
      <c r="AB383" s="231"/>
      <c r="AC383" s="231"/>
      <c r="AD383" s="231"/>
      <c r="AE383" s="231"/>
      <c r="AF383" s="231"/>
      <c r="AG383" s="231"/>
      <c r="AH383" s="231"/>
      <c r="AI383" s="231"/>
      <c r="AJ383" s="231"/>
      <c r="AK383" s="231"/>
      <c r="AL383" s="231"/>
      <c r="AM383" s="231"/>
      <c r="AN383" s="231"/>
      <c r="AO383" s="231"/>
      <c r="AP383" s="231"/>
      <c r="AQ383" s="231"/>
      <c r="AR383" s="231"/>
    </row>
    <row r="384" spans="1:44" s="31" customFormat="1" x14ac:dyDescent="0.2">
      <c r="A384" s="95" t="s">
        <v>66</v>
      </c>
      <c r="B384" s="54" t="s">
        <v>299</v>
      </c>
      <c r="C384" s="60"/>
      <c r="D384" s="60"/>
      <c r="E384" s="60"/>
      <c r="F384" s="52">
        <f>F385+F388</f>
        <v>4828.8999999999996</v>
      </c>
      <c r="G384" s="52">
        <f>G385+G388</f>
        <v>4329.8999999999996</v>
      </c>
      <c r="H384" s="315">
        <f t="shared" si="96"/>
        <v>-499</v>
      </c>
      <c r="I384" s="52">
        <f>I385+I388</f>
        <v>2516.9</v>
      </c>
      <c r="J384" s="52">
        <f>J385+J388</f>
        <v>4329.8999999999996</v>
      </c>
      <c r="K384" s="315">
        <f t="shared" si="94"/>
        <v>0</v>
      </c>
      <c r="L384" s="52">
        <f>L385+L388</f>
        <v>1615.9</v>
      </c>
      <c r="M384" s="320">
        <f t="shared" si="97"/>
        <v>-901</v>
      </c>
      <c r="N384" s="65">
        <f>N385+N388</f>
        <v>2150</v>
      </c>
      <c r="O384" s="52">
        <f>O385+O388</f>
        <v>1207</v>
      </c>
      <c r="P384" s="315">
        <f t="shared" si="98"/>
        <v>-943</v>
      </c>
      <c r="Q384" s="39"/>
      <c r="R384" s="40"/>
      <c r="S384" s="40"/>
      <c r="T384" s="214"/>
      <c r="U384" s="214"/>
      <c r="V384" s="231"/>
      <c r="W384" s="231"/>
      <c r="X384" s="231"/>
      <c r="Y384" s="231"/>
      <c r="Z384" s="231"/>
      <c r="AA384" s="231"/>
      <c r="AB384" s="231"/>
      <c r="AC384" s="231"/>
      <c r="AD384" s="231"/>
      <c r="AE384" s="231"/>
      <c r="AF384" s="231"/>
      <c r="AG384" s="231"/>
      <c r="AH384" s="231"/>
      <c r="AI384" s="231"/>
      <c r="AJ384" s="231"/>
      <c r="AK384" s="231"/>
      <c r="AL384" s="231"/>
      <c r="AM384" s="231"/>
      <c r="AN384" s="231"/>
      <c r="AO384" s="231"/>
      <c r="AP384" s="231"/>
      <c r="AQ384" s="231"/>
      <c r="AR384" s="231"/>
    </row>
    <row r="385" spans="1:44" s="31" customFormat="1" ht="25.5" x14ac:dyDescent="0.2">
      <c r="A385" s="84" t="s">
        <v>298</v>
      </c>
      <c r="B385" s="54" t="s">
        <v>297</v>
      </c>
      <c r="C385" s="60" t="s">
        <v>96</v>
      </c>
      <c r="D385" s="60" t="s">
        <v>59</v>
      </c>
      <c r="E385" s="60"/>
      <c r="F385" s="52">
        <f>F386</f>
        <v>549</v>
      </c>
      <c r="G385" s="52">
        <f>G386</f>
        <v>0</v>
      </c>
      <c r="H385" s="315">
        <f>G385-F385</f>
        <v>-549</v>
      </c>
      <c r="I385" s="52">
        <f>I386</f>
        <v>150</v>
      </c>
      <c r="J385" s="52">
        <f>J386</f>
        <v>0</v>
      </c>
      <c r="K385" s="315">
        <f t="shared" si="94"/>
        <v>0</v>
      </c>
      <c r="L385" s="52">
        <f>L386</f>
        <v>150</v>
      </c>
      <c r="M385" s="320">
        <f>L385-I385</f>
        <v>0</v>
      </c>
      <c r="N385" s="65">
        <f>N386</f>
        <v>150</v>
      </c>
      <c r="O385" s="52">
        <f>O386</f>
        <v>150</v>
      </c>
      <c r="P385" s="315">
        <f>O385-N385</f>
        <v>0</v>
      </c>
      <c r="Q385" s="39"/>
      <c r="R385" s="40"/>
      <c r="S385" s="40"/>
      <c r="T385" s="214"/>
      <c r="U385" s="214"/>
      <c r="V385" s="231"/>
      <c r="W385" s="231"/>
      <c r="X385" s="231"/>
      <c r="Y385" s="231"/>
      <c r="Z385" s="231"/>
      <c r="AA385" s="231"/>
      <c r="AB385" s="231"/>
      <c r="AC385" s="231"/>
      <c r="AD385" s="231"/>
      <c r="AE385" s="231"/>
      <c r="AF385" s="231"/>
      <c r="AG385" s="231"/>
      <c r="AH385" s="231"/>
      <c r="AI385" s="231"/>
      <c r="AJ385" s="231"/>
      <c r="AK385" s="231"/>
      <c r="AL385" s="231"/>
      <c r="AM385" s="231"/>
      <c r="AN385" s="231"/>
      <c r="AO385" s="231"/>
      <c r="AP385" s="231"/>
      <c r="AQ385" s="231"/>
      <c r="AR385" s="231"/>
    </row>
    <row r="386" spans="1:44" s="31" customFormat="1" x14ac:dyDescent="0.2">
      <c r="A386" s="84" t="s">
        <v>296</v>
      </c>
      <c r="B386" s="54" t="s">
        <v>295</v>
      </c>
      <c r="C386" s="60" t="s">
        <v>96</v>
      </c>
      <c r="D386" s="60" t="s">
        <v>59</v>
      </c>
      <c r="E386" s="60"/>
      <c r="F386" s="52">
        <f>F387</f>
        <v>549</v>
      </c>
      <c r="G386" s="52">
        <f>G387</f>
        <v>0</v>
      </c>
      <c r="H386" s="315">
        <f>G386-F386</f>
        <v>-549</v>
      </c>
      <c r="I386" s="52">
        <f>I387</f>
        <v>150</v>
      </c>
      <c r="J386" s="52">
        <f>J387</f>
        <v>0</v>
      </c>
      <c r="K386" s="315">
        <f t="shared" si="94"/>
        <v>0</v>
      </c>
      <c r="L386" s="52">
        <f>L387</f>
        <v>150</v>
      </c>
      <c r="M386" s="320">
        <f>L386-I386</f>
        <v>0</v>
      </c>
      <c r="N386" s="65">
        <f>N387</f>
        <v>150</v>
      </c>
      <c r="O386" s="52">
        <f>O387</f>
        <v>150</v>
      </c>
      <c r="P386" s="315">
        <f>O386-N386</f>
        <v>0</v>
      </c>
      <c r="Q386" s="39"/>
      <c r="R386" s="40"/>
      <c r="S386" s="40"/>
      <c r="T386" s="214"/>
      <c r="U386" s="214"/>
      <c r="V386" s="231"/>
      <c r="W386" s="231"/>
      <c r="X386" s="231"/>
      <c r="Y386" s="231"/>
      <c r="Z386" s="231"/>
      <c r="AA386" s="231"/>
      <c r="AB386" s="231"/>
      <c r="AC386" s="231"/>
      <c r="AD386" s="231"/>
      <c r="AE386" s="231"/>
      <c r="AF386" s="231"/>
      <c r="AG386" s="231"/>
      <c r="AH386" s="231"/>
      <c r="AI386" s="231"/>
      <c r="AJ386" s="231"/>
      <c r="AK386" s="231"/>
      <c r="AL386" s="231"/>
      <c r="AM386" s="231"/>
      <c r="AN386" s="231"/>
      <c r="AO386" s="231"/>
      <c r="AP386" s="231"/>
      <c r="AQ386" s="231"/>
      <c r="AR386" s="231"/>
    </row>
    <row r="387" spans="1:44" s="31" customFormat="1" ht="25.5" x14ac:dyDescent="0.2">
      <c r="A387" s="84" t="s">
        <v>73</v>
      </c>
      <c r="B387" s="54" t="s">
        <v>295</v>
      </c>
      <c r="C387" s="60" t="s">
        <v>96</v>
      </c>
      <c r="D387" s="60" t="s">
        <v>59</v>
      </c>
      <c r="E387" s="60" t="s">
        <v>70</v>
      </c>
      <c r="F387" s="52">
        <f>249+300</f>
        <v>549</v>
      </c>
      <c r="G387" s="52">
        <f>549-549</f>
        <v>0</v>
      </c>
      <c r="H387" s="315">
        <f>G387-F387</f>
        <v>-549</v>
      </c>
      <c r="I387" s="52">
        <v>150</v>
      </c>
      <c r="J387" s="52">
        <f>549-549</f>
        <v>0</v>
      </c>
      <c r="K387" s="315">
        <f t="shared" si="94"/>
        <v>0</v>
      </c>
      <c r="L387" s="52">
        <v>150</v>
      </c>
      <c r="M387" s="320">
        <f>L387-I387</f>
        <v>0</v>
      </c>
      <c r="N387" s="65">
        <v>150</v>
      </c>
      <c r="O387" s="52">
        <v>150</v>
      </c>
      <c r="P387" s="315">
        <f>O387-N387</f>
        <v>0</v>
      </c>
      <c r="Q387" s="39"/>
      <c r="R387" s="40"/>
      <c r="S387" s="40"/>
      <c r="T387" s="214"/>
      <c r="U387" s="214"/>
      <c r="V387" s="231"/>
      <c r="W387" s="231"/>
      <c r="X387" s="231"/>
      <c r="Y387" s="231"/>
      <c r="Z387" s="231"/>
      <c r="AA387" s="231"/>
      <c r="AB387" s="231"/>
      <c r="AC387" s="231"/>
      <c r="AD387" s="231"/>
      <c r="AE387" s="231"/>
      <c r="AF387" s="231"/>
      <c r="AG387" s="231"/>
      <c r="AH387" s="231"/>
      <c r="AI387" s="231"/>
      <c r="AJ387" s="231"/>
      <c r="AK387" s="231"/>
      <c r="AL387" s="231"/>
      <c r="AM387" s="231"/>
      <c r="AN387" s="231"/>
      <c r="AO387" s="231"/>
      <c r="AP387" s="231"/>
      <c r="AQ387" s="231"/>
      <c r="AR387" s="231"/>
    </row>
    <row r="388" spans="1:44" s="31" customFormat="1" ht="25.5" x14ac:dyDescent="0.2">
      <c r="A388" s="84" t="s">
        <v>294</v>
      </c>
      <c r="B388" s="54" t="s">
        <v>293</v>
      </c>
      <c r="C388" s="60" t="s">
        <v>96</v>
      </c>
      <c r="D388" s="60" t="s">
        <v>59</v>
      </c>
      <c r="E388" s="60"/>
      <c r="F388" s="52">
        <f>F391+F389+F394</f>
        <v>4279.8999999999996</v>
      </c>
      <c r="G388" s="52">
        <f>G391+G389+G394</f>
        <v>4329.8999999999996</v>
      </c>
      <c r="H388" s="315">
        <f t="shared" si="96"/>
        <v>50</v>
      </c>
      <c r="I388" s="52">
        <f>I391+I389+I394</f>
        <v>2366.9</v>
      </c>
      <c r="J388" s="52">
        <f>J391+J389+J394</f>
        <v>4329.8999999999996</v>
      </c>
      <c r="K388" s="315">
        <f t="shared" si="94"/>
        <v>0</v>
      </c>
      <c r="L388" s="52">
        <f>L391+L389+L394</f>
        <v>1465.9</v>
      </c>
      <c r="M388" s="320">
        <f t="shared" si="97"/>
        <v>-901</v>
      </c>
      <c r="N388" s="65">
        <f>N391+N389+N394</f>
        <v>2000</v>
      </c>
      <c r="O388" s="52">
        <f>O391+O389+O394</f>
        <v>1057</v>
      </c>
      <c r="P388" s="315">
        <f t="shared" si="98"/>
        <v>-943</v>
      </c>
      <c r="Q388" s="39"/>
      <c r="R388" s="40"/>
      <c r="S388" s="40"/>
      <c r="T388" s="214"/>
      <c r="U388" s="214"/>
      <c r="V388" s="231"/>
      <c r="W388" s="231"/>
      <c r="X388" s="231"/>
      <c r="Y388" s="231"/>
      <c r="Z388" s="231"/>
      <c r="AA388" s="231"/>
      <c r="AB388" s="231"/>
      <c r="AC388" s="231"/>
      <c r="AD388" s="231"/>
      <c r="AE388" s="231"/>
      <c r="AF388" s="231"/>
      <c r="AG388" s="231"/>
      <c r="AH388" s="231"/>
      <c r="AI388" s="231"/>
      <c r="AJ388" s="231"/>
      <c r="AK388" s="231"/>
      <c r="AL388" s="231"/>
      <c r="AM388" s="231"/>
      <c r="AN388" s="231"/>
      <c r="AO388" s="231"/>
      <c r="AP388" s="231"/>
      <c r="AQ388" s="231"/>
      <c r="AR388" s="231"/>
    </row>
    <row r="389" spans="1:44" s="31" customFormat="1" x14ac:dyDescent="0.2">
      <c r="A389" s="56" t="s">
        <v>292</v>
      </c>
      <c r="B389" s="54" t="s">
        <v>291</v>
      </c>
      <c r="C389" s="60" t="s">
        <v>96</v>
      </c>
      <c r="D389" s="60" t="s">
        <v>59</v>
      </c>
      <c r="E389" s="60"/>
      <c r="F389" s="52">
        <f>F390</f>
        <v>2164.9</v>
      </c>
      <c r="G389" s="52">
        <f>G390</f>
        <v>2164.9</v>
      </c>
      <c r="H389" s="315">
        <f t="shared" si="96"/>
        <v>0</v>
      </c>
      <c r="I389" s="52">
        <f>I390</f>
        <v>1030.9000000000001</v>
      </c>
      <c r="J389" s="52">
        <f>J390</f>
        <v>2164.9</v>
      </c>
      <c r="K389" s="315">
        <f t="shared" si="94"/>
        <v>0</v>
      </c>
      <c r="L389" s="52">
        <f>L390</f>
        <v>1030.9000000000001</v>
      </c>
      <c r="M389" s="320">
        <f t="shared" si="97"/>
        <v>0</v>
      </c>
      <c r="N389" s="65">
        <f>N390</f>
        <v>0</v>
      </c>
      <c r="O389" s="52">
        <f>O390</f>
        <v>0</v>
      </c>
      <c r="P389" s="315">
        <f t="shared" si="98"/>
        <v>0</v>
      </c>
      <c r="Q389" s="39"/>
      <c r="R389" s="40"/>
      <c r="S389" s="40"/>
      <c r="T389" s="214"/>
      <c r="U389" s="214"/>
      <c r="V389" s="231"/>
      <c r="W389" s="231"/>
      <c r="X389" s="231"/>
      <c r="Y389" s="231"/>
      <c r="Z389" s="231"/>
      <c r="AA389" s="231"/>
      <c r="AB389" s="231"/>
      <c r="AC389" s="231"/>
      <c r="AD389" s="231"/>
      <c r="AE389" s="231"/>
      <c r="AF389" s="231"/>
      <c r="AG389" s="231"/>
      <c r="AH389" s="231"/>
      <c r="AI389" s="231"/>
      <c r="AJ389" s="231"/>
      <c r="AK389" s="231"/>
      <c r="AL389" s="231"/>
      <c r="AM389" s="231"/>
      <c r="AN389" s="231"/>
      <c r="AO389" s="231"/>
      <c r="AP389" s="231"/>
      <c r="AQ389" s="231"/>
      <c r="AR389" s="231"/>
    </row>
    <row r="390" spans="1:44" s="31" customFormat="1" ht="25.5" x14ac:dyDescent="0.2">
      <c r="A390" s="56" t="s">
        <v>73</v>
      </c>
      <c r="B390" s="54" t="s">
        <v>291</v>
      </c>
      <c r="C390" s="60" t="s">
        <v>96</v>
      </c>
      <c r="D390" s="60" t="s">
        <v>59</v>
      </c>
      <c r="E390" s="60" t="s">
        <v>70</v>
      </c>
      <c r="F390" s="52">
        <f>2100+64.9</f>
        <v>2164.9</v>
      </c>
      <c r="G390" s="52">
        <f>2100+64.9</f>
        <v>2164.9</v>
      </c>
      <c r="H390" s="315">
        <f t="shared" si="96"/>
        <v>0</v>
      </c>
      <c r="I390" s="52">
        <f>1000+30.9</f>
        <v>1030.9000000000001</v>
      </c>
      <c r="J390" s="52">
        <f>2100+64.9</f>
        <v>2164.9</v>
      </c>
      <c r="K390" s="315">
        <f t="shared" si="94"/>
        <v>0</v>
      </c>
      <c r="L390" s="52">
        <f>1000+30.9</f>
        <v>1030.9000000000001</v>
      </c>
      <c r="M390" s="320">
        <f t="shared" si="97"/>
        <v>0</v>
      </c>
      <c r="N390" s="65">
        <v>0</v>
      </c>
      <c r="O390" s="52">
        <v>0</v>
      </c>
      <c r="P390" s="315">
        <f t="shared" si="98"/>
        <v>0</v>
      </c>
      <c r="Q390" s="39"/>
      <c r="R390" s="40"/>
      <c r="S390" s="40"/>
      <c r="T390" s="214"/>
      <c r="U390" s="214"/>
      <c r="V390" s="231"/>
      <c r="W390" s="231"/>
      <c r="X390" s="231"/>
      <c r="Y390" s="231"/>
      <c r="Z390" s="231"/>
      <c r="AA390" s="231"/>
      <c r="AB390" s="231"/>
      <c r="AC390" s="231"/>
      <c r="AD390" s="231"/>
      <c r="AE390" s="231"/>
      <c r="AF390" s="231"/>
      <c r="AG390" s="231"/>
      <c r="AH390" s="231"/>
      <c r="AI390" s="231"/>
      <c r="AJ390" s="231"/>
      <c r="AK390" s="231"/>
      <c r="AL390" s="231"/>
      <c r="AM390" s="231"/>
      <c r="AN390" s="231"/>
      <c r="AO390" s="231"/>
      <c r="AP390" s="231"/>
      <c r="AQ390" s="231"/>
      <c r="AR390" s="231"/>
    </row>
    <row r="391" spans="1:44" s="31" customFormat="1" ht="25.5" x14ac:dyDescent="0.2">
      <c r="A391" s="56" t="s">
        <v>290</v>
      </c>
      <c r="B391" s="54" t="s">
        <v>289</v>
      </c>
      <c r="C391" s="60" t="s">
        <v>96</v>
      </c>
      <c r="D391" s="60" t="s">
        <v>59</v>
      </c>
      <c r="E391" s="60"/>
      <c r="F391" s="52">
        <f>F392+F393</f>
        <v>1632</v>
      </c>
      <c r="G391" s="52">
        <f t="shared" ref="G391:O391" si="100">G392+G393</f>
        <v>1682</v>
      </c>
      <c r="H391" s="315">
        <f t="shared" si="96"/>
        <v>50</v>
      </c>
      <c r="I391" s="52">
        <f t="shared" si="100"/>
        <v>336</v>
      </c>
      <c r="J391" s="52">
        <f t="shared" si="100"/>
        <v>1682</v>
      </c>
      <c r="K391" s="315">
        <f t="shared" si="94"/>
        <v>0</v>
      </c>
      <c r="L391" s="52">
        <f t="shared" si="100"/>
        <v>336</v>
      </c>
      <c r="M391" s="320">
        <f t="shared" si="97"/>
        <v>0</v>
      </c>
      <c r="N391" s="52">
        <f t="shared" si="100"/>
        <v>1000</v>
      </c>
      <c r="O391" s="52">
        <f t="shared" si="100"/>
        <v>1000</v>
      </c>
      <c r="P391" s="315">
        <f t="shared" si="98"/>
        <v>0</v>
      </c>
      <c r="Q391" s="39"/>
      <c r="R391" s="40"/>
      <c r="S391" s="40"/>
      <c r="T391" s="214"/>
      <c r="U391" s="214"/>
      <c r="V391" s="231"/>
      <c r="W391" s="231"/>
      <c r="X391" s="231"/>
      <c r="Y391" s="231"/>
      <c r="Z391" s="231"/>
      <c r="AA391" s="231"/>
      <c r="AB391" s="231"/>
      <c r="AC391" s="231"/>
      <c r="AD391" s="231"/>
      <c r="AE391" s="231"/>
      <c r="AF391" s="231"/>
      <c r="AG391" s="231"/>
      <c r="AH391" s="231"/>
      <c r="AI391" s="231"/>
      <c r="AJ391" s="231"/>
      <c r="AK391" s="231"/>
      <c r="AL391" s="231"/>
      <c r="AM391" s="231"/>
      <c r="AN391" s="231"/>
      <c r="AO391" s="231"/>
      <c r="AP391" s="231"/>
      <c r="AQ391" s="231"/>
      <c r="AR391" s="231"/>
    </row>
    <row r="392" spans="1:44" s="31" customFormat="1" ht="24.75" customHeight="1" x14ac:dyDescent="0.2">
      <c r="A392" s="56" t="s">
        <v>73</v>
      </c>
      <c r="B392" s="54" t="s">
        <v>289</v>
      </c>
      <c r="C392" s="60" t="s">
        <v>96</v>
      </c>
      <c r="D392" s="60" t="s">
        <v>59</v>
      </c>
      <c r="E392" s="60" t="s">
        <v>70</v>
      </c>
      <c r="F392" s="52">
        <f>2300+100+4082+800+650-2300-4000</f>
        <v>1632</v>
      </c>
      <c r="G392" s="52">
        <f>2300+100+4082+800+650-2300-4000</f>
        <v>1632</v>
      </c>
      <c r="H392" s="315">
        <f t="shared" si="96"/>
        <v>0</v>
      </c>
      <c r="I392" s="52">
        <f>1000-664</f>
        <v>336</v>
      </c>
      <c r="J392" s="52">
        <f>2300+100+4082+800+650-2300-4000</f>
        <v>1632</v>
      </c>
      <c r="K392" s="315">
        <f t="shared" si="94"/>
        <v>0</v>
      </c>
      <c r="L392" s="52">
        <f>1000-664</f>
        <v>336</v>
      </c>
      <c r="M392" s="320">
        <f t="shared" si="97"/>
        <v>0</v>
      </c>
      <c r="N392" s="65">
        <v>1000</v>
      </c>
      <c r="O392" s="52">
        <v>1000</v>
      </c>
      <c r="P392" s="315">
        <f t="shared" si="98"/>
        <v>0</v>
      </c>
      <c r="Q392" s="254"/>
      <c r="R392" s="40"/>
      <c r="S392" s="40"/>
      <c r="T392" s="214"/>
      <c r="U392" s="214"/>
      <c r="V392" s="231"/>
      <c r="W392" s="231"/>
      <c r="X392" s="231"/>
      <c r="Y392" s="231"/>
      <c r="Z392" s="231"/>
      <c r="AA392" s="231"/>
      <c r="AB392" s="231"/>
      <c r="AC392" s="231"/>
      <c r="AD392" s="231"/>
      <c r="AE392" s="231"/>
      <c r="AF392" s="231"/>
      <c r="AG392" s="231"/>
      <c r="AH392" s="231"/>
      <c r="AI392" s="231"/>
      <c r="AJ392" s="231"/>
      <c r="AK392" s="231"/>
      <c r="AL392" s="231"/>
      <c r="AM392" s="231"/>
      <c r="AN392" s="231"/>
      <c r="AO392" s="231"/>
      <c r="AP392" s="231"/>
      <c r="AQ392" s="231"/>
      <c r="AR392" s="231"/>
    </row>
    <row r="393" spans="1:44" s="31" customFormat="1" ht="15" customHeight="1" x14ac:dyDescent="0.2">
      <c r="A393" s="62" t="s">
        <v>413</v>
      </c>
      <c r="B393" s="54" t="s">
        <v>289</v>
      </c>
      <c r="C393" s="60" t="s">
        <v>96</v>
      </c>
      <c r="D393" s="60" t="s">
        <v>59</v>
      </c>
      <c r="E393" s="60" t="s">
        <v>320</v>
      </c>
      <c r="F393" s="52">
        <v>0</v>
      </c>
      <c r="G393" s="52">
        <v>50</v>
      </c>
      <c r="H393" s="315">
        <f t="shared" si="96"/>
        <v>50</v>
      </c>
      <c r="I393" s="52">
        <v>0</v>
      </c>
      <c r="J393" s="52">
        <v>50</v>
      </c>
      <c r="K393" s="315">
        <f t="shared" si="94"/>
        <v>0</v>
      </c>
      <c r="L393" s="52">
        <v>0</v>
      </c>
      <c r="M393" s="320">
        <f t="shared" si="97"/>
        <v>0</v>
      </c>
      <c r="N393" s="65">
        <v>0</v>
      </c>
      <c r="O393" s="52">
        <v>0</v>
      </c>
      <c r="P393" s="315">
        <f t="shared" si="98"/>
        <v>0</v>
      </c>
      <c r="Q393" s="39"/>
      <c r="R393" s="40"/>
      <c r="S393" s="40"/>
      <c r="T393" s="214"/>
      <c r="U393" s="214"/>
      <c r="V393" s="231"/>
      <c r="W393" s="231"/>
      <c r="X393" s="231"/>
      <c r="Y393" s="231"/>
      <c r="Z393" s="231"/>
      <c r="AA393" s="231"/>
      <c r="AB393" s="231"/>
      <c r="AC393" s="231"/>
      <c r="AD393" s="231"/>
      <c r="AE393" s="231"/>
      <c r="AF393" s="231"/>
      <c r="AG393" s="231"/>
      <c r="AH393" s="231"/>
      <c r="AI393" s="231"/>
      <c r="AJ393" s="231"/>
      <c r="AK393" s="231"/>
      <c r="AL393" s="231"/>
      <c r="AM393" s="231"/>
      <c r="AN393" s="231"/>
      <c r="AO393" s="231"/>
      <c r="AP393" s="231"/>
      <c r="AQ393" s="231"/>
      <c r="AR393" s="231"/>
    </row>
    <row r="394" spans="1:44" s="31" customFormat="1" ht="25.5" x14ac:dyDescent="0.2">
      <c r="A394" s="56" t="s">
        <v>288</v>
      </c>
      <c r="B394" s="54" t="s">
        <v>287</v>
      </c>
      <c r="C394" s="60" t="s">
        <v>96</v>
      </c>
      <c r="D394" s="60" t="s">
        <v>59</v>
      </c>
      <c r="E394" s="60"/>
      <c r="F394" s="52">
        <f>F395</f>
        <v>483</v>
      </c>
      <c r="G394" s="52">
        <f>G395</f>
        <v>483</v>
      </c>
      <c r="H394" s="315">
        <f t="shared" si="96"/>
        <v>0</v>
      </c>
      <c r="I394" s="52">
        <f>I395</f>
        <v>1000</v>
      </c>
      <c r="J394" s="52">
        <f>J395</f>
        <v>483</v>
      </c>
      <c r="K394" s="315">
        <f t="shared" si="94"/>
        <v>0</v>
      </c>
      <c r="L394" s="52">
        <f>L395</f>
        <v>99</v>
      </c>
      <c r="M394" s="320">
        <f t="shared" si="97"/>
        <v>-901</v>
      </c>
      <c r="N394" s="65">
        <f>N395</f>
        <v>1000</v>
      </c>
      <c r="O394" s="52">
        <f>O395</f>
        <v>57</v>
      </c>
      <c r="P394" s="315">
        <f t="shared" si="98"/>
        <v>-943</v>
      </c>
      <c r="Q394" s="39"/>
      <c r="R394" s="40"/>
      <c r="S394" s="40"/>
      <c r="T394" s="214"/>
      <c r="U394" s="214"/>
      <c r="V394" s="231"/>
      <c r="W394" s="231"/>
      <c r="X394" s="231"/>
      <c r="Y394" s="231"/>
      <c r="Z394" s="231"/>
      <c r="AA394" s="231"/>
      <c r="AB394" s="231"/>
      <c r="AC394" s="231"/>
      <c r="AD394" s="231"/>
      <c r="AE394" s="231"/>
      <c r="AF394" s="231"/>
      <c r="AG394" s="231"/>
      <c r="AH394" s="231"/>
      <c r="AI394" s="231"/>
      <c r="AJ394" s="231"/>
      <c r="AK394" s="231"/>
      <c r="AL394" s="231"/>
      <c r="AM394" s="231"/>
      <c r="AN394" s="231"/>
      <c r="AO394" s="231"/>
      <c r="AP394" s="231"/>
      <c r="AQ394" s="231"/>
      <c r="AR394" s="231"/>
    </row>
    <row r="395" spans="1:44" s="31" customFormat="1" ht="25.5" x14ac:dyDescent="0.2">
      <c r="A395" s="56" t="s">
        <v>73</v>
      </c>
      <c r="B395" s="54" t="s">
        <v>287</v>
      </c>
      <c r="C395" s="60" t="s">
        <v>96</v>
      </c>
      <c r="D395" s="60" t="s">
        <v>59</v>
      </c>
      <c r="E395" s="60" t="s">
        <v>70</v>
      </c>
      <c r="F395" s="52">
        <f>3483-3000</f>
        <v>483</v>
      </c>
      <c r="G395" s="52">
        <f>3483-3000</f>
        <v>483</v>
      </c>
      <c r="H395" s="315">
        <f t="shared" si="96"/>
        <v>0</v>
      </c>
      <c r="I395" s="52">
        <v>1000</v>
      </c>
      <c r="J395" s="52">
        <f>3483-3000</f>
        <v>483</v>
      </c>
      <c r="K395" s="315">
        <f t="shared" si="94"/>
        <v>0</v>
      </c>
      <c r="L395" s="52">
        <f>1000-901</f>
        <v>99</v>
      </c>
      <c r="M395" s="320">
        <f t="shared" si="97"/>
        <v>-901</v>
      </c>
      <c r="N395" s="65">
        <v>1000</v>
      </c>
      <c r="O395" s="52">
        <f>1000-943</f>
        <v>57</v>
      </c>
      <c r="P395" s="315">
        <f t="shared" si="98"/>
        <v>-943</v>
      </c>
      <c r="Q395" s="39"/>
      <c r="R395" s="40"/>
      <c r="S395" s="40"/>
      <c r="T395" s="214"/>
      <c r="U395" s="214"/>
      <c r="V395" s="231"/>
      <c r="W395" s="231"/>
      <c r="X395" s="231"/>
      <c r="Y395" s="231"/>
      <c r="Z395" s="231"/>
      <c r="AA395" s="231"/>
      <c r="AB395" s="231"/>
      <c r="AC395" s="231"/>
      <c r="AD395" s="231"/>
      <c r="AE395" s="231"/>
      <c r="AF395" s="231"/>
      <c r="AG395" s="231"/>
      <c r="AH395" s="231"/>
      <c r="AI395" s="231"/>
      <c r="AJ395" s="231"/>
      <c r="AK395" s="231"/>
      <c r="AL395" s="231"/>
      <c r="AM395" s="231"/>
      <c r="AN395" s="231"/>
      <c r="AO395" s="231"/>
      <c r="AP395" s="231"/>
      <c r="AQ395" s="231"/>
      <c r="AR395" s="231"/>
    </row>
    <row r="396" spans="1:44" s="31" customFormat="1" x14ac:dyDescent="0.2">
      <c r="A396" s="84" t="s">
        <v>52</v>
      </c>
      <c r="B396" s="54" t="s">
        <v>286</v>
      </c>
      <c r="C396" s="60"/>
      <c r="D396" s="60"/>
      <c r="E396" s="60"/>
      <c r="F396" s="52">
        <f>F397+F401+F404+F409</f>
        <v>2558.1999999999998</v>
      </c>
      <c r="G396" s="52">
        <f>G397+G401+G404+G409</f>
        <v>2558.8999999999996</v>
      </c>
      <c r="H396" s="315">
        <f t="shared" si="96"/>
        <v>0.6999999999998181</v>
      </c>
      <c r="I396" s="52">
        <f>I397+I401+I404+I409</f>
        <v>2555.6999999999998</v>
      </c>
      <c r="J396" s="52">
        <f>J397+J401+J404+J409</f>
        <v>2558.8999999999996</v>
      </c>
      <c r="K396" s="315">
        <f t="shared" si="94"/>
        <v>0</v>
      </c>
      <c r="L396" s="52">
        <f>L397+L401+L404+L409</f>
        <v>2555.6999999999998</v>
      </c>
      <c r="M396" s="320">
        <f t="shared" si="97"/>
        <v>0</v>
      </c>
      <c r="N396" s="52">
        <f>N397+N401+N404+N409</f>
        <v>2555.6999999999998</v>
      </c>
      <c r="O396" s="52">
        <f>O397+O401+O404+O409</f>
        <v>2555.6999999999998</v>
      </c>
      <c r="P396" s="315">
        <f t="shared" si="98"/>
        <v>0</v>
      </c>
      <c r="Q396" s="39"/>
      <c r="R396" s="40"/>
      <c r="S396" s="40"/>
      <c r="T396" s="214"/>
      <c r="U396" s="214"/>
      <c r="V396" s="231"/>
      <c r="W396" s="231"/>
      <c r="X396" s="231"/>
      <c r="Y396" s="231"/>
      <c r="Z396" s="231"/>
      <c r="AA396" s="231"/>
      <c r="AB396" s="231"/>
      <c r="AC396" s="231"/>
      <c r="AD396" s="231"/>
      <c r="AE396" s="231"/>
      <c r="AF396" s="231"/>
      <c r="AG396" s="231"/>
      <c r="AH396" s="231"/>
      <c r="AI396" s="231"/>
      <c r="AJ396" s="231"/>
      <c r="AK396" s="231"/>
      <c r="AL396" s="231"/>
      <c r="AM396" s="231"/>
      <c r="AN396" s="231"/>
      <c r="AO396" s="231"/>
      <c r="AP396" s="231"/>
      <c r="AQ396" s="231"/>
      <c r="AR396" s="231"/>
    </row>
    <row r="397" spans="1:44" s="31" customFormat="1" ht="25.5" x14ac:dyDescent="0.2">
      <c r="A397" s="66" t="s">
        <v>626</v>
      </c>
      <c r="B397" s="54" t="s">
        <v>625</v>
      </c>
      <c r="C397" s="60"/>
      <c r="D397" s="60"/>
      <c r="E397" s="60"/>
      <c r="F397" s="52">
        <f>F398</f>
        <v>342.20000000000005</v>
      </c>
      <c r="G397" s="52">
        <f>G398</f>
        <v>342.20000000000005</v>
      </c>
      <c r="H397" s="315">
        <f t="shared" si="96"/>
        <v>0</v>
      </c>
      <c r="I397" s="52">
        <f>I398</f>
        <v>339.7</v>
      </c>
      <c r="J397" s="52">
        <f>J398</f>
        <v>342.20000000000005</v>
      </c>
      <c r="K397" s="315">
        <f t="shared" si="94"/>
        <v>0</v>
      </c>
      <c r="L397" s="52">
        <f>L398</f>
        <v>339.7</v>
      </c>
      <c r="M397" s="320">
        <f t="shared" si="97"/>
        <v>0</v>
      </c>
      <c r="N397" s="65">
        <f>N398</f>
        <v>339.7</v>
      </c>
      <c r="O397" s="52">
        <f>O398</f>
        <v>339.7</v>
      </c>
      <c r="P397" s="315">
        <f t="shared" si="98"/>
        <v>0</v>
      </c>
      <c r="Q397" s="39"/>
      <c r="R397" s="40"/>
      <c r="S397" s="40"/>
      <c r="T397" s="214"/>
      <c r="U397" s="214"/>
      <c r="V397" s="231"/>
      <c r="W397" s="231"/>
      <c r="X397" s="231"/>
      <c r="Y397" s="231"/>
      <c r="Z397" s="231"/>
      <c r="AA397" s="231"/>
      <c r="AB397" s="231"/>
      <c r="AC397" s="231"/>
      <c r="AD397" s="231"/>
      <c r="AE397" s="231"/>
      <c r="AF397" s="231"/>
      <c r="AG397" s="231"/>
      <c r="AH397" s="231"/>
      <c r="AI397" s="231"/>
      <c r="AJ397" s="231"/>
      <c r="AK397" s="231"/>
      <c r="AL397" s="231"/>
      <c r="AM397" s="231"/>
      <c r="AN397" s="231"/>
      <c r="AO397" s="231"/>
      <c r="AP397" s="231"/>
      <c r="AQ397" s="231"/>
      <c r="AR397" s="231"/>
    </row>
    <row r="398" spans="1:44" s="31" customFormat="1" ht="51" x14ac:dyDescent="0.2">
      <c r="A398" s="93" t="s">
        <v>624</v>
      </c>
      <c r="B398" s="54" t="s">
        <v>623</v>
      </c>
      <c r="C398" s="60" t="s">
        <v>45</v>
      </c>
      <c r="D398" s="60" t="s">
        <v>108</v>
      </c>
      <c r="E398" s="60"/>
      <c r="F398" s="52">
        <f>F399+F400</f>
        <v>342.20000000000005</v>
      </c>
      <c r="G398" s="52">
        <f>G399+G400</f>
        <v>342.20000000000005</v>
      </c>
      <c r="H398" s="315">
        <f t="shared" si="96"/>
        <v>0</v>
      </c>
      <c r="I398" s="52">
        <f>I399+I400</f>
        <v>339.7</v>
      </c>
      <c r="J398" s="52">
        <f>J399+J400</f>
        <v>342.20000000000005</v>
      </c>
      <c r="K398" s="315">
        <f t="shared" si="94"/>
        <v>0</v>
      </c>
      <c r="L398" s="52">
        <f>L399+L400</f>
        <v>339.7</v>
      </c>
      <c r="M398" s="320">
        <f t="shared" si="97"/>
        <v>0</v>
      </c>
      <c r="N398" s="65">
        <f>N399+N400</f>
        <v>339.7</v>
      </c>
      <c r="O398" s="52">
        <f>O399+O400</f>
        <v>339.7</v>
      </c>
      <c r="P398" s="315">
        <f t="shared" si="98"/>
        <v>0</v>
      </c>
      <c r="Q398" s="39"/>
      <c r="R398" s="40"/>
      <c r="S398" s="40"/>
      <c r="T398" s="214"/>
      <c r="U398" s="214"/>
      <c r="V398" s="231"/>
      <c r="W398" s="231"/>
      <c r="X398" s="231"/>
      <c r="Y398" s="231"/>
      <c r="Z398" s="231"/>
      <c r="AA398" s="231"/>
      <c r="AB398" s="231"/>
      <c r="AC398" s="231"/>
      <c r="AD398" s="231"/>
      <c r="AE398" s="231"/>
      <c r="AF398" s="231"/>
      <c r="AG398" s="231"/>
      <c r="AH398" s="231"/>
      <c r="AI398" s="231"/>
      <c r="AJ398" s="231"/>
      <c r="AK398" s="231"/>
      <c r="AL398" s="231"/>
      <c r="AM398" s="231"/>
      <c r="AN398" s="231"/>
      <c r="AO398" s="231"/>
      <c r="AP398" s="231"/>
      <c r="AQ398" s="231"/>
      <c r="AR398" s="231"/>
    </row>
    <row r="399" spans="1:44" s="31" customFormat="1" x14ac:dyDescent="0.2">
      <c r="A399" s="84" t="s">
        <v>84</v>
      </c>
      <c r="B399" s="54" t="s">
        <v>623</v>
      </c>
      <c r="C399" s="60" t="s">
        <v>45</v>
      </c>
      <c r="D399" s="60" t="s">
        <v>108</v>
      </c>
      <c r="E399" s="60" t="s">
        <v>83</v>
      </c>
      <c r="F399" s="52">
        <v>229.3</v>
      </c>
      <c r="G399" s="52">
        <v>229.3</v>
      </c>
      <c r="H399" s="315">
        <f t="shared" si="96"/>
        <v>0</v>
      </c>
      <c r="I399" s="52">
        <v>227.6</v>
      </c>
      <c r="J399" s="52">
        <v>229.3</v>
      </c>
      <c r="K399" s="315">
        <f t="shared" si="94"/>
        <v>0</v>
      </c>
      <c r="L399" s="52">
        <v>227.6</v>
      </c>
      <c r="M399" s="320">
        <f t="shared" si="97"/>
        <v>0</v>
      </c>
      <c r="N399" s="65">
        <v>227.6</v>
      </c>
      <c r="O399" s="52">
        <v>227.6</v>
      </c>
      <c r="P399" s="315">
        <f t="shared" si="98"/>
        <v>0</v>
      </c>
      <c r="Q399" s="39"/>
      <c r="R399" s="40"/>
      <c r="S399" s="40"/>
      <c r="T399" s="214"/>
      <c r="U399" s="214"/>
      <c r="V399" s="231"/>
      <c r="W399" s="231"/>
      <c r="X399" s="231"/>
      <c r="Y399" s="231"/>
      <c r="Z399" s="231"/>
      <c r="AA399" s="231"/>
      <c r="AB399" s="231"/>
      <c r="AC399" s="231"/>
      <c r="AD399" s="231"/>
      <c r="AE399" s="231"/>
      <c r="AF399" s="231"/>
      <c r="AG399" s="231"/>
      <c r="AH399" s="231"/>
      <c r="AI399" s="231"/>
      <c r="AJ399" s="231"/>
      <c r="AK399" s="231"/>
      <c r="AL399" s="231"/>
      <c r="AM399" s="231"/>
      <c r="AN399" s="231"/>
      <c r="AO399" s="231"/>
      <c r="AP399" s="231"/>
      <c r="AQ399" s="231"/>
      <c r="AR399" s="231"/>
    </row>
    <row r="400" spans="1:44" s="31" customFormat="1" ht="25.5" x14ac:dyDescent="0.2">
      <c r="A400" s="84" t="s">
        <v>73</v>
      </c>
      <c r="B400" s="54" t="s">
        <v>623</v>
      </c>
      <c r="C400" s="60" t="s">
        <v>45</v>
      </c>
      <c r="D400" s="60" t="s">
        <v>108</v>
      </c>
      <c r="E400" s="60" t="s">
        <v>70</v>
      </c>
      <c r="F400" s="52">
        <v>112.9</v>
      </c>
      <c r="G400" s="52">
        <v>112.9</v>
      </c>
      <c r="H400" s="315">
        <f t="shared" si="96"/>
        <v>0</v>
      </c>
      <c r="I400" s="52">
        <v>112.1</v>
      </c>
      <c r="J400" s="52">
        <v>112.9</v>
      </c>
      <c r="K400" s="315">
        <f t="shared" si="94"/>
        <v>0</v>
      </c>
      <c r="L400" s="52">
        <v>112.1</v>
      </c>
      <c r="M400" s="320">
        <f t="shared" si="97"/>
        <v>0</v>
      </c>
      <c r="N400" s="65">
        <v>112.1</v>
      </c>
      <c r="O400" s="52">
        <v>112.1</v>
      </c>
      <c r="P400" s="315">
        <f t="shared" si="98"/>
        <v>0</v>
      </c>
      <c r="Q400" s="39"/>
      <c r="R400" s="40"/>
      <c r="S400" s="40"/>
      <c r="T400" s="214"/>
      <c r="U400" s="214"/>
      <c r="V400" s="231"/>
      <c r="W400" s="231"/>
      <c r="X400" s="231"/>
      <c r="Y400" s="231"/>
      <c r="Z400" s="231"/>
      <c r="AA400" s="231"/>
      <c r="AB400" s="231"/>
      <c r="AC400" s="231"/>
      <c r="AD400" s="231"/>
      <c r="AE400" s="231"/>
      <c r="AF400" s="231"/>
      <c r="AG400" s="231"/>
      <c r="AH400" s="231"/>
      <c r="AI400" s="231"/>
      <c r="AJ400" s="231"/>
      <c r="AK400" s="231"/>
      <c r="AL400" s="231"/>
      <c r="AM400" s="231"/>
      <c r="AN400" s="231"/>
      <c r="AO400" s="231"/>
      <c r="AP400" s="231"/>
      <c r="AQ400" s="231"/>
      <c r="AR400" s="231"/>
    </row>
    <row r="401" spans="1:44" s="31" customFormat="1" ht="25.5" x14ac:dyDescent="0.2">
      <c r="A401" s="84" t="s">
        <v>285</v>
      </c>
      <c r="B401" s="54" t="s">
        <v>284</v>
      </c>
      <c r="C401" s="60"/>
      <c r="D401" s="60"/>
      <c r="E401" s="60"/>
      <c r="F401" s="52">
        <f t="shared" ref="F401:O402" si="101">F402</f>
        <v>2160</v>
      </c>
      <c r="G401" s="52">
        <f t="shared" si="101"/>
        <v>2160</v>
      </c>
      <c r="H401" s="315">
        <f t="shared" si="96"/>
        <v>0</v>
      </c>
      <c r="I401" s="52">
        <f t="shared" si="101"/>
        <v>2160</v>
      </c>
      <c r="J401" s="52">
        <f t="shared" si="101"/>
        <v>2160</v>
      </c>
      <c r="K401" s="315">
        <f t="shared" si="94"/>
        <v>0</v>
      </c>
      <c r="L401" s="52">
        <f t="shared" si="101"/>
        <v>2160</v>
      </c>
      <c r="M401" s="320">
        <f t="shared" si="97"/>
        <v>0</v>
      </c>
      <c r="N401" s="65">
        <f t="shared" si="101"/>
        <v>2160</v>
      </c>
      <c r="O401" s="52">
        <f t="shared" si="101"/>
        <v>2160</v>
      </c>
      <c r="P401" s="315">
        <f t="shared" si="98"/>
        <v>0</v>
      </c>
      <c r="Q401" s="39"/>
      <c r="R401" s="40"/>
      <c r="S401" s="40"/>
      <c r="T401" s="214"/>
      <c r="U401" s="214"/>
      <c r="V401" s="231"/>
      <c r="W401" s="231"/>
      <c r="X401" s="231"/>
      <c r="Y401" s="231"/>
      <c r="Z401" s="231"/>
      <c r="AA401" s="231"/>
      <c r="AB401" s="231"/>
      <c r="AC401" s="231"/>
      <c r="AD401" s="231"/>
      <c r="AE401" s="231"/>
      <c r="AF401" s="231"/>
      <c r="AG401" s="231"/>
      <c r="AH401" s="231"/>
      <c r="AI401" s="231"/>
      <c r="AJ401" s="231"/>
      <c r="AK401" s="231"/>
      <c r="AL401" s="231"/>
      <c r="AM401" s="231"/>
      <c r="AN401" s="231"/>
      <c r="AO401" s="231"/>
      <c r="AP401" s="231"/>
      <c r="AQ401" s="231"/>
      <c r="AR401" s="231"/>
    </row>
    <row r="402" spans="1:44" s="31" customFormat="1" x14ac:dyDescent="0.2">
      <c r="A402" s="84" t="s">
        <v>283</v>
      </c>
      <c r="B402" s="54" t="s">
        <v>282</v>
      </c>
      <c r="C402" s="60" t="s">
        <v>96</v>
      </c>
      <c r="D402" s="60" t="s">
        <v>59</v>
      </c>
      <c r="E402" s="60"/>
      <c r="F402" s="52">
        <f t="shared" si="101"/>
        <v>2160</v>
      </c>
      <c r="G402" s="52">
        <f t="shared" si="101"/>
        <v>2160</v>
      </c>
      <c r="H402" s="315">
        <f t="shared" si="96"/>
        <v>0</v>
      </c>
      <c r="I402" s="52">
        <f t="shared" si="101"/>
        <v>2160</v>
      </c>
      <c r="J402" s="52">
        <f t="shared" si="101"/>
        <v>2160</v>
      </c>
      <c r="K402" s="315">
        <f t="shared" ref="K402:K465" si="102">J402-G402</f>
        <v>0</v>
      </c>
      <c r="L402" s="52">
        <f t="shared" si="101"/>
        <v>2160</v>
      </c>
      <c r="M402" s="320">
        <f t="shared" si="97"/>
        <v>0</v>
      </c>
      <c r="N402" s="65">
        <f t="shared" si="101"/>
        <v>2160</v>
      </c>
      <c r="O402" s="52">
        <f t="shared" si="101"/>
        <v>2160</v>
      </c>
      <c r="P402" s="315">
        <f t="shared" si="98"/>
        <v>0</v>
      </c>
      <c r="Q402" s="39"/>
      <c r="R402" s="40"/>
      <c r="S402" s="40"/>
      <c r="T402" s="214"/>
      <c r="U402" s="214"/>
      <c r="V402" s="231"/>
      <c r="W402" s="231"/>
      <c r="X402" s="231"/>
      <c r="Y402" s="231"/>
      <c r="Z402" s="231"/>
      <c r="AA402" s="231"/>
      <c r="AB402" s="231"/>
      <c r="AC402" s="231"/>
      <c r="AD402" s="231"/>
      <c r="AE402" s="231"/>
      <c r="AF402" s="231"/>
      <c r="AG402" s="231"/>
      <c r="AH402" s="231"/>
      <c r="AI402" s="231"/>
      <c r="AJ402" s="231"/>
      <c r="AK402" s="231"/>
      <c r="AL402" s="231"/>
      <c r="AM402" s="231"/>
      <c r="AN402" s="231"/>
      <c r="AO402" s="231"/>
      <c r="AP402" s="231"/>
      <c r="AQ402" s="231"/>
      <c r="AR402" s="231"/>
    </row>
    <row r="403" spans="1:44" s="31" customFormat="1" ht="27" customHeight="1" x14ac:dyDescent="0.2">
      <c r="A403" s="84" t="s">
        <v>73</v>
      </c>
      <c r="B403" s="54" t="s">
        <v>282</v>
      </c>
      <c r="C403" s="60" t="s">
        <v>96</v>
      </c>
      <c r="D403" s="60" t="s">
        <v>59</v>
      </c>
      <c r="E403" s="60" t="s">
        <v>70</v>
      </c>
      <c r="F403" s="52">
        <v>2160</v>
      </c>
      <c r="G403" s="52">
        <v>2160</v>
      </c>
      <c r="H403" s="315">
        <f t="shared" si="96"/>
        <v>0</v>
      </c>
      <c r="I403" s="52">
        <v>2160</v>
      </c>
      <c r="J403" s="52">
        <v>2160</v>
      </c>
      <c r="K403" s="315">
        <f t="shared" si="102"/>
        <v>0</v>
      </c>
      <c r="L403" s="52">
        <v>2160</v>
      </c>
      <c r="M403" s="320">
        <f t="shared" si="97"/>
        <v>0</v>
      </c>
      <c r="N403" s="65">
        <v>2160</v>
      </c>
      <c r="O403" s="52">
        <v>2160</v>
      </c>
      <c r="P403" s="315">
        <f t="shared" si="98"/>
        <v>0</v>
      </c>
      <c r="Q403" s="39"/>
      <c r="R403" s="40"/>
      <c r="S403" s="40"/>
      <c r="T403" s="214"/>
      <c r="U403" s="214"/>
      <c r="V403" s="231"/>
      <c r="W403" s="231"/>
      <c r="X403" s="231"/>
      <c r="Y403" s="231"/>
      <c r="Z403" s="231"/>
      <c r="AA403" s="231"/>
      <c r="AB403" s="231"/>
      <c r="AC403" s="231"/>
      <c r="AD403" s="231"/>
      <c r="AE403" s="231"/>
      <c r="AF403" s="231"/>
      <c r="AG403" s="231"/>
      <c r="AH403" s="231"/>
      <c r="AI403" s="231"/>
      <c r="AJ403" s="231"/>
      <c r="AK403" s="231"/>
      <c r="AL403" s="231"/>
      <c r="AM403" s="231"/>
      <c r="AN403" s="231"/>
      <c r="AO403" s="231"/>
      <c r="AP403" s="231"/>
      <c r="AQ403" s="231"/>
      <c r="AR403" s="231"/>
    </row>
    <row r="404" spans="1:44" s="31" customFormat="1" ht="25.5" x14ac:dyDescent="0.2">
      <c r="A404" s="84" t="s">
        <v>281</v>
      </c>
      <c r="B404" s="54" t="s">
        <v>280</v>
      </c>
      <c r="C404" s="60"/>
      <c r="D404" s="60"/>
      <c r="E404" s="60"/>
      <c r="F404" s="52">
        <f>F405</f>
        <v>56</v>
      </c>
      <c r="G404" s="52">
        <f>G405</f>
        <v>56</v>
      </c>
      <c r="H404" s="315">
        <f t="shared" si="96"/>
        <v>0</v>
      </c>
      <c r="I404" s="52">
        <f>I405</f>
        <v>56</v>
      </c>
      <c r="J404" s="52">
        <f>J405</f>
        <v>56</v>
      </c>
      <c r="K404" s="315">
        <f t="shared" si="102"/>
        <v>0</v>
      </c>
      <c r="L404" s="52">
        <f>L405</f>
        <v>56</v>
      </c>
      <c r="M404" s="320">
        <f t="shared" si="97"/>
        <v>0</v>
      </c>
      <c r="N404" s="65">
        <f>N405</f>
        <v>56</v>
      </c>
      <c r="O404" s="52">
        <f>O405</f>
        <v>56</v>
      </c>
      <c r="P404" s="315">
        <f t="shared" si="98"/>
        <v>0</v>
      </c>
      <c r="Q404" s="39"/>
      <c r="R404" s="40"/>
      <c r="S404" s="40"/>
      <c r="T404" s="214"/>
      <c r="U404" s="214"/>
      <c r="V404" s="231"/>
      <c r="W404" s="231"/>
      <c r="X404" s="231"/>
      <c r="Y404" s="231"/>
      <c r="Z404" s="231"/>
      <c r="AA404" s="231"/>
      <c r="AB404" s="231"/>
      <c r="AC404" s="231"/>
      <c r="AD404" s="231"/>
      <c r="AE404" s="231"/>
      <c r="AF404" s="231"/>
      <c r="AG404" s="231"/>
      <c r="AH404" s="231"/>
      <c r="AI404" s="231"/>
      <c r="AJ404" s="231"/>
      <c r="AK404" s="231"/>
      <c r="AL404" s="231"/>
      <c r="AM404" s="231"/>
      <c r="AN404" s="231"/>
      <c r="AO404" s="231"/>
      <c r="AP404" s="231"/>
      <c r="AQ404" s="231"/>
      <c r="AR404" s="231"/>
    </row>
    <row r="405" spans="1:44" s="31" customFormat="1" x14ac:dyDescent="0.2">
      <c r="A405" s="191" t="s">
        <v>279</v>
      </c>
      <c r="B405" s="54" t="s">
        <v>278</v>
      </c>
      <c r="C405" s="60" t="s">
        <v>96</v>
      </c>
      <c r="D405" s="60" t="s">
        <v>59</v>
      </c>
      <c r="E405" s="60"/>
      <c r="F405" s="52">
        <f>F406+F407+F408</f>
        <v>56</v>
      </c>
      <c r="G405" s="52">
        <f>G406+G407+G408</f>
        <v>56</v>
      </c>
      <c r="H405" s="315">
        <f t="shared" si="96"/>
        <v>0</v>
      </c>
      <c r="I405" s="52">
        <f>I406+I407+I408</f>
        <v>56</v>
      </c>
      <c r="J405" s="52">
        <f>J406+J407+J408</f>
        <v>56</v>
      </c>
      <c r="K405" s="315">
        <f t="shared" si="102"/>
        <v>0</v>
      </c>
      <c r="L405" s="52">
        <f>L406+L407+L408</f>
        <v>56</v>
      </c>
      <c r="M405" s="320">
        <f t="shared" si="97"/>
        <v>0</v>
      </c>
      <c r="N405" s="65">
        <f>N406+N407+N408</f>
        <v>56</v>
      </c>
      <c r="O405" s="52">
        <f>O406+O407+O408</f>
        <v>56</v>
      </c>
      <c r="P405" s="315">
        <f t="shared" si="98"/>
        <v>0</v>
      </c>
      <c r="Q405" s="39"/>
      <c r="R405" s="40"/>
      <c r="S405" s="40"/>
      <c r="T405" s="214"/>
      <c r="U405" s="214"/>
      <c r="V405" s="231"/>
      <c r="W405" s="231"/>
      <c r="X405" s="231"/>
      <c r="Y405" s="231"/>
      <c r="Z405" s="231"/>
      <c r="AA405" s="231"/>
      <c r="AB405" s="231"/>
      <c r="AC405" s="231"/>
      <c r="AD405" s="231"/>
      <c r="AE405" s="231"/>
      <c r="AF405" s="231"/>
      <c r="AG405" s="231"/>
      <c r="AH405" s="231"/>
      <c r="AI405" s="231"/>
      <c r="AJ405" s="231"/>
      <c r="AK405" s="231"/>
      <c r="AL405" s="231"/>
      <c r="AM405" s="231"/>
      <c r="AN405" s="231"/>
      <c r="AO405" s="231"/>
      <c r="AP405" s="231"/>
      <c r="AQ405" s="231"/>
      <c r="AR405" s="231"/>
    </row>
    <row r="406" spans="1:44" s="31" customFormat="1" ht="25.5" x14ac:dyDescent="0.2">
      <c r="A406" s="84" t="s">
        <v>73</v>
      </c>
      <c r="B406" s="54" t="s">
        <v>278</v>
      </c>
      <c r="C406" s="60" t="s">
        <v>96</v>
      </c>
      <c r="D406" s="60" t="s">
        <v>59</v>
      </c>
      <c r="E406" s="60" t="s">
        <v>70</v>
      </c>
      <c r="F406" s="52">
        <v>6</v>
      </c>
      <c r="G406" s="52">
        <v>6</v>
      </c>
      <c r="H406" s="315">
        <f t="shared" si="96"/>
        <v>0</v>
      </c>
      <c r="I406" s="52">
        <v>6</v>
      </c>
      <c r="J406" s="52">
        <v>6</v>
      </c>
      <c r="K406" s="315">
        <f t="shared" si="102"/>
        <v>0</v>
      </c>
      <c r="L406" s="52">
        <v>6</v>
      </c>
      <c r="M406" s="320">
        <f t="shared" si="97"/>
        <v>0</v>
      </c>
      <c r="N406" s="65">
        <v>6</v>
      </c>
      <c r="O406" s="52">
        <v>6</v>
      </c>
      <c r="P406" s="315">
        <f t="shared" si="98"/>
        <v>0</v>
      </c>
      <c r="Q406" s="39"/>
      <c r="R406" s="40"/>
      <c r="S406" s="40"/>
      <c r="T406" s="214"/>
      <c r="U406" s="214"/>
      <c r="V406" s="231"/>
      <c r="W406" s="231"/>
      <c r="X406" s="231"/>
      <c r="Y406" s="231"/>
      <c r="Z406" s="231"/>
      <c r="AA406" s="231"/>
      <c r="AB406" s="231"/>
      <c r="AC406" s="231"/>
      <c r="AD406" s="231"/>
      <c r="AE406" s="231"/>
      <c r="AF406" s="231"/>
      <c r="AG406" s="231"/>
      <c r="AH406" s="231"/>
      <c r="AI406" s="231"/>
      <c r="AJ406" s="231"/>
      <c r="AK406" s="231"/>
      <c r="AL406" s="231"/>
      <c r="AM406" s="231"/>
      <c r="AN406" s="231"/>
      <c r="AO406" s="231"/>
      <c r="AP406" s="231"/>
      <c r="AQ406" s="231"/>
      <c r="AR406" s="231"/>
    </row>
    <row r="407" spans="1:44" s="31" customFormat="1" x14ac:dyDescent="0.2">
      <c r="A407" s="95" t="s">
        <v>98</v>
      </c>
      <c r="B407" s="54" t="s">
        <v>278</v>
      </c>
      <c r="C407" s="60" t="s">
        <v>96</v>
      </c>
      <c r="D407" s="60" t="s">
        <v>59</v>
      </c>
      <c r="E407" s="60" t="s">
        <v>81</v>
      </c>
      <c r="F407" s="52">
        <f>10+30</f>
        <v>40</v>
      </c>
      <c r="G407" s="52">
        <f>10+30</f>
        <v>40</v>
      </c>
      <c r="H407" s="315">
        <f t="shared" si="96"/>
        <v>0</v>
      </c>
      <c r="I407" s="52">
        <f>10+30</f>
        <v>40</v>
      </c>
      <c r="J407" s="52">
        <f>10+30</f>
        <v>40</v>
      </c>
      <c r="K407" s="315">
        <f t="shared" si="102"/>
        <v>0</v>
      </c>
      <c r="L407" s="52">
        <f>10+30</f>
        <v>40</v>
      </c>
      <c r="M407" s="320">
        <f t="shared" si="97"/>
        <v>0</v>
      </c>
      <c r="N407" s="65">
        <f>10+30</f>
        <v>40</v>
      </c>
      <c r="O407" s="52">
        <f>10+30</f>
        <v>40</v>
      </c>
      <c r="P407" s="315">
        <f t="shared" si="98"/>
        <v>0</v>
      </c>
      <c r="Q407" s="39"/>
      <c r="R407" s="40"/>
      <c r="S407" s="40"/>
      <c r="T407" s="214"/>
      <c r="U407" s="214"/>
      <c r="V407" s="231"/>
      <c r="W407" s="231"/>
      <c r="X407" s="231"/>
      <c r="Y407" s="231"/>
      <c r="Z407" s="231"/>
      <c r="AA407" s="231"/>
      <c r="AB407" s="231"/>
      <c r="AC407" s="231"/>
      <c r="AD407" s="231"/>
      <c r="AE407" s="231"/>
      <c r="AF407" s="231"/>
      <c r="AG407" s="231"/>
      <c r="AH407" s="231"/>
      <c r="AI407" s="231"/>
      <c r="AJ407" s="231"/>
      <c r="AK407" s="231"/>
      <c r="AL407" s="231"/>
      <c r="AM407" s="231"/>
      <c r="AN407" s="231"/>
      <c r="AO407" s="231"/>
      <c r="AP407" s="231"/>
      <c r="AQ407" s="231"/>
      <c r="AR407" s="231"/>
    </row>
    <row r="408" spans="1:44" s="31" customFormat="1" x14ac:dyDescent="0.2">
      <c r="A408" s="95" t="s">
        <v>87</v>
      </c>
      <c r="B408" s="54" t="s">
        <v>278</v>
      </c>
      <c r="C408" s="60" t="s">
        <v>96</v>
      </c>
      <c r="D408" s="60" t="s">
        <v>59</v>
      </c>
      <c r="E408" s="60" t="s">
        <v>57</v>
      </c>
      <c r="F408" s="52">
        <v>10</v>
      </c>
      <c r="G408" s="52">
        <v>10</v>
      </c>
      <c r="H408" s="315">
        <f t="shared" si="96"/>
        <v>0</v>
      </c>
      <c r="I408" s="52">
        <v>10</v>
      </c>
      <c r="J408" s="52">
        <v>10</v>
      </c>
      <c r="K408" s="315">
        <f t="shared" si="102"/>
        <v>0</v>
      </c>
      <c r="L408" s="52">
        <v>10</v>
      </c>
      <c r="M408" s="320">
        <f t="shared" si="97"/>
        <v>0</v>
      </c>
      <c r="N408" s="65">
        <v>10</v>
      </c>
      <c r="O408" s="52">
        <v>10</v>
      </c>
      <c r="P408" s="315">
        <f t="shared" si="98"/>
        <v>0</v>
      </c>
      <c r="Q408" s="39"/>
      <c r="R408" s="40"/>
      <c r="S408" s="40"/>
      <c r="T408" s="214"/>
      <c r="U408" s="214"/>
      <c r="V408" s="231"/>
      <c r="W408" s="231"/>
      <c r="X408" s="231"/>
      <c r="Y408" s="231"/>
      <c r="Z408" s="231"/>
      <c r="AA408" s="231"/>
      <c r="AB408" s="231"/>
      <c r="AC408" s="231"/>
      <c r="AD408" s="231"/>
      <c r="AE408" s="231"/>
      <c r="AF408" s="231"/>
      <c r="AG408" s="231"/>
      <c r="AH408" s="231"/>
      <c r="AI408" s="231"/>
      <c r="AJ408" s="231"/>
      <c r="AK408" s="231"/>
      <c r="AL408" s="231"/>
      <c r="AM408" s="231"/>
      <c r="AN408" s="231"/>
      <c r="AO408" s="231"/>
      <c r="AP408" s="231"/>
      <c r="AQ408" s="231"/>
      <c r="AR408" s="231"/>
    </row>
    <row r="409" spans="1:44" s="31" customFormat="1" ht="25.5" x14ac:dyDescent="0.2">
      <c r="A409" s="84" t="s">
        <v>1076</v>
      </c>
      <c r="B409" s="54" t="s">
        <v>1077</v>
      </c>
      <c r="C409" s="60" t="s">
        <v>96</v>
      </c>
      <c r="D409" s="60" t="s">
        <v>59</v>
      </c>
      <c r="E409" s="60"/>
      <c r="F409" s="52">
        <f>F410</f>
        <v>0</v>
      </c>
      <c r="G409" s="52">
        <f>G410</f>
        <v>0.7</v>
      </c>
      <c r="H409" s="315">
        <f>G409-F409</f>
        <v>0.7</v>
      </c>
      <c r="I409" s="52">
        <f>I410</f>
        <v>0</v>
      </c>
      <c r="J409" s="52">
        <f>J410</f>
        <v>0.7</v>
      </c>
      <c r="K409" s="315">
        <f t="shared" si="102"/>
        <v>0</v>
      </c>
      <c r="L409" s="52">
        <f>L410</f>
        <v>0</v>
      </c>
      <c r="M409" s="320">
        <f>L409-I409</f>
        <v>0</v>
      </c>
      <c r="N409" s="65">
        <f>N410</f>
        <v>0</v>
      </c>
      <c r="O409" s="52">
        <f>O410</f>
        <v>0</v>
      </c>
      <c r="P409" s="315">
        <f>O409-N409</f>
        <v>0</v>
      </c>
      <c r="Q409" s="39"/>
      <c r="R409" s="40"/>
      <c r="S409" s="40"/>
      <c r="T409" s="214"/>
      <c r="U409" s="214"/>
      <c r="V409" s="231"/>
      <c r="W409" s="231"/>
      <c r="X409" s="231"/>
      <c r="Y409" s="231"/>
      <c r="Z409" s="231"/>
      <c r="AA409" s="231"/>
      <c r="AB409" s="231"/>
      <c r="AC409" s="231"/>
      <c r="AD409" s="231"/>
      <c r="AE409" s="231"/>
      <c r="AF409" s="231"/>
      <c r="AG409" s="231"/>
      <c r="AH409" s="231"/>
      <c r="AI409" s="231"/>
      <c r="AJ409" s="231"/>
      <c r="AK409" s="231"/>
      <c r="AL409" s="231"/>
      <c r="AM409" s="231"/>
      <c r="AN409" s="231"/>
      <c r="AO409" s="231"/>
      <c r="AP409" s="231"/>
      <c r="AQ409" s="231"/>
      <c r="AR409" s="231"/>
    </row>
    <row r="410" spans="1:44" s="31" customFormat="1" x14ac:dyDescent="0.2">
      <c r="A410" s="84" t="s">
        <v>296</v>
      </c>
      <c r="B410" s="54" t="s">
        <v>1078</v>
      </c>
      <c r="C410" s="60" t="s">
        <v>96</v>
      </c>
      <c r="D410" s="60" t="s">
        <v>59</v>
      </c>
      <c r="E410" s="60"/>
      <c r="F410" s="52">
        <f>F411</f>
        <v>0</v>
      </c>
      <c r="G410" s="52">
        <f>G411</f>
        <v>0.7</v>
      </c>
      <c r="H410" s="315">
        <f>G410-F410</f>
        <v>0.7</v>
      </c>
      <c r="I410" s="52">
        <f>I411</f>
        <v>0</v>
      </c>
      <c r="J410" s="52">
        <f>J411</f>
        <v>0.7</v>
      </c>
      <c r="K410" s="315">
        <f t="shared" si="102"/>
        <v>0</v>
      </c>
      <c r="L410" s="52">
        <f>L411</f>
        <v>0</v>
      </c>
      <c r="M410" s="320">
        <f>L410-I410</f>
        <v>0</v>
      </c>
      <c r="N410" s="65">
        <f>N411</f>
        <v>0</v>
      </c>
      <c r="O410" s="52">
        <f>O411</f>
        <v>0</v>
      </c>
      <c r="P410" s="315">
        <f>O410-N410</f>
        <v>0</v>
      </c>
      <c r="Q410" s="39"/>
      <c r="R410" s="40"/>
      <c r="S410" s="40"/>
      <c r="T410" s="214"/>
      <c r="U410" s="214"/>
      <c r="V410" s="231"/>
      <c r="W410" s="231"/>
      <c r="X410" s="231"/>
      <c r="Y410" s="231"/>
      <c r="Z410" s="231"/>
      <c r="AA410" s="231"/>
      <c r="AB410" s="231"/>
      <c r="AC410" s="231"/>
      <c r="AD410" s="231"/>
      <c r="AE410" s="231"/>
      <c r="AF410" s="231"/>
      <c r="AG410" s="231"/>
      <c r="AH410" s="231"/>
      <c r="AI410" s="231"/>
      <c r="AJ410" s="231"/>
      <c r="AK410" s="231"/>
      <c r="AL410" s="231"/>
      <c r="AM410" s="231"/>
      <c r="AN410" s="231"/>
      <c r="AO410" s="231"/>
      <c r="AP410" s="231"/>
      <c r="AQ410" s="231"/>
      <c r="AR410" s="231"/>
    </row>
    <row r="411" spans="1:44" s="31" customFormat="1" ht="25.5" x14ac:dyDescent="0.2">
      <c r="A411" s="84" t="s">
        <v>73</v>
      </c>
      <c r="B411" s="54" t="s">
        <v>1078</v>
      </c>
      <c r="C411" s="60" t="s">
        <v>96</v>
      </c>
      <c r="D411" s="60" t="s">
        <v>59</v>
      </c>
      <c r="E411" s="60" t="s">
        <v>320</v>
      </c>
      <c r="F411" s="52">
        <v>0</v>
      </c>
      <c r="G411" s="52">
        <v>0.7</v>
      </c>
      <c r="H411" s="315">
        <f>G411-F411</f>
        <v>0.7</v>
      </c>
      <c r="I411" s="52">
        <v>0</v>
      </c>
      <c r="J411" s="52">
        <v>0.7</v>
      </c>
      <c r="K411" s="315">
        <f t="shared" si="102"/>
        <v>0</v>
      </c>
      <c r="L411" s="52">
        <v>0</v>
      </c>
      <c r="M411" s="320">
        <f>L411-I411</f>
        <v>0</v>
      </c>
      <c r="N411" s="65">
        <v>0</v>
      </c>
      <c r="O411" s="52">
        <v>0</v>
      </c>
      <c r="P411" s="315">
        <f>O411-N411</f>
        <v>0</v>
      </c>
      <c r="Q411" s="39"/>
      <c r="R411" s="40"/>
      <c r="S411" s="40"/>
      <c r="T411" s="214"/>
      <c r="U411" s="214"/>
      <c r="V411" s="231"/>
      <c r="W411" s="231"/>
      <c r="X411" s="231"/>
      <c r="Y411" s="231"/>
      <c r="Z411" s="231"/>
      <c r="AA411" s="231"/>
      <c r="AB411" s="231"/>
      <c r="AC411" s="231"/>
      <c r="AD411" s="231"/>
      <c r="AE411" s="231"/>
      <c r="AF411" s="231"/>
      <c r="AG411" s="231"/>
      <c r="AH411" s="231"/>
      <c r="AI411" s="231"/>
      <c r="AJ411" s="231"/>
      <c r="AK411" s="231"/>
      <c r="AL411" s="231"/>
      <c r="AM411" s="231"/>
      <c r="AN411" s="231"/>
      <c r="AO411" s="231"/>
      <c r="AP411" s="231"/>
      <c r="AQ411" s="231"/>
      <c r="AR411" s="231"/>
    </row>
    <row r="412" spans="1:44" s="258" customFormat="1" ht="33" customHeight="1" x14ac:dyDescent="0.2">
      <c r="A412" s="232" t="s">
        <v>721</v>
      </c>
      <c r="B412" s="225" t="s">
        <v>308</v>
      </c>
      <c r="C412" s="226"/>
      <c r="D412" s="226"/>
      <c r="E412" s="226"/>
      <c r="F412" s="227">
        <f>F413+F434</f>
        <v>133101.19999999998</v>
      </c>
      <c r="G412" s="227">
        <f>G413+G434</f>
        <v>140992.99999999997</v>
      </c>
      <c r="H412" s="315">
        <f t="shared" si="96"/>
        <v>7891.7999999999884</v>
      </c>
      <c r="I412" s="227">
        <f>I413+I434</f>
        <v>18742.2</v>
      </c>
      <c r="J412" s="227">
        <f>J413+J434</f>
        <v>193476.3</v>
      </c>
      <c r="K412" s="315">
        <f t="shared" si="102"/>
        <v>52483.300000000017</v>
      </c>
      <c r="L412" s="227">
        <f>L413+L434</f>
        <v>18742.2</v>
      </c>
      <c r="M412" s="320">
        <f t="shared" si="97"/>
        <v>0</v>
      </c>
      <c r="N412" s="228">
        <f>N413+N434</f>
        <v>20788</v>
      </c>
      <c r="O412" s="227">
        <f>O413+O434</f>
        <v>20788</v>
      </c>
      <c r="P412" s="315">
        <f t="shared" si="98"/>
        <v>0</v>
      </c>
      <c r="Q412" s="255"/>
      <c r="R412" s="255"/>
      <c r="S412" s="255"/>
      <c r="T412" s="256"/>
      <c r="U412" s="256"/>
      <c r="V412" s="257"/>
      <c r="W412" s="257"/>
      <c r="X412" s="257"/>
      <c r="Y412" s="257"/>
      <c r="Z412" s="257"/>
      <c r="AA412" s="257"/>
      <c r="AB412" s="257"/>
      <c r="AC412" s="257"/>
      <c r="AD412" s="257"/>
      <c r="AE412" s="257"/>
      <c r="AF412" s="257"/>
      <c r="AG412" s="257"/>
      <c r="AH412" s="257"/>
      <c r="AI412" s="257"/>
      <c r="AJ412" s="257"/>
      <c r="AK412" s="257"/>
      <c r="AL412" s="257"/>
      <c r="AM412" s="257"/>
      <c r="AN412" s="257"/>
      <c r="AO412" s="257"/>
      <c r="AP412" s="257"/>
      <c r="AQ412" s="257"/>
      <c r="AR412" s="257"/>
    </row>
    <row r="413" spans="1:44" s="31" customFormat="1" ht="17.25" customHeight="1" x14ac:dyDescent="0.2">
      <c r="A413" s="95" t="s">
        <v>66</v>
      </c>
      <c r="B413" s="54" t="s">
        <v>386</v>
      </c>
      <c r="C413" s="60"/>
      <c r="D413" s="60"/>
      <c r="E413" s="60"/>
      <c r="F413" s="52">
        <f>F414+F423+F426+F431</f>
        <v>118454.9</v>
      </c>
      <c r="G413" s="52">
        <f>G414+G423+G426+G431</f>
        <v>126314.69999999998</v>
      </c>
      <c r="H413" s="315">
        <f t="shared" si="96"/>
        <v>7859.7999999999884</v>
      </c>
      <c r="I413" s="52">
        <f>I414+I423+I426+I431</f>
        <v>5000</v>
      </c>
      <c r="J413" s="52">
        <f>J414+J423+J426+J431</f>
        <v>175920.4</v>
      </c>
      <c r="K413" s="315">
        <f t="shared" si="102"/>
        <v>49605.700000000012</v>
      </c>
      <c r="L413" s="52">
        <f>L414+L423+L426+L431</f>
        <v>5000</v>
      </c>
      <c r="M413" s="320">
        <f t="shared" si="97"/>
        <v>0</v>
      </c>
      <c r="N413" s="65">
        <f>N414+N423+N426+N431</f>
        <v>6700</v>
      </c>
      <c r="O413" s="52">
        <f>O414+O423+O426+O431</f>
        <v>6700</v>
      </c>
      <c r="P413" s="315">
        <f t="shared" si="98"/>
        <v>0</v>
      </c>
      <c r="Q413" s="39"/>
      <c r="R413" s="40"/>
      <c r="S413" s="40"/>
      <c r="T413" s="214"/>
      <c r="U413" s="214"/>
      <c r="V413" s="231"/>
      <c r="W413" s="231"/>
      <c r="X413" s="231"/>
      <c r="Y413" s="231"/>
      <c r="Z413" s="231"/>
      <c r="AA413" s="231"/>
      <c r="AB413" s="231"/>
      <c r="AC413" s="231"/>
      <c r="AD413" s="231"/>
      <c r="AE413" s="231"/>
      <c r="AF413" s="231"/>
      <c r="AG413" s="231"/>
      <c r="AH413" s="231"/>
      <c r="AI413" s="231"/>
      <c r="AJ413" s="231"/>
      <c r="AK413" s="231"/>
      <c r="AL413" s="231"/>
      <c r="AM413" s="231"/>
      <c r="AN413" s="231"/>
      <c r="AO413" s="231"/>
      <c r="AP413" s="231"/>
      <c r="AQ413" s="231"/>
      <c r="AR413" s="231"/>
    </row>
    <row r="414" spans="1:44" s="31" customFormat="1" ht="26.25" customHeight="1" x14ac:dyDescent="0.2">
      <c r="A414" s="56" t="s">
        <v>385</v>
      </c>
      <c r="B414" s="54" t="s">
        <v>384</v>
      </c>
      <c r="C414" s="60" t="s">
        <v>59</v>
      </c>
      <c r="D414" s="60" t="s">
        <v>72</v>
      </c>
      <c r="E414" s="60"/>
      <c r="F414" s="52">
        <f>F415+F418+F421</f>
        <v>111902</v>
      </c>
      <c r="G414" s="52">
        <f t="shared" ref="G414:O414" si="103">G415+G418+G421</f>
        <v>115396.4</v>
      </c>
      <c r="H414" s="315">
        <f t="shared" si="96"/>
        <v>3494.3999999999942</v>
      </c>
      <c r="I414" s="52">
        <f t="shared" si="103"/>
        <v>0</v>
      </c>
      <c r="J414" s="52">
        <f t="shared" si="103"/>
        <v>166536.29999999999</v>
      </c>
      <c r="K414" s="315">
        <f t="shared" si="102"/>
        <v>51139.899999999994</v>
      </c>
      <c r="L414" s="52">
        <f t="shared" si="103"/>
        <v>0</v>
      </c>
      <c r="M414" s="320">
        <f t="shared" si="97"/>
        <v>0</v>
      </c>
      <c r="N414" s="52">
        <f t="shared" si="103"/>
        <v>0</v>
      </c>
      <c r="O414" s="52">
        <f t="shared" si="103"/>
        <v>0</v>
      </c>
      <c r="P414" s="315">
        <f t="shared" si="98"/>
        <v>0</v>
      </c>
      <c r="Q414" s="39"/>
      <c r="R414" s="40"/>
      <c r="S414" s="40"/>
      <c r="T414" s="214"/>
      <c r="U414" s="214"/>
      <c r="V414" s="231"/>
      <c r="W414" s="231"/>
      <c r="X414" s="231"/>
      <c r="Y414" s="231"/>
      <c r="Z414" s="231"/>
      <c r="AA414" s="231"/>
      <c r="AB414" s="231"/>
      <c r="AC414" s="231"/>
      <c r="AD414" s="231"/>
      <c r="AE414" s="231"/>
      <c r="AF414" s="231"/>
      <c r="AG414" s="231"/>
      <c r="AH414" s="231"/>
      <c r="AI414" s="231"/>
      <c r="AJ414" s="231"/>
      <c r="AK414" s="231"/>
      <c r="AL414" s="231"/>
      <c r="AM414" s="231"/>
      <c r="AN414" s="231"/>
      <c r="AO414" s="231"/>
      <c r="AP414" s="231"/>
      <c r="AQ414" s="231"/>
      <c r="AR414" s="231"/>
    </row>
    <row r="415" spans="1:44" s="31" customFormat="1" ht="25.5" x14ac:dyDescent="0.2">
      <c r="A415" s="56" t="s">
        <v>383</v>
      </c>
      <c r="B415" s="54" t="s">
        <v>382</v>
      </c>
      <c r="C415" s="60" t="s">
        <v>59</v>
      </c>
      <c r="D415" s="60" t="s">
        <v>72</v>
      </c>
      <c r="E415" s="60"/>
      <c r="F415" s="52">
        <f>F416+F417</f>
        <v>18396.2</v>
      </c>
      <c r="G415" s="52">
        <f>G416+G417</f>
        <v>18396.2</v>
      </c>
      <c r="H415" s="315">
        <f t="shared" si="96"/>
        <v>0</v>
      </c>
      <c r="I415" s="52">
        <f>I416+I417</f>
        <v>0</v>
      </c>
      <c r="J415" s="52">
        <f>J416+J417</f>
        <v>18396.2</v>
      </c>
      <c r="K415" s="315">
        <f t="shared" si="102"/>
        <v>0</v>
      </c>
      <c r="L415" s="52">
        <f>L416+L417</f>
        <v>0</v>
      </c>
      <c r="M415" s="320">
        <f t="shared" si="97"/>
        <v>0</v>
      </c>
      <c r="N415" s="65">
        <f>N416+N417</f>
        <v>0</v>
      </c>
      <c r="O415" s="52">
        <f>O416+O417</f>
        <v>0</v>
      </c>
      <c r="P415" s="315">
        <f t="shared" si="98"/>
        <v>0</v>
      </c>
      <c r="Q415" s="39"/>
      <c r="R415" s="40"/>
      <c r="S415" s="40"/>
      <c r="T415" s="214"/>
      <c r="U415" s="214"/>
      <c r="V415" s="231"/>
      <c r="W415" s="231"/>
      <c r="X415" s="231"/>
      <c r="Y415" s="231"/>
      <c r="Z415" s="231"/>
      <c r="AA415" s="231"/>
      <c r="AB415" s="231"/>
      <c r="AC415" s="231"/>
      <c r="AD415" s="231"/>
      <c r="AE415" s="231"/>
      <c r="AF415" s="231"/>
      <c r="AG415" s="231"/>
      <c r="AH415" s="231"/>
      <c r="AI415" s="231"/>
      <c r="AJ415" s="231"/>
      <c r="AK415" s="231"/>
      <c r="AL415" s="231"/>
      <c r="AM415" s="231"/>
      <c r="AN415" s="231"/>
      <c r="AO415" s="231"/>
      <c r="AP415" s="231"/>
      <c r="AQ415" s="231"/>
      <c r="AR415" s="231"/>
    </row>
    <row r="416" spans="1:44" s="31" customFormat="1" ht="25.5" hidden="1" x14ac:dyDescent="0.2">
      <c r="A416" s="84" t="s">
        <v>73</v>
      </c>
      <c r="B416" s="54" t="s">
        <v>382</v>
      </c>
      <c r="C416" s="60" t="s">
        <v>59</v>
      </c>
      <c r="D416" s="60" t="s">
        <v>72</v>
      </c>
      <c r="E416" s="60" t="s">
        <v>70</v>
      </c>
      <c r="F416" s="52"/>
      <c r="G416" s="52"/>
      <c r="H416" s="315">
        <f t="shared" si="96"/>
        <v>0</v>
      </c>
      <c r="I416" s="52"/>
      <c r="J416" s="52"/>
      <c r="K416" s="315">
        <f t="shared" si="102"/>
        <v>0</v>
      </c>
      <c r="L416" s="52"/>
      <c r="M416" s="320">
        <f t="shared" si="97"/>
        <v>0</v>
      </c>
      <c r="N416" s="65"/>
      <c r="O416" s="52"/>
      <c r="P416" s="315">
        <f t="shared" si="98"/>
        <v>0</v>
      </c>
      <c r="Q416" s="39"/>
      <c r="R416" s="40"/>
      <c r="S416" s="40"/>
      <c r="T416" s="214"/>
      <c r="U416" s="214"/>
      <c r="V416" s="231"/>
      <c r="W416" s="231"/>
      <c r="X416" s="231"/>
      <c r="Y416" s="231"/>
      <c r="Z416" s="231"/>
      <c r="AA416" s="231"/>
      <c r="AB416" s="231"/>
      <c r="AC416" s="231"/>
      <c r="AD416" s="231"/>
      <c r="AE416" s="231"/>
      <c r="AF416" s="231"/>
      <c r="AG416" s="231"/>
      <c r="AH416" s="231"/>
      <c r="AI416" s="231"/>
      <c r="AJ416" s="231"/>
      <c r="AK416" s="231"/>
      <c r="AL416" s="231"/>
      <c r="AM416" s="231"/>
      <c r="AN416" s="231"/>
      <c r="AO416" s="231"/>
      <c r="AP416" s="231"/>
      <c r="AQ416" s="231"/>
      <c r="AR416" s="231"/>
    </row>
    <row r="417" spans="1:44" s="31" customFormat="1" x14ac:dyDescent="0.2">
      <c r="A417" s="95" t="s">
        <v>167</v>
      </c>
      <c r="B417" s="54" t="s">
        <v>382</v>
      </c>
      <c r="C417" s="60" t="s">
        <v>59</v>
      </c>
      <c r="D417" s="60" t="s">
        <v>72</v>
      </c>
      <c r="E417" s="60" t="s">
        <v>164</v>
      </c>
      <c r="F417" s="52">
        <f>17844.3+551.9</f>
        <v>18396.2</v>
      </c>
      <c r="G417" s="52">
        <f>17844.3+551.9</f>
        <v>18396.2</v>
      </c>
      <c r="H417" s="315">
        <f t="shared" si="96"/>
        <v>0</v>
      </c>
      <c r="I417" s="52">
        <v>0</v>
      </c>
      <c r="J417" s="52">
        <f>17844.3+551.9</f>
        <v>18396.2</v>
      </c>
      <c r="K417" s="315">
        <f t="shared" si="102"/>
        <v>0</v>
      </c>
      <c r="L417" s="52">
        <v>0</v>
      </c>
      <c r="M417" s="320">
        <f t="shared" si="97"/>
        <v>0</v>
      </c>
      <c r="N417" s="65">
        <v>0</v>
      </c>
      <c r="O417" s="52">
        <v>0</v>
      </c>
      <c r="P417" s="315">
        <f t="shared" si="98"/>
        <v>0</v>
      </c>
      <c r="Q417" s="39"/>
      <c r="R417" s="40"/>
      <c r="S417" s="40"/>
      <c r="T417" s="214"/>
      <c r="U417" s="214"/>
      <c r="V417" s="231"/>
      <c r="W417" s="231"/>
      <c r="X417" s="231"/>
      <c r="Y417" s="231"/>
      <c r="Z417" s="231"/>
      <c r="AA417" s="231"/>
      <c r="AB417" s="231"/>
      <c r="AC417" s="231"/>
      <c r="AD417" s="231"/>
      <c r="AE417" s="231"/>
      <c r="AF417" s="231"/>
      <c r="AG417" s="231"/>
      <c r="AH417" s="231"/>
      <c r="AI417" s="231"/>
      <c r="AJ417" s="231"/>
      <c r="AK417" s="231"/>
      <c r="AL417" s="231"/>
      <c r="AM417" s="231"/>
      <c r="AN417" s="231"/>
      <c r="AO417" s="231"/>
      <c r="AP417" s="231"/>
      <c r="AQ417" s="231"/>
      <c r="AR417" s="231"/>
    </row>
    <row r="418" spans="1:44" s="31" customFormat="1" ht="39.75" customHeight="1" x14ac:dyDescent="0.2">
      <c r="A418" s="64" t="s">
        <v>381</v>
      </c>
      <c r="B418" s="54" t="s">
        <v>380</v>
      </c>
      <c r="C418" s="78" t="s">
        <v>59</v>
      </c>
      <c r="D418" s="78" t="s">
        <v>72</v>
      </c>
      <c r="E418" s="60"/>
      <c r="F418" s="52">
        <f>F419+F420</f>
        <v>93505.8</v>
      </c>
      <c r="G418" s="52">
        <f>G419+G420</f>
        <v>93505.8</v>
      </c>
      <c r="H418" s="315">
        <f t="shared" si="96"/>
        <v>0</v>
      </c>
      <c r="I418" s="52">
        <f>I419+I420</f>
        <v>0</v>
      </c>
      <c r="J418" s="52">
        <f>J419+J420</f>
        <v>144645.69999999998</v>
      </c>
      <c r="K418" s="315">
        <f t="shared" si="102"/>
        <v>51139.89999999998</v>
      </c>
      <c r="L418" s="52">
        <f>L419+L420</f>
        <v>0</v>
      </c>
      <c r="M418" s="320">
        <f t="shared" si="97"/>
        <v>0</v>
      </c>
      <c r="N418" s="65">
        <f>N419+N420</f>
        <v>0</v>
      </c>
      <c r="O418" s="52">
        <f>O419+O420</f>
        <v>0</v>
      </c>
      <c r="P418" s="315">
        <f t="shared" si="98"/>
        <v>0</v>
      </c>
      <c r="Q418" s="39"/>
      <c r="R418" s="40"/>
      <c r="S418" s="40"/>
      <c r="T418" s="214"/>
      <c r="U418" s="214"/>
      <c r="V418" s="231"/>
      <c r="W418" s="231"/>
      <c r="X418" s="231"/>
      <c r="Y418" s="231"/>
      <c r="Z418" s="231"/>
      <c r="AA418" s="231"/>
      <c r="AB418" s="231"/>
      <c r="AC418" s="231"/>
      <c r="AD418" s="231"/>
      <c r="AE418" s="231"/>
      <c r="AF418" s="231"/>
      <c r="AG418" s="231"/>
      <c r="AH418" s="231"/>
      <c r="AI418" s="231"/>
      <c r="AJ418" s="231"/>
      <c r="AK418" s="231"/>
      <c r="AL418" s="231"/>
      <c r="AM418" s="231"/>
      <c r="AN418" s="231"/>
      <c r="AO418" s="231"/>
      <c r="AP418" s="231"/>
      <c r="AQ418" s="231"/>
      <c r="AR418" s="231"/>
    </row>
    <row r="419" spans="1:44" s="31" customFormat="1" ht="31.5" hidden="1" customHeight="1" x14ac:dyDescent="0.2">
      <c r="A419" s="56" t="s">
        <v>73</v>
      </c>
      <c r="B419" s="54" t="s">
        <v>380</v>
      </c>
      <c r="C419" s="78" t="s">
        <v>59</v>
      </c>
      <c r="D419" s="78" t="s">
        <v>72</v>
      </c>
      <c r="E419" s="60" t="s">
        <v>70</v>
      </c>
      <c r="F419" s="52">
        <v>0</v>
      </c>
      <c r="G419" s="52">
        <v>0</v>
      </c>
      <c r="H419" s="315">
        <f t="shared" si="96"/>
        <v>0</v>
      </c>
      <c r="I419" s="52">
        <v>0</v>
      </c>
      <c r="J419" s="52">
        <v>0</v>
      </c>
      <c r="K419" s="315">
        <f t="shared" si="102"/>
        <v>0</v>
      </c>
      <c r="L419" s="52">
        <v>0</v>
      </c>
      <c r="M419" s="320">
        <f t="shared" si="97"/>
        <v>0</v>
      </c>
      <c r="N419" s="65">
        <v>0</v>
      </c>
      <c r="O419" s="52">
        <v>0</v>
      </c>
      <c r="P419" s="315">
        <f t="shared" si="98"/>
        <v>0</v>
      </c>
      <c r="Q419" s="39"/>
      <c r="R419" s="40"/>
      <c r="S419" s="40"/>
      <c r="T419" s="214"/>
      <c r="U419" s="214"/>
      <c r="V419" s="231"/>
      <c r="W419" s="231"/>
      <c r="X419" s="231"/>
      <c r="Y419" s="231"/>
      <c r="Z419" s="231"/>
      <c r="AA419" s="231"/>
      <c r="AB419" s="231"/>
      <c r="AC419" s="231"/>
      <c r="AD419" s="231"/>
      <c r="AE419" s="231"/>
      <c r="AF419" s="231"/>
      <c r="AG419" s="231"/>
      <c r="AH419" s="231"/>
      <c r="AI419" s="231"/>
      <c r="AJ419" s="231"/>
      <c r="AK419" s="231"/>
      <c r="AL419" s="231"/>
      <c r="AM419" s="231"/>
      <c r="AN419" s="231"/>
      <c r="AO419" s="231"/>
      <c r="AP419" s="231"/>
      <c r="AQ419" s="231"/>
      <c r="AR419" s="231"/>
    </row>
    <row r="420" spans="1:44" s="31" customFormat="1" ht="14.25" customHeight="1" x14ac:dyDescent="0.2">
      <c r="A420" s="64" t="s">
        <v>167</v>
      </c>
      <c r="B420" s="54" t="s">
        <v>380</v>
      </c>
      <c r="C420" s="78" t="s">
        <v>59</v>
      </c>
      <c r="D420" s="78" t="s">
        <v>72</v>
      </c>
      <c r="E420" s="60" t="s">
        <v>164</v>
      </c>
      <c r="F420" s="52">
        <f>109124.6+3375-18424-569.8</f>
        <v>93505.8</v>
      </c>
      <c r="G420" s="52">
        <f>109124.6+3375-18424-569.8</f>
        <v>93505.8</v>
      </c>
      <c r="H420" s="405">
        <f t="shared" si="96"/>
        <v>0</v>
      </c>
      <c r="I420" s="52">
        <v>0</v>
      </c>
      <c r="J420" s="52">
        <f>93505.8-13492.8+63098.5+1200+152.9+181.3</f>
        <v>144645.69999999998</v>
      </c>
      <c r="K420" s="315">
        <f t="shared" si="102"/>
        <v>51139.89999999998</v>
      </c>
      <c r="L420" s="52">
        <v>0</v>
      </c>
      <c r="M420" s="320">
        <f t="shared" si="97"/>
        <v>0</v>
      </c>
      <c r="N420" s="65">
        <v>0</v>
      </c>
      <c r="O420" s="52">
        <v>0</v>
      </c>
      <c r="P420" s="315">
        <f t="shared" si="98"/>
        <v>0</v>
      </c>
      <c r="Q420" s="39"/>
      <c r="R420" s="40"/>
      <c r="S420" s="40"/>
      <c r="T420" s="214"/>
      <c r="U420" s="214"/>
      <c r="V420" s="231"/>
      <c r="W420" s="231"/>
      <c r="X420" s="231"/>
      <c r="Y420" s="231"/>
      <c r="Z420" s="231"/>
      <c r="AA420" s="231"/>
      <c r="AB420" s="231"/>
      <c r="AC420" s="231"/>
      <c r="AD420" s="231"/>
      <c r="AE420" s="231"/>
      <c r="AF420" s="231"/>
      <c r="AG420" s="231"/>
      <c r="AH420" s="231"/>
      <c r="AI420" s="231"/>
      <c r="AJ420" s="231"/>
      <c r="AK420" s="231"/>
      <c r="AL420" s="231"/>
      <c r="AM420" s="231"/>
      <c r="AN420" s="231"/>
      <c r="AO420" s="231"/>
      <c r="AP420" s="231"/>
      <c r="AQ420" s="231"/>
      <c r="AR420" s="231"/>
    </row>
    <row r="421" spans="1:44" s="31" customFormat="1" ht="38.25" customHeight="1" x14ac:dyDescent="0.2">
      <c r="A421" s="64" t="s">
        <v>1069</v>
      </c>
      <c r="B421" s="54" t="s">
        <v>1070</v>
      </c>
      <c r="C421" s="78" t="s">
        <v>59</v>
      </c>
      <c r="D421" s="78" t="s">
        <v>72</v>
      </c>
      <c r="E421" s="60"/>
      <c r="F421" s="52">
        <f>F422</f>
        <v>0</v>
      </c>
      <c r="G421" s="52">
        <f t="shared" ref="G421:O421" si="104">G422</f>
        <v>3494.4</v>
      </c>
      <c r="H421" s="132">
        <f t="shared" si="96"/>
        <v>3494.4</v>
      </c>
      <c r="I421" s="52">
        <f t="shared" si="104"/>
        <v>0</v>
      </c>
      <c r="J421" s="52">
        <f t="shared" si="104"/>
        <v>3494.4</v>
      </c>
      <c r="K421" s="315">
        <f t="shared" si="102"/>
        <v>0</v>
      </c>
      <c r="L421" s="52">
        <f t="shared" si="104"/>
        <v>0</v>
      </c>
      <c r="M421" s="300">
        <f t="shared" si="97"/>
        <v>0</v>
      </c>
      <c r="N421" s="52">
        <f t="shared" si="104"/>
        <v>0</v>
      </c>
      <c r="O421" s="52">
        <f t="shared" si="104"/>
        <v>0</v>
      </c>
      <c r="P421" s="333">
        <f t="shared" si="98"/>
        <v>0</v>
      </c>
      <c r="Q421" s="39"/>
      <c r="R421" s="40"/>
      <c r="S421" s="40"/>
      <c r="T421" s="214"/>
      <c r="U421" s="214"/>
      <c r="V421" s="231"/>
      <c r="W421" s="231"/>
      <c r="X421" s="231"/>
      <c r="Y421" s="231"/>
      <c r="Z421" s="231"/>
      <c r="AA421" s="231"/>
      <c r="AB421" s="231"/>
      <c r="AC421" s="231"/>
      <c r="AD421" s="231"/>
      <c r="AE421" s="231"/>
      <c r="AF421" s="231"/>
      <c r="AG421" s="231"/>
      <c r="AH421" s="231"/>
      <c r="AI421" s="231"/>
      <c r="AJ421" s="231"/>
      <c r="AK421" s="231"/>
      <c r="AL421" s="231"/>
      <c r="AM421" s="231"/>
      <c r="AN421" s="231"/>
      <c r="AO421" s="231"/>
      <c r="AP421" s="231"/>
      <c r="AQ421" s="231"/>
      <c r="AR421" s="231"/>
    </row>
    <row r="422" spans="1:44" s="31" customFormat="1" ht="14.25" customHeight="1" x14ac:dyDescent="0.2">
      <c r="A422" s="64" t="s">
        <v>167</v>
      </c>
      <c r="B422" s="54" t="s">
        <v>1070</v>
      </c>
      <c r="C422" s="78" t="s">
        <v>59</v>
      </c>
      <c r="D422" s="78" t="s">
        <v>72</v>
      </c>
      <c r="E422" s="60" t="s">
        <v>164</v>
      </c>
      <c r="F422" s="52">
        <v>0</v>
      </c>
      <c r="G422" s="52">
        <v>3494.4</v>
      </c>
      <c r="H422" s="132">
        <f t="shared" si="96"/>
        <v>3494.4</v>
      </c>
      <c r="I422" s="52">
        <v>0</v>
      </c>
      <c r="J422" s="52">
        <v>3494.4</v>
      </c>
      <c r="K422" s="315">
        <f t="shared" si="102"/>
        <v>0</v>
      </c>
      <c r="L422" s="52">
        <v>0</v>
      </c>
      <c r="M422" s="300">
        <f t="shared" si="97"/>
        <v>0</v>
      </c>
      <c r="N422" s="52">
        <v>0</v>
      </c>
      <c r="O422" s="52">
        <v>0</v>
      </c>
      <c r="P422" s="299">
        <f t="shared" si="98"/>
        <v>0</v>
      </c>
      <c r="Q422" s="39"/>
      <c r="R422" s="40"/>
      <c r="S422" s="40"/>
      <c r="T422" s="214"/>
      <c r="U422" s="214"/>
      <c r="V422" s="231"/>
      <c r="W422" s="231"/>
      <c r="X422" s="231"/>
      <c r="Y422" s="231"/>
      <c r="Z422" s="231"/>
      <c r="AA422" s="231"/>
      <c r="AB422" s="231"/>
      <c r="AC422" s="231"/>
      <c r="AD422" s="231"/>
      <c r="AE422" s="231"/>
      <c r="AF422" s="231"/>
      <c r="AG422" s="231"/>
      <c r="AH422" s="231"/>
      <c r="AI422" s="231"/>
      <c r="AJ422" s="231"/>
      <c r="AK422" s="231"/>
      <c r="AL422" s="231"/>
      <c r="AM422" s="231"/>
      <c r="AN422" s="231"/>
      <c r="AO422" s="231"/>
      <c r="AP422" s="231"/>
      <c r="AQ422" s="231"/>
      <c r="AR422" s="231"/>
    </row>
    <row r="423" spans="1:44" s="31" customFormat="1" ht="25.5" x14ac:dyDescent="0.2">
      <c r="A423" s="69" t="s">
        <v>379</v>
      </c>
      <c r="B423" s="54" t="s">
        <v>378</v>
      </c>
      <c r="C423" s="60" t="s">
        <v>59</v>
      </c>
      <c r="D423" s="60" t="s">
        <v>72</v>
      </c>
      <c r="E423" s="78"/>
      <c r="F423" s="52">
        <f t="shared" ref="F423:O424" si="105">F424</f>
        <v>1000</v>
      </c>
      <c r="G423" s="52">
        <f t="shared" si="105"/>
        <v>4288.5</v>
      </c>
      <c r="H423" s="405">
        <f t="shared" si="96"/>
        <v>3288.5</v>
      </c>
      <c r="I423" s="52">
        <f t="shared" si="105"/>
        <v>1000</v>
      </c>
      <c r="J423" s="52">
        <f t="shared" si="105"/>
        <v>4107.2</v>
      </c>
      <c r="K423" s="315">
        <f t="shared" si="102"/>
        <v>-181.30000000000018</v>
      </c>
      <c r="L423" s="52">
        <f t="shared" si="105"/>
        <v>1000</v>
      </c>
      <c r="M423" s="320">
        <f t="shared" si="97"/>
        <v>0</v>
      </c>
      <c r="N423" s="65">
        <f t="shared" si="105"/>
        <v>1000</v>
      </c>
      <c r="O423" s="52">
        <f t="shared" si="105"/>
        <v>1000</v>
      </c>
      <c r="P423" s="315">
        <f t="shared" si="98"/>
        <v>0</v>
      </c>
      <c r="Q423" s="39"/>
      <c r="R423" s="40"/>
      <c r="S423" s="40"/>
      <c r="T423" s="214"/>
      <c r="U423" s="214"/>
      <c r="V423" s="231"/>
      <c r="W423" s="231"/>
      <c r="X423" s="231"/>
      <c r="Y423" s="231"/>
      <c r="Z423" s="231"/>
      <c r="AA423" s="231"/>
      <c r="AB423" s="231"/>
      <c r="AC423" s="231"/>
      <c r="AD423" s="231"/>
      <c r="AE423" s="231"/>
      <c r="AF423" s="231"/>
      <c r="AG423" s="231"/>
      <c r="AH423" s="231"/>
      <c r="AI423" s="231"/>
      <c r="AJ423" s="231"/>
      <c r="AK423" s="231"/>
      <c r="AL423" s="231"/>
      <c r="AM423" s="231"/>
      <c r="AN423" s="231"/>
      <c r="AO423" s="231"/>
      <c r="AP423" s="231"/>
      <c r="AQ423" s="231"/>
      <c r="AR423" s="231"/>
    </row>
    <row r="424" spans="1:44" s="31" customFormat="1" x14ac:dyDescent="0.2">
      <c r="A424" s="69" t="s">
        <v>375</v>
      </c>
      <c r="B424" s="54" t="s">
        <v>377</v>
      </c>
      <c r="C424" s="60" t="s">
        <v>59</v>
      </c>
      <c r="D424" s="60" t="s">
        <v>72</v>
      </c>
      <c r="E424" s="78"/>
      <c r="F424" s="52">
        <f t="shared" si="105"/>
        <v>1000</v>
      </c>
      <c r="G424" s="52">
        <f t="shared" si="105"/>
        <v>4288.5</v>
      </c>
      <c r="H424" s="405">
        <f t="shared" si="96"/>
        <v>3288.5</v>
      </c>
      <c r="I424" s="52">
        <f t="shared" si="105"/>
        <v>1000</v>
      </c>
      <c r="J424" s="52">
        <f t="shared" si="105"/>
        <v>4107.2</v>
      </c>
      <c r="K424" s="315">
        <f t="shared" si="102"/>
        <v>-181.30000000000018</v>
      </c>
      <c r="L424" s="52">
        <f t="shared" si="105"/>
        <v>1000</v>
      </c>
      <c r="M424" s="320">
        <f t="shared" si="97"/>
        <v>0</v>
      </c>
      <c r="N424" s="65">
        <f t="shared" si="105"/>
        <v>1000</v>
      </c>
      <c r="O424" s="52">
        <f t="shared" si="105"/>
        <v>1000</v>
      </c>
      <c r="P424" s="315">
        <f t="shared" si="98"/>
        <v>0</v>
      </c>
      <c r="Q424" s="39"/>
      <c r="R424" s="40"/>
      <c r="S424" s="40"/>
      <c r="T424" s="214"/>
      <c r="U424" s="214"/>
      <c r="V424" s="231"/>
      <c r="W424" s="231"/>
      <c r="X424" s="231"/>
      <c r="Y424" s="231"/>
      <c r="Z424" s="231"/>
      <c r="AA424" s="231"/>
      <c r="AB424" s="231"/>
      <c r="AC424" s="231"/>
      <c r="AD424" s="231"/>
      <c r="AE424" s="231"/>
      <c r="AF424" s="231"/>
      <c r="AG424" s="231"/>
      <c r="AH424" s="231"/>
      <c r="AI424" s="231"/>
      <c r="AJ424" s="231"/>
      <c r="AK424" s="231"/>
      <c r="AL424" s="231"/>
      <c r="AM424" s="231"/>
      <c r="AN424" s="231"/>
      <c r="AO424" s="231"/>
      <c r="AP424" s="231"/>
      <c r="AQ424" s="231"/>
      <c r="AR424" s="231"/>
    </row>
    <row r="425" spans="1:44" s="31" customFormat="1" ht="25.5" x14ac:dyDescent="0.2">
      <c r="A425" s="69" t="s">
        <v>73</v>
      </c>
      <c r="B425" s="54" t="s">
        <v>377</v>
      </c>
      <c r="C425" s="60" t="s">
        <v>59</v>
      </c>
      <c r="D425" s="60" t="s">
        <v>72</v>
      </c>
      <c r="E425" s="78" t="s">
        <v>70</v>
      </c>
      <c r="F425" s="52">
        <v>1000</v>
      </c>
      <c r="G425" s="52">
        <f>1000+3488.5-200</f>
        <v>4288.5</v>
      </c>
      <c r="H425" s="405">
        <f t="shared" si="96"/>
        <v>3288.5</v>
      </c>
      <c r="I425" s="52">
        <v>1000</v>
      </c>
      <c r="J425" s="52">
        <f>4288.5-181.3</f>
        <v>4107.2</v>
      </c>
      <c r="K425" s="315">
        <f t="shared" si="102"/>
        <v>-181.30000000000018</v>
      </c>
      <c r="L425" s="52">
        <v>1000</v>
      </c>
      <c r="M425" s="320">
        <f t="shared" si="97"/>
        <v>0</v>
      </c>
      <c r="N425" s="65">
        <v>1000</v>
      </c>
      <c r="O425" s="52">
        <v>1000</v>
      </c>
      <c r="P425" s="315">
        <f t="shared" si="98"/>
        <v>0</v>
      </c>
      <c r="Q425" s="40"/>
      <c r="R425" s="40"/>
      <c r="S425" s="40"/>
      <c r="T425" s="214"/>
      <c r="U425" s="214"/>
      <c r="V425" s="231"/>
      <c r="W425" s="231"/>
      <c r="X425" s="231"/>
      <c r="Y425" s="231"/>
      <c r="Z425" s="231"/>
      <c r="AA425" s="231"/>
      <c r="AB425" s="231"/>
      <c r="AC425" s="231"/>
      <c r="AD425" s="231"/>
      <c r="AE425" s="231"/>
      <c r="AF425" s="231"/>
      <c r="AG425" s="231"/>
      <c r="AH425" s="231"/>
      <c r="AI425" s="231"/>
      <c r="AJ425" s="231"/>
      <c r="AK425" s="231"/>
      <c r="AL425" s="231"/>
      <c r="AM425" s="231"/>
      <c r="AN425" s="231"/>
      <c r="AO425" s="231"/>
      <c r="AP425" s="231"/>
      <c r="AQ425" s="231"/>
      <c r="AR425" s="231"/>
    </row>
    <row r="426" spans="1:44" s="31" customFormat="1" ht="25.5" x14ac:dyDescent="0.2">
      <c r="A426" s="69" t="s">
        <v>1075</v>
      </c>
      <c r="B426" s="54" t="s">
        <v>376</v>
      </c>
      <c r="C426" s="78" t="s">
        <v>59</v>
      </c>
      <c r="D426" s="78" t="s">
        <v>72</v>
      </c>
      <c r="E426" s="78"/>
      <c r="F426" s="52">
        <f>F427+F429</f>
        <v>3000</v>
      </c>
      <c r="G426" s="52">
        <f t="shared" ref="G426:O426" si="106">G427+G429</f>
        <v>4076.9</v>
      </c>
      <c r="H426" s="405">
        <f t="shared" si="96"/>
        <v>1076.9000000000001</v>
      </c>
      <c r="I426" s="52">
        <f t="shared" si="106"/>
        <v>1000</v>
      </c>
      <c r="J426" s="52">
        <f t="shared" si="106"/>
        <v>5276.9</v>
      </c>
      <c r="K426" s="315">
        <f t="shared" si="102"/>
        <v>1199.9999999999995</v>
      </c>
      <c r="L426" s="52">
        <f t="shared" si="106"/>
        <v>1000</v>
      </c>
      <c r="M426" s="320">
        <f t="shared" si="97"/>
        <v>0</v>
      </c>
      <c r="N426" s="52">
        <f t="shared" si="106"/>
        <v>1000</v>
      </c>
      <c r="O426" s="52">
        <f t="shared" si="106"/>
        <v>1000</v>
      </c>
      <c r="P426" s="315">
        <f t="shared" si="98"/>
        <v>0</v>
      </c>
      <c r="Q426" s="32"/>
      <c r="R426" s="40"/>
      <c r="S426" s="40"/>
      <c r="T426" s="214"/>
      <c r="U426" s="214"/>
      <c r="V426" s="231"/>
      <c r="W426" s="231"/>
      <c r="X426" s="231"/>
      <c r="Y426" s="231"/>
      <c r="Z426" s="231"/>
      <c r="AA426" s="231"/>
      <c r="AB426" s="231"/>
      <c r="AC426" s="231"/>
      <c r="AD426" s="231"/>
      <c r="AE426" s="231"/>
      <c r="AF426" s="231"/>
      <c r="AG426" s="231"/>
      <c r="AH426" s="231"/>
      <c r="AI426" s="231"/>
      <c r="AJ426" s="231"/>
      <c r="AK426" s="231"/>
      <c r="AL426" s="231"/>
      <c r="AM426" s="231"/>
      <c r="AN426" s="231"/>
      <c r="AO426" s="231"/>
      <c r="AP426" s="231"/>
      <c r="AQ426" s="231"/>
      <c r="AR426" s="231"/>
    </row>
    <row r="427" spans="1:44" s="31" customFormat="1" x14ac:dyDescent="0.2">
      <c r="A427" s="69" t="s">
        <v>375</v>
      </c>
      <c r="B427" s="54" t="s">
        <v>374</v>
      </c>
      <c r="C427" s="78" t="s">
        <v>59</v>
      </c>
      <c r="D427" s="78" t="s">
        <v>72</v>
      </c>
      <c r="E427" s="78"/>
      <c r="F427" s="52">
        <f t="shared" ref="F427:O427" si="107">F428</f>
        <v>3000</v>
      </c>
      <c r="G427" s="52">
        <f t="shared" si="107"/>
        <v>3899</v>
      </c>
      <c r="H427" s="405">
        <f t="shared" si="96"/>
        <v>899</v>
      </c>
      <c r="I427" s="52">
        <f t="shared" si="107"/>
        <v>1000</v>
      </c>
      <c r="J427" s="52">
        <f t="shared" si="107"/>
        <v>5099</v>
      </c>
      <c r="K427" s="315">
        <f t="shared" si="102"/>
        <v>1200</v>
      </c>
      <c r="L427" s="52">
        <f t="shared" si="107"/>
        <v>1000</v>
      </c>
      <c r="M427" s="320">
        <f t="shared" si="97"/>
        <v>0</v>
      </c>
      <c r="N427" s="65">
        <f t="shared" si="107"/>
        <v>1000</v>
      </c>
      <c r="O427" s="52">
        <f t="shared" si="107"/>
        <v>1000</v>
      </c>
      <c r="P427" s="315">
        <f t="shared" si="98"/>
        <v>0</v>
      </c>
      <c r="Q427" s="39"/>
      <c r="R427" s="40"/>
      <c r="S427" s="40"/>
      <c r="T427" s="214"/>
      <c r="U427" s="214"/>
      <c r="V427" s="231"/>
      <c r="W427" s="231"/>
      <c r="X427" s="231"/>
      <c r="Y427" s="231"/>
      <c r="Z427" s="231"/>
      <c r="AA427" s="231"/>
      <c r="AB427" s="231"/>
      <c r="AC427" s="231"/>
      <c r="AD427" s="231"/>
      <c r="AE427" s="231"/>
      <c r="AF427" s="231"/>
      <c r="AG427" s="231"/>
      <c r="AH427" s="231"/>
      <c r="AI427" s="231"/>
      <c r="AJ427" s="231"/>
      <c r="AK427" s="231"/>
      <c r="AL427" s="231"/>
      <c r="AM427" s="231"/>
      <c r="AN427" s="231"/>
      <c r="AO427" s="231"/>
      <c r="AP427" s="231"/>
      <c r="AQ427" s="231"/>
      <c r="AR427" s="231"/>
    </row>
    <row r="428" spans="1:44" s="31" customFormat="1" ht="25.5" x14ac:dyDescent="0.2">
      <c r="A428" s="56" t="s">
        <v>73</v>
      </c>
      <c r="B428" s="54" t="s">
        <v>374</v>
      </c>
      <c r="C428" s="78" t="s">
        <v>59</v>
      </c>
      <c r="D428" s="78" t="s">
        <v>72</v>
      </c>
      <c r="E428" s="78" t="s">
        <v>70</v>
      </c>
      <c r="F428" s="52">
        <v>3000</v>
      </c>
      <c r="G428" s="52">
        <f>3000+549+350</f>
        <v>3899</v>
      </c>
      <c r="H428" s="405">
        <f t="shared" si="96"/>
        <v>899</v>
      </c>
      <c r="I428" s="52">
        <v>1000</v>
      </c>
      <c r="J428" s="52">
        <f>3899+1200</f>
        <v>5099</v>
      </c>
      <c r="K428" s="315">
        <f t="shared" si="102"/>
        <v>1200</v>
      </c>
      <c r="L428" s="52">
        <v>1000</v>
      </c>
      <c r="M428" s="320">
        <f t="shared" si="97"/>
        <v>0</v>
      </c>
      <c r="N428" s="65">
        <v>1000</v>
      </c>
      <c r="O428" s="52">
        <v>1000</v>
      </c>
      <c r="P428" s="315">
        <f t="shared" si="98"/>
        <v>0</v>
      </c>
      <c r="Q428" s="39"/>
      <c r="R428" s="40"/>
      <c r="S428" s="40"/>
      <c r="T428" s="214"/>
      <c r="U428" s="214"/>
      <c r="V428" s="231"/>
      <c r="W428" s="231"/>
      <c r="X428" s="231"/>
      <c r="Y428" s="231"/>
      <c r="Z428" s="231"/>
      <c r="AA428" s="231"/>
      <c r="AB428" s="231"/>
      <c r="AC428" s="231"/>
      <c r="AD428" s="231"/>
      <c r="AE428" s="231"/>
      <c r="AF428" s="231"/>
      <c r="AG428" s="231"/>
      <c r="AH428" s="231"/>
      <c r="AI428" s="231"/>
      <c r="AJ428" s="231"/>
      <c r="AK428" s="231"/>
      <c r="AL428" s="231"/>
      <c r="AM428" s="231"/>
      <c r="AN428" s="231"/>
      <c r="AO428" s="231"/>
      <c r="AP428" s="231"/>
      <c r="AQ428" s="231"/>
      <c r="AR428" s="231"/>
    </row>
    <row r="429" spans="1:44" s="31" customFormat="1" ht="25.5" x14ac:dyDescent="0.2">
      <c r="A429" s="56" t="s">
        <v>1092</v>
      </c>
      <c r="B429" s="54" t="s">
        <v>1068</v>
      </c>
      <c r="C429" s="78" t="s">
        <v>59</v>
      </c>
      <c r="D429" s="78" t="s">
        <v>72</v>
      </c>
      <c r="E429" s="78"/>
      <c r="F429" s="52">
        <f>F430</f>
        <v>0</v>
      </c>
      <c r="G429" s="52">
        <f t="shared" ref="G429:O429" si="108">G430</f>
        <v>177.9</v>
      </c>
      <c r="H429" s="405">
        <f t="shared" si="96"/>
        <v>177.9</v>
      </c>
      <c r="I429" s="52">
        <f t="shared" si="108"/>
        <v>0</v>
      </c>
      <c r="J429" s="52">
        <f t="shared" si="108"/>
        <v>177.9</v>
      </c>
      <c r="K429" s="315">
        <f t="shared" si="102"/>
        <v>0</v>
      </c>
      <c r="L429" s="52">
        <f t="shared" si="108"/>
        <v>0</v>
      </c>
      <c r="M429" s="320">
        <f t="shared" si="97"/>
        <v>0</v>
      </c>
      <c r="N429" s="52">
        <f t="shared" si="108"/>
        <v>0</v>
      </c>
      <c r="O429" s="52">
        <f t="shared" si="108"/>
        <v>0</v>
      </c>
      <c r="P429" s="315">
        <f t="shared" si="98"/>
        <v>0</v>
      </c>
      <c r="Q429" s="39"/>
      <c r="R429" s="40"/>
      <c r="S429" s="40"/>
      <c r="T429" s="214"/>
      <c r="U429" s="214"/>
      <c r="V429" s="231"/>
      <c r="W429" s="231"/>
      <c r="X429" s="231"/>
      <c r="Y429" s="231"/>
      <c r="Z429" s="231"/>
      <c r="AA429" s="231"/>
      <c r="AB429" s="231"/>
      <c r="AC429" s="231"/>
      <c r="AD429" s="231"/>
      <c r="AE429" s="231"/>
      <c r="AF429" s="231"/>
      <c r="AG429" s="231"/>
      <c r="AH429" s="231"/>
      <c r="AI429" s="231"/>
      <c r="AJ429" s="231"/>
      <c r="AK429" s="231"/>
      <c r="AL429" s="231"/>
      <c r="AM429" s="231"/>
      <c r="AN429" s="231"/>
      <c r="AO429" s="231"/>
      <c r="AP429" s="231"/>
      <c r="AQ429" s="231"/>
      <c r="AR429" s="231"/>
    </row>
    <row r="430" spans="1:44" s="31" customFormat="1" ht="25.5" x14ac:dyDescent="0.2">
      <c r="A430" s="56" t="s">
        <v>73</v>
      </c>
      <c r="B430" s="54" t="s">
        <v>1068</v>
      </c>
      <c r="C430" s="78" t="s">
        <v>59</v>
      </c>
      <c r="D430" s="78" t="s">
        <v>72</v>
      </c>
      <c r="E430" s="78" t="s">
        <v>70</v>
      </c>
      <c r="F430" s="52">
        <v>0</v>
      </c>
      <c r="G430" s="52">
        <v>177.9</v>
      </c>
      <c r="H430" s="405">
        <f t="shared" si="96"/>
        <v>177.9</v>
      </c>
      <c r="I430" s="52">
        <v>0</v>
      </c>
      <c r="J430" s="52">
        <v>177.9</v>
      </c>
      <c r="K430" s="315">
        <f t="shared" si="102"/>
        <v>0</v>
      </c>
      <c r="L430" s="52">
        <v>0</v>
      </c>
      <c r="M430" s="320">
        <f t="shared" si="97"/>
        <v>0</v>
      </c>
      <c r="N430" s="65">
        <v>0</v>
      </c>
      <c r="O430" s="52">
        <v>0</v>
      </c>
      <c r="P430" s="315">
        <f t="shared" si="98"/>
        <v>0</v>
      </c>
      <c r="Q430" s="39"/>
      <c r="R430" s="40"/>
      <c r="S430" s="40"/>
      <c r="T430" s="214"/>
      <c r="U430" s="214"/>
      <c r="V430" s="231"/>
      <c r="W430" s="231"/>
      <c r="X430" s="231"/>
      <c r="Y430" s="231"/>
      <c r="Z430" s="231"/>
      <c r="AA430" s="231"/>
      <c r="AB430" s="231"/>
      <c r="AC430" s="231"/>
      <c r="AD430" s="231"/>
      <c r="AE430" s="231"/>
      <c r="AF430" s="231"/>
      <c r="AG430" s="231"/>
      <c r="AH430" s="231"/>
      <c r="AI430" s="231"/>
      <c r="AJ430" s="231"/>
      <c r="AK430" s="231"/>
      <c r="AL430" s="231"/>
      <c r="AM430" s="231"/>
      <c r="AN430" s="231"/>
      <c r="AO430" s="231"/>
      <c r="AP430" s="231"/>
      <c r="AQ430" s="231"/>
      <c r="AR430" s="231"/>
    </row>
    <row r="431" spans="1:44" s="31" customFormat="1" x14ac:dyDescent="0.2">
      <c r="A431" s="56" t="s">
        <v>373</v>
      </c>
      <c r="B431" s="54" t="s">
        <v>372</v>
      </c>
      <c r="C431" s="78" t="s">
        <v>59</v>
      </c>
      <c r="D431" s="78" t="s">
        <v>72</v>
      </c>
      <c r="E431" s="78"/>
      <c r="F431" s="52">
        <f t="shared" ref="F431:O432" si="109">F432</f>
        <v>2552.9</v>
      </c>
      <c r="G431" s="52">
        <f t="shared" si="109"/>
        <v>2552.9</v>
      </c>
      <c r="H431" s="405">
        <f t="shared" si="96"/>
        <v>0</v>
      </c>
      <c r="I431" s="52">
        <f t="shared" si="109"/>
        <v>3000</v>
      </c>
      <c r="J431" s="52">
        <f t="shared" si="109"/>
        <v>0</v>
      </c>
      <c r="K431" s="315">
        <f t="shared" si="102"/>
        <v>-2552.9</v>
      </c>
      <c r="L431" s="52">
        <f t="shared" si="109"/>
        <v>3000</v>
      </c>
      <c r="M431" s="320">
        <f t="shared" si="97"/>
        <v>0</v>
      </c>
      <c r="N431" s="65">
        <f t="shared" si="109"/>
        <v>4700</v>
      </c>
      <c r="O431" s="52">
        <f t="shared" si="109"/>
        <v>4700</v>
      </c>
      <c r="P431" s="315">
        <f t="shared" ref="P431:P502" si="110">O431-N431</f>
        <v>0</v>
      </c>
      <c r="Q431" s="39"/>
      <c r="R431" s="40"/>
      <c r="S431" s="40"/>
      <c r="T431" s="214"/>
      <c r="U431" s="214"/>
      <c r="V431" s="231"/>
      <c r="W431" s="231"/>
      <c r="X431" s="231"/>
      <c r="Y431" s="231"/>
      <c r="Z431" s="231"/>
      <c r="AA431" s="231"/>
      <c r="AB431" s="231"/>
      <c r="AC431" s="231"/>
      <c r="AD431" s="231"/>
      <c r="AE431" s="231"/>
      <c r="AF431" s="231"/>
      <c r="AG431" s="231"/>
      <c r="AH431" s="231"/>
      <c r="AI431" s="231"/>
      <c r="AJ431" s="231"/>
      <c r="AK431" s="231"/>
      <c r="AL431" s="231"/>
      <c r="AM431" s="231"/>
      <c r="AN431" s="231"/>
      <c r="AO431" s="231"/>
      <c r="AP431" s="231"/>
      <c r="AQ431" s="231"/>
      <c r="AR431" s="231"/>
    </row>
    <row r="432" spans="1:44" s="31" customFormat="1" ht="25.5" x14ac:dyDescent="0.2">
      <c r="A432" s="69" t="s">
        <v>371</v>
      </c>
      <c r="B432" s="54" t="s">
        <v>369</v>
      </c>
      <c r="C432" s="60" t="s">
        <v>59</v>
      </c>
      <c r="D432" s="60" t="s">
        <v>72</v>
      </c>
      <c r="E432" s="60"/>
      <c r="F432" s="52">
        <f t="shared" si="109"/>
        <v>2552.9</v>
      </c>
      <c r="G432" s="52">
        <f t="shared" si="109"/>
        <v>2552.9</v>
      </c>
      <c r="H432" s="405">
        <f t="shared" ref="H432:H503" si="111">G432-F432</f>
        <v>0</v>
      </c>
      <c r="I432" s="52">
        <f t="shared" si="109"/>
        <v>3000</v>
      </c>
      <c r="J432" s="52">
        <f t="shared" si="109"/>
        <v>0</v>
      </c>
      <c r="K432" s="315">
        <f t="shared" si="102"/>
        <v>-2552.9</v>
      </c>
      <c r="L432" s="52">
        <f t="shared" si="109"/>
        <v>3000</v>
      </c>
      <c r="M432" s="320">
        <f t="shared" ref="M432:M503" si="112">L432-I432</f>
        <v>0</v>
      </c>
      <c r="N432" s="65">
        <f t="shared" si="109"/>
        <v>4700</v>
      </c>
      <c r="O432" s="52">
        <f t="shared" si="109"/>
        <v>4700</v>
      </c>
      <c r="P432" s="315">
        <f t="shared" si="110"/>
        <v>0</v>
      </c>
      <c r="Q432" s="39"/>
      <c r="R432" s="40"/>
      <c r="S432" s="40"/>
      <c r="T432" s="214"/>
      <c r="U432" s="214"/>
      <c r="V432" s="231"/>
      <c r="W432" s="231"/>
      <c r="X432" s="231"/>
      <c r="Y432" s="231"/>
      <c r="Z432" s="231"/>
      <c r="AA432" s="231"/>
      <c r="AB432" s="231"/>
      <c r="AC432" s="231"/>
      <c r="AD432" s="231"/>
      <c r="AE432" s="231"/>
      <c r="AF432" s="231"/>
      <c r="AG432" s="231"/>
      <c r="AH432" s="231"/>
      <c r="AI432" s="231"/>
      <c r="AJ432" s="231"/>
      <c r="AK432" s="231"/>
      <c r="AL432" s="231"/>
      <c r="AM432" s="231"/>
      <c r="AN432" s="231"/>
      <c r="AO432" s="231"/>
      <c r="AP432" s="231"/>
      <c r="AQ432" s="231"/>
      <c r="AR432" s="231"/>
    </row>
    <row r="433" spans="1:44" s="31" customFormat="1" ht="38.25" x14ac:dyDescent="0.2">
      <c r="A433" s="259" t="s">
        <v>370</v>
      </c>
      <c r="B433" s="54" t="s">
        <v>369</v>
      </c>
      <c r="C433" s="60" t="s">
        <v>59</v>
      </c>
      <c r="D433" s="60" t="s">
        <v>72</v>
      </c>
      <c r="E433" s="60" t="s">
        <v>368</v>
      </c>
      <c r="F433" s="52">
        <f>5000-2447.1</f>
        <v>2552.9</v>
      </c>
      <c r="G433" s="52">
        <f>5000-2447.1</f>
        <v>2552.9</v>
      </c>
      <c r="H433" s="405">
        <f t="shared" si="111"/>
        <v>0</v>
      </c>
      <c r="I433" s="52">
        <f>5000-2000</f>
        <v>3000</v>
      </c>
      <c r="J433" s="52">
        <f>2552.9-1200-1200-152.9</f>
        <v>0</v>
      </c>
      <c r="K433" s="315">
        <f t="shared" si="102"/>
        <v>-2552.9</v>
      </c>
      <c r="L433" s="52">
        <f>5000-2000</f>
        <v>3000</v>
      </c>
      <c r="M433" s="320">
        <f t="shared" si="112"/>
        <v>0</v>
      </c>
      <c r="N433" s="65">
        <f>5000-300</f>
        <v>4700</v>
      </c>
      <c r="O433" s="52">
        <f>5000-300</f>
        <v>4700</v>
      </c>
      <c r="P433" s="315">
        <f t="shared" si="110"/>
        <v>0</v>
      </c>
      <c r="Q433" s="39"/>
      <c r="R433" s="40"/>
      <c r="S433" s="40"/>
      <c r="T433" s="214"/>
      <c r="U433" s="214"/>
      <c r="V433" s="231"/>
      <c r="W433" s="231"/>
      <c r="X433" s="231"/>
      <c r="Y433" s="231"/>
      <c r="Z433" s="231"/>
      <c r="AA433" s="231"/>
      <c r="AB433" s="231"/>
      <c r="AC433" s="231"/>
      <c r="AD433" s="231"/>
      <c r="AE433" s="231"/>
      <c r="AF433" s="231"/>
      <c r="AG433" s="231"/>
      <c r="AH433" s="231"/>
      <c r="AI433" s="231"/>
      <c r="AJ433" s="231"/>
      <c r="AK433" s="231"/>
      <c r="AL433" s="231"/>
      <c r="AM433" s="231"/>
      <c r="AN433" s="231"/>
      <c r="AO433" s="231"/>
      <c r="AP433" s="231"/>
      <c r="AQ433" s="231"/>
      <c r="AR433" s="231"/>
    </row>
    <row r="434" spans="1:44" s="31" customFormat="1" x14ac:dyDescent="0.2">
      <c r="A434" s="84" t="s">
        <v>52</v>
      </c>
      <c r="B434" s="54" t="s">
        <v>307</v>
      </c>
      <c r="C434" s="60"/>
      <c r="D434" s="60"/>
      <c r="E434" s="60"/>
      <c r="F434" s="52">
        <f>F435+F443</f>
        <v>14646.3</v>
      </c>
      <c r="G434" s="52">
        <f>G435+G443</f>
        <v>14678.3</v>
      </c>
      <c r="H434" s="405">
        <f t="shared" si="111"/>
        <v>32</v>
      </c>
      <c r="I434" s="52">
        <f>I435+I443</f>
        <v>13742.2</v>
      </c>
      <c r="J434" s="52">
        <f>J435+J443</f>
        <v>17555.900000000001</v>
      </c>
      <c r="K434" s="315">
        <f t="shared" si="102"/>
        <v>2877.6000000000022</v>
      </c>
      <c r="L434" s="52">
        <f>L435+L443</f>
        <v>13742.2</v>
      </c>
      <c r="M434" s="320">
        <f t="shared" si="112"/>
        <v>0</v>
      </c>
      <c r="N434" s="65">
        <f>N435+N443</f>
        <v>14088</v>
      </c>
      <c r="O434" s="52">
        <f>O435+O443</f>
        <v>14088</v>
      </c>
      <c r="P434" s="315">
        <f t="shared" si="110"/>
        <v>0</v>
      </c>
      <c r="Q434" s="39"/>
      <c r="R434" s="40"/>
      <c r="S434" s="40"/>
      <c r="T434" s="214"/>
      <c r="U434" s="214"/>
      <c r="V434" s="231"/>
      <c r="W434" s="231"/>
      <c r="X434" s="231"/>
      <c r="Y434" s="231"/>
      <c r="Z434" s="231"/>
      <c r="AA434" s="231"/>
      <c r="AB434" s="231"/>
      <c r="AC434" s="231"/>
      <c r="AD434" s="231"/>
      <c r="AE434" s="231"/>
      <c r="AF434" s="231"/>
      <c r="AG434" s="231"/>
      <c r="AH434" s="231"/>
      <c r="AI434" s="231"/>
      <c r="AJ434" s="231"/>
      <c r="AK434" s="231"/>
      <c r="AL434" s="231"/>
      <c r="AM434" s="231"/>
      <c r="AN434" s="231"/>
      <c r="AO434" s="231"/>
      <c r="AP434" s="231"/>
      <c r="AQ434" s="231"/>
      <c r="AR434" s="231"/>
    </row>
    <row r="435" spans="1:44" s="31" customFormat="1" ht="38.25" x14ac:dyDescent="0.2">
      <c r="A435" s="84" t="s">
        <v>367</v>
      </c>
      <c r="B435" s="54" t="s">
        <v>366</v>
      </c>
      <c r="C435" s="60" t="s">
        <v>59</v>
      </c>
      <c r="D435" s="60" t="s">
        <v>72</v>
      </c>
      <c r="E435" s="60"/>
      <c r="F435" s="52">
        <f>F436+F439+F441</f>
        <v>5719.2</v>
      </c>
      <c r="G435" s="52">
        <f>G436+G439+G441</f>
        <v>5751.2</v>
      </c>
      <c r="H435" s="405">
        <f t="shared" si="111"/>
        <v>32</v>
      </c>
      <c r="I435" s="52">
        <f>I436+I439+I441</f>
        <v>2815.1</v>
      </c>
      <c r="J435" s="52">
        <f>J436+J439+J441</f>
        <v>6531.3</v>
      </c>
      <c r="K435" s="315">
        <f t="shared" si="102"/>
        <v>780.10000000000036</v>
      </c>
      <c r="L435" s="52">
        <f>L436+L439+L441</f>
        <v>2815.1</v>
      </c>
      <c r="M435" s="320">
        <f t="shared" si="112"/>
        <v>0</v>
      </c>
      <c r="N435" s="65">
        <f>N436+N439+N441</f>
        <v>2350</v>
      </c>
      <c r="O435" s="52">
        <f>O436+O439+O441</f>
        <v>2350</v>
      </c>
      <c r="P435" s="315">
        <f t="shared" si="110"/>
        <v>0</v>
      </c>
      <c r="Q435" s="39"/>
      <c r="R435" s="40"/>
      <c r="S435" s="40"/>
      <c r="T435" s="214"/>
      <c r="U435" s="214"/>
      <c r="V435" s="231"/>
      <c r="W435" s="231"/>
      <c r="X435" s="231"/>
      <c r="Y435" s="231"/>
      <c r="Z435" s="231"/>
      <c r="AA435" s="231"/>
      <c r="AB435" s="231"/>
      <c r="AC435" s="231"/>
      <c r="AD435" s="231"/>
      <c r="AE435" s="231"/>
      <c r="AF435" s="231"/>
      <c r="AG435" s="231"/>
      <c r="AH435" s="231"/>
      <c r="AI435" s="231"/>
      <c r="AJ435" s="231"/>
      <c r="AK435" s="231"/>
      <c r="AL435" s="231"/>
      <c r="AM435" s="231"/>
      <c r="AN435" s="231"/>
      <c r="AO435" s="231"/>
      <c r="AP435" s="231"/>
      <c r="AQ435" s="231"/>
      <c r="AR435" s="231"/>
    </row>
    <row r="436" spans="1:44" s="31" customFormat="1" x14ac:dyDescent="0.2">
      <c r="A436" s="146" t="s">
        <v>365</v>
      </c>
      <c r="B436" s="54" t="s">
        <v>363</v>
      </c>
      <c r="C436" s="78" t="s">
        <v>59</v>
      </c>
      <c r="D436" s="78" t="s">
        <v>72</v>
      </c>
      <c r="E436" s="78"/>
      <c r="F436" s="52">
        <f>F437+F438</f>
        <v>3369.2</v>
      </c>
      <c r="G436" s="52">
        <f>G437+G438</f>
        <v>3401.2</v>
      </c>
      <c r="H436" s="315">
        <f t="shared" si="111"/>
        <v>32</v>
      </c>
      <c r="I436" s="52">
        <f>I437+I438</f>
        <v>2815.1</v>
      </c>
      <c r="J436" s="52">
        <f>J437+J438</f>
        <v>4181.3</v>
      </c>
      <c r="K436" s="315">
        <f t="shared" si="102"/>
        <v>780.10000000000036</v>
      </c>
      <c r="L436" s="52">
        <f>L437+L438</f>
        <v>2815.1</v>
      </c>
      <c r="M436" s="320">
        <f t="shared" si="112"/>
        <v>0</v>
      </c>
      <c r="N436" s="52">
        <f>N437+N438</f>
        <v>2350</v>
      </c>
      <c r="O436" s="52">
        <f>O437+O438</f>
        <v>2350</v>
      </c>
      <c r="P436" s="315">
        <f t="shared" si="110"/>
        <v>0</v>
      </c>
      <c r="Q436" s="39"/>
      <c r="R436" s="40"/>
      <c r="S436" s="40"/>
      <c r="T436" s="214"/>
      <c r="U436" s="214"/>
      <c r="V436" s="231"/>
      <c r="W436" s="231"/>
      <c r="X436" s="231"/>
      <c r="Y436" s="231"/>
      <c r="Z436" s="231"/>
      <c r="AA436" s="231"/>
      <c r="AB436" s="231"/>
      <c r="AC436" s="231"/>
      <c r="AD436" s="231"/>
      <c r="AE436" s="231"/>
      <c r="AF436" s="231"/>
      <c r="AG436" s="231"/>
      <c r="AH436" s="231"/>
      <c r="AI436" s="231"/>
      <c r="AJ436" s="231"/>
      <c r="AK436" s="231"/>
      <c r="AL436" s="231"/>
      <c r="AM436" s="231"/>
      <c r="AN436" s="231"/>
      <c r="AO436" s="231"/>
      <c r="AP436" s="231"/>
      <c r="AQ436" s="231"/>
      <c r="AR436" s="231"/>
    </row>
    <row r="437" spans="1:44" s="31" customFormat="1" ht="25.5" x14ac:dyDescent="0.2">
      <c r="A437" s="56" t="s">
        <v>73</v>
      </c>
      <c r="B437" s="54" t="s">
        <v>363</v>
      </c>
      <c r="C437" s="78" t="s">
        <v>59</v>
      </c>
      <c r="D437" s="78" t="s">
        <v>72</v>
      </c>
      <c r="E437" s="78" t="s">
        <v>70</v>
      </c>
      <c r="F437" s="52">
        <f>1404.1+1500</f>
        <v>2904.1</v>
      </c>
      <c r="G437" s="52">
        <f>2904.1+32</f>
        <v>2936.1</v>
      </c>
      <c r="H437" s="315">
        <f t="shared" si="111"/>
        <v>32</v>
      </c>
      <c r="I437" s="52">
        <f>1500+465.1+850</f>
        <v>2815.1</v>
      </c>
      <c r="J437" s="52">
        <f>2936.1+468</f>
        <v>3404.1</v>
      </c>
      <c r="K437" s="315">
        <f t="shared" si="102"/>
        <v>468</v>
      </c>
      <c r="L437" s="52">
        <f>1500+465.1+850</f>
        <v>2815.1</v>
      </c>
      <c r="M437" s="320">
        <f t="shared" si="112"/>
        <v>0</v>
      </c>
      <c r="N437" s="65">
        <f>1500+850</f>
        <v>2350</v>
      </c>
      <c r="O437" s="52">
        <f>1500+850</f>
        <v>2350</v>
      </c>
      <c r="P437" s="315">
        <f t="shared" si="110"/>
        <v>0</v>
      </c>
      <c r="Q437" s="39"/>
      <c r="R437" s="40"/>
      <c r="S437" s="40"/>
      <c r="T437" s="214"/>
      <c r="U437" s="214"/>
      <c r="V437" s="231"/>
      <c r="W437" s="231"/>
      <c r="X437" s="231"/>
      <c r="Y437" s="231"/>
      <c r="Z437" s="231"/>
      <c r="AA437" s="231"/>
      <c r="AB437" s="231"/>
      <c r="AC437" s="231"/>
      <c r="AD437" s="231"/>
      <c r="AE437" s="231"/>
      <c r="AF437" s="231"/>
      <c r="AG437" s="231"/>
      <c r="AH437" s="231"/>
      <c r="AI437" s="231"/>
      <c r="AJ437" s="231"/>
      <c r="AK437" s="231"/>
      <c r="AL437" s="231"/>
      <c r="AM437" s="231"/>
      <c r="AN437" s="231"/>
      <c r="AO437" s="231"/>
      <c r="AP437" s="231"/>
      <c r="AQ437" s="231"/>
      <c r="AR437" s="231"/>
    </row>
    <row r="438" spans="1:44" s="31" customFormat="1" ht="25.5" customHeight="1" x14ac:dyDescent="0.2">
      <c r="A438" s="260" t="s">
        <v>364</v>
      </c>
      <c r="B438" s="54" t="s">
        <v>363</v>
      </c>
      <c r="C438" s="60" t="s">
        <v>59</v>
      </c>
      <c r="D438" s="60" t="s">
        <v>72</v>
      </c>
      <c r="E438" s="60" t="s">
        <v>362</v>
      </c>
      <c r="F438" s="52">
        <v>465.1</v>
      </c>
      <c r="G438" s="52">
        <v>465.1</v>
      </c>
      <c r="H438" s="315">
        <f t="shared" si="111"/>
        <v>0</v>
      </c>
      <c r="I438" s="52">
        <v>0</v>
      </c>
      <c r="J438" s="52">
        <f>465.1+155.1+157</f>
        <v>777.2</v>
      </c>
      <c r="K438" s="315">
        <f t="shared" si="102"/>
        <v>312.10000000000002</v>
      </c>
      <c r="L438" s="52">
        <v>0</v>
      </c>
      <c r="M438" s="320">
        <f t="shared" si="112"/>
        <v>0</v>
      </c>
      <c r="N438" s="65">
        <v>0</v>
      </c>
      <c r="O438" s="52">
        <v>0</v>
      </c>
      <c r="P438" s="315">
        <f t="shared" si="110"/>
        <v>0</v>
      </c>
      <c r="Q438" s="39"/>
      <c r="R438" s="40"/>
      <c r="S438" s="40"/>
      <c r="T438" s="214"/>
      <c r="U438" s="214"/>
      <c r="V438" s="231"/>
      <c r="W438" s="231"/>
      <c r="X438" s="231"/>
      <c r="Y438" s="231"/>
      <c r="Z438" s="231"/>
      <c r="AA438" s="231"/>
      <c r="AB438" s="231"/>
      <c r="AC438" s="231"/>
      <c r="AD438" s="231"/>
      <c r="AE438" s="231"/>
      <c r="AF438" s="231"/>
      <c r="AG438" s="231"/>
      <c r="AH438" s="231"/>
      <c r="AI438" s="231"/>
      <c r="AJ438" s="231"/>
      <c r="AK438" s="231"/>
      <c r="AL438" s="231"/>
      <c r="AM438" s="231"/>
      <c r="AN438" s="231"/>
      <c r="AO438" s="231"/>
      <c r="AP438" s="231"/>
      <c r="AQ438" s="231"/>
      <c r="AR438" s="231"/>
    </row>
    <row r="439" spans="1:44" s="31" customFormat="1" ht="25.5" x14ac:dyDescent="0.2">
      <c r="A439" s="84" t="s">
        <v>361</v>
      </c>
      <c r="B439" s="54" t="s">
        <v>360</v>
      </c>
      <c r="C439" s="78" t="s">
        <v>59</v>
      </c>
      <c r="D439" s="78" t="s">
        <v>72</v>
      </c>
      <c r="E439" s="78"/>
      <c r="F439" s="52">
        <f>F440</f>
        <v>2000</v>
      </c>
      <c r="G439" s="52">
        <f>G440</f>
        <v>2000</v>
      </c>
      <c r="H439" s="315">
        <f t="shared" si="111"/>
        <v>0</v>
      </c>
      <c r="I439" s="52">
        <f>I440</f>
        <v>0</v>
      </c>
      <c r="J439" s="52">
        <f>J440</f>
        <v>2000</v>
      </c>
      <c r="K439" s="315">
        <f t="shared" si="102"/>
        <v>0</v>
      </c>
      <c r="L439" s="52">
        <f>L440</f>
        <v>0</v>
      </c>
      <c r="M439" s="320">
        <f t="shared" si="112"/>
        <v>0</v>
      </c>
      <c r="N439" s="65">
        <f>N440</f>
        <v>0</v>
      </c>
      <c r="O439" s="52">
        <f>O440</f>
        <v>0</v>
      </c>
      <c r="P439" s="315">
        <f t="shared" si="110"/>
        <v>0</v>
      </c>
      <c r="Q439" s="39"/>
      <c r="R439" s="40"/>
      <c r="S439" s="40"/>
      <c r="T439" s="214"/>
      <c r="U439" s="214"/>
      <c r="V439" s="231"/>
      <c r="W439" s="231"/>
      <c r="X439" s="231"/>
      <c r="Y439" s="231"/>
      <c r="Z439" s="231"/>
      <c r="AA439" s="231"/>
      <c r="AB439" s="231"/>
      <c r="AC439" s="231"/>
      <c r="AD439" s="231"/>
      <c r="AE439" s="231"/>
      <c r="AF439" s="231"/>
      <c r="AG439" s="231"/>
      <c r="AH439" s="231"/>
      <c r="AI439" s="231"/>
      <c r="AJ439" s="231"/>
      <c r="AK439" s="231"/>
      <c r="AL439" s="231"/>
      <c r="AM439" s="231"/>
      <c r="AN439" s="231"/>
      <c r="AO439" s="231"/>
      <c r="AP439" s="231"/>
      <c r="AQ439" s="231"/>
      <c r="AR439" s="231"/>
    </row>
    <row r="440" spans="1:44" s="31" customFormat="1" ht="25.5" x14ac:dyDescent="0.2">
      <c r="A440" s="56" t="s">
        <v>73</v>
      </c>
      <c r="B440" s="54" t="s">
        <v>360</v>
      </c>
      <c r="C440" s="78" t="s">
        <v>59</v>
      </c>
      <c r="D440" s="78" t="s">
        <v>72</v>
      </c>
      <c r="E440" s="78" t="s">
        <v>70</v>
      </c>
      <c r="F440" s="52">
        <f>4000-2000</f>
        <v>2000</v>
      </c>
      <c r="G440" s="52">
        <f>4000-2000</f>
        <v>2000</v>
      </c>
      <c r="H440" s="315">
        <f t="shared" si="111"/>
        <v>0</v>
      </c>
      <c r="I440" s="52">
        <v>0</v>
      </c>
      <c r="J440" s="52">
        <f>4000-2000</f>
        <v>2000</v>
      </c>
      <c r="K440" s="315">
        <f t="shared" si="102"/>
        <v>0</v>
      </c>
      <c r="L440" s="52">
        <v>0</v>
      </c>
      <c r="M440" s="320">
        <f t="shared" si="112"/>
        <v>0</v>
      </c>
      <c r="N440" s="52">
        <v>0</v>
      </c>
      <c r="O440" s="52">
        <v>0</v>
      </c>
      <c r="P440" s="315">
        <f t="shared" si="110"/>
        <v>0</v>
      </c>
      <c r="Q440" s="261"/>
      <c r="R440" s="40"/>
      <c r="S440" s="40"/>
      <c r="T440" s="214"/>
      <c r="U440" s="214"/>
      <c r="V440" s="231"/>
      <c r="W440" s="231"/>
      <c r="X440" s="231"/>
      <c r="Y440" s="231"/>
      <c r="Z440" s="231"/>
      <c r="AA440" s="231"/>
      <c r="AB440" s="231"/>
      <c r="AC440" s="231"/>
      <c r="AD440" s="231"/>
      <c r="AE440" s="231"/>
      <c r="AF440" s="231"/>
      <c r="AG440" s="231"/>
      <c r="AH440" s="231"/>
      <c r="AI440" s="231"/>
      <c r="AJ440" s="231"/>
      <c r="AK440" s="231"/>
      <c r="AL440" s="231"/>
      <c r="AM440" s="231"/>
      <c r="AN440" s="231"/>
      <c r="AO440" s="231"/>
      <c r="AP440" s="231"/>
      <c r="AQ440" s="231"/>
      <c r="AR440" s="231"/>
    </row>
    <row r="441" spans="1:44" s="31" customFormat="1" ht="25.5" x14ac:dyDescent="0.2">
      <c r="A441" s="262" t="s">
        <v>359</v>
      </c>
      <c r="B441" s="54" t="s">
        <v>358</v>
      </c>
      <c r="C441" s="60" t="s">
        <v>59</v>
      </c>
      <c r="D441" s="60" t="s">
        <v>72</v>
      </c>
      <c r="E441" s="60"/>
      <c r="F441" s="52">
        <f>F442</f>
        <v>350</v>
      </c>
      <c r="G441" s="52">
        <f>G442</f>
        <v>350</v>
      </c>
      <c r="H441" s="315">
        <f t="shared" si="111"/>
        <v>0</v>
      </c>
      <c r="I441" s="52">
        <f>I442</f>
        <v>0</v>
      </c>
      <c r="J441" s="52">
        <f>J442</f>
        <v>350</v>
      </c>
      <c r="K441" s="315">
        <f t="shared" si="102"/>
        <v>0</v>
      </c>
      <c r="L441" s="52">
        <f>L442</f>
        <v>0</v>
      </c>
      <c r="M441" s="320">
        <f t="shared" si="112"/>
        <v>0</v>
      </c>
      <c r="N441" s="65">
        <f>N442</f>
        <v>0</v>
      </c>
      <c r="O441" s="52">
        <f>O442</f>
        <v>0</v>
      </c>
      <c r="P441" s="315">
        <f t="shared" si="110"/>
        <v>0</v>
      </c>
      <c r="Q441" s="39"/>
      <c r="R441" s="40"/>
      <c r="S441" s="40"/>
      <c r="T441" s="214"/>
      <c r="U441" s="214"/>
      <c r="V441" s="231"/>
      <c r="W441" s="231"/>
      <c r="X441" s="231"/>
      <c r="Y441" s="231"/>
      <c r="Z441" s="231"/>
      <c r="AA441" s="231"/>
      <c r="AB441" s="231"/>
      <c r="AC441" s="231"/>
      <c r="AD441" s="231"/>
      <c r="AE441" s="231"/>
      <c r="AF441" s="231"/>
      <c r="AG441" s="231"/>
      <c r="AH441" s="231"/>
      <c r="AI441" s="231"/>
      <c r="AJ441" s="231"/>
      <c r="AK441" s="231"/>
      <c r="AL441" s="231"/>
      <c r="AM441" s="231"/>
      <c r="AN441" s="231"/>
      <c r="AO441" s="231"/>
      <c r="AP441" s="231"/>
      <c r="AQ441" s="231"/>
      <c r="AR441" s="231"/>
    </row>
    <row r="442" spans="1:44" s="31" customFormat="1" ht="25.5" x14ac:dyDescent="0.2">
      <c r="A442" s="56" t="s">
        <v>73</v>
      </c>
      <c r="B442" s="54" t="s">
        <v>358</v>
      </c>
      <c r="C442" s="60" t="s">
        <v>59</v>
      </c>
      <c r="D442" s="60" t="s">
        <v>72</v>
      </c>
      <c r="E442" s="60" t="s">
        <v>70</v>
      </c>
      <c r="F442" s="52">
        <v>350</v>
      </c>
      <c r="G442" s="52">
        <v>350</v>
      </c>
      <c r="H442" s="315">
        <f t="shared" si="111"/>
        <v>0</v>
      </c>
      <c r="I442" s="52">
        <v>0</v>
      </c>
      <c r="J442" s="52">
        <v>350</v>
      </c>
      <c r="K442" s="315">
        <f t="shared" si="102"/>
        <v>0</v>
      </c>
      <c r="L442" s="52">
        <v>0</v>
      </c>
      <c r="M442" s="320">
        <f t="shared" si="112"/>
        <v>0</v>
      </c>
      <c r="N442" s="65">
        <v>0</v>
      </c>
      <c r="O442" s="52">
        <v>0</v>
      </c>
      <c r="P442" s="315">
        <f t="shared" si="110"/>
        <v>0</v>
      </c>
      <c r="Q442" s="39"/>
      <c r="R442" s="40"/>
      <c r="S442" s="40"/>
      <c r="T442" s="214"/>
      <c r="U442" s="214"/>
      <c r="V442" s="231"/>
      <c r="W442" s="231"/>
      <c r="X442" s="231"/>
      <c r="Y442" s="231"/>
      <c r="Z442" s="231"/>
      <c r="AA442" s="231"/>
      <c r="AB442" s="231"/>
      <c r="AC442" s="231"/>
      <c r="AD442" s="231"/>
      <c r="AE442" s="231"/>
      <c r="AF442" s="231"/>
      <c r="AG442" s="231"/>
      <c r="AH442" s="231"/>
      <c r="AI442" s="231"/>
      <c r="AJ442" s="231"/>
      <c r="AK442" s="231"/>
      <c r="AL442" s="231"/>
      <c r="AM442" s="231"/>
      <c r="AN442" s="231"/>
      <c r="AO442" s="231"/>
      <c r="AP442" s="231"/>
      <c r="AQ442" s="231"/>
      <c r="AR442" s="231"/>
    </row>
    <row r="443" spans="1:44" s="31" customFormat="1" ht="25.5" x14ac:dyDescent="0.2">
      <c r="A443" s="56" t="s">
        <v>306</v>
      </c>
      <c r="B443" s="54" t="s">
        <v>305</v>
      </c>
      <c r="C443" s="60"/>
      <c r="D443" s="60"/>
      <c r="E443" s="60"/>
      <c r="F443" s="52">
        <f>F444+F446</f>
        <v>8927.1</v>
      </c>
      <c r="G443" s="52">
        <f>G444+G446</f>
        <v>8927.1</v>
      </c>
      <c r="H443" s="315">
        <f t="shared" si="111"/>
        <v>0</v>
      </c>
      <c r="I443" s="52">
        <f>I444+I446</f>
        <v>10927.1</v>
      </c>
      <c r="J443" s="52">
        <f>J444+J446</f>
        <v>11024.6</v>
      </c>
      <c r="K443" s="315">
        <f t="shared" si="102"/>
        <v>2097.5</v>
      </c>
      <c r="L443" s="52">
        <f>L444+L446</f>
        <v>10927.1</v>
      </c>
      <c r="M443" s="320">
        <f t="shared" si="112"/>
        <v>0</v>
      </c>
      <c r="N443" s="65">
        <f>N444+N446</f>
        <v>11738</v>
      </c>
      <c r="O443" s="52">
        <f>O444+O446</f>
        <v>11738</v>
      </c>
      <c r="P443" s="315">
        <f t="shared" si="110"/>
        <v>0</v>
      </c>
      <c r="Q443" s="39"/>
      <c r="R443" s="40"/>
      <c r="S443" s="40"/>
      <c r="T443" s="214"/>
      <c r="U443" s="214"/>
      <c r="V443" s="231"/>
      <c r="W443" s="231"/>
      <c r="X443" s="231"/>
      <c r="Y443" s="231"/>
      <c r="Z443" s="231"/>
      <c r="AA443" s="231"/>
      <c r="AB443" s="231"/>
      <c r="AC443" s="231"/>
      <c r="AD443" s="231"/>
      <c r="AE443" s="231"/>
      <c r="AF443" s="231"/>
      <c r="AG443" s="231"/>
      <c r="AH443" s="231"/>
      <c r="AI443" s="231"/>
      <c r="AJ443" s="231"/>
      <c r="AK443" s="231"/>
      <c r="AL443" s="231"/>
      <c r="AM443" s="231"/>
      <c r="AN443" s="231"/>
      <c r="AO443" s="231"/>
      <c r="AP443" s="231"/>
      <c r="AQ443" s="231"/>
      <c r="AR443" s="231"/>
    </row>
    <row r="444" spans="1:44" s="31" customFormat="1" ht="25.5" x14ac:dyDescent="0.2">
      <c r="A444" s="75" t="s">
        <v>1096</v>
      </c>
      <c r="B444" s="54" t="s">
        <v>304</v>
      </c>
      <c r="C444" s="60" t="s">
        <v>59</v>
      </c>
      <c r="D444" s="60" t="s">
        <v>111</v>
      </c>
      <c r="E444" s="78"/>
      <c r="F444" s="52">
        <f>F445</f>
        <v>1000</v>
      </c>
      <c r="G444" s="52">
        <f>G445</f>
        <v>1000</v>
      </c>
      <c r="H444" s="315">
        <f t="shared" si="111"/>
        <v>0</v>
      </c>
      <c r="I444" s="52">
        <f>I445</f>
        <v>3000</v>
      </c>
      <c r="J444" s="52">
        <f>J445</f>
        <v>3097.5</v>
      </c>
      <c r="K444" s="315">
        <f t="shared" si="102"/>
        <v>2097.5</v>
      </c>
      <c r="L444" s="52">
        <f>L445</f>
        <v>3000</v>
      </c>
      <c r="M444" s="320">
        <f t="shared" si="112"/>
        <v>0</v>
      </c>
      <c r="N444" s="65">
        <f>N445</f>
        <v>3810.9</v>
      </c>
      <c r="O444" s="52">
        <f>O445</f>
        <v>3810.9</v>
      </c>
      <c r="P444" s="315">
        <f t="shared" si="110"/>
        <v>0</v>
      </c>
      <c r="Q444" s="39"/>
      <c r="R444" s="40"/>
      <c r="S444" s="40"/>
      <c r="T444" s="214"/>
      <c r="U444" s="214"/>
      <c r="V444" s="231"/>
      <c r="W444" s="231"/>
      <c r="X444" s="231"/>
      <c r="Y444" s="231"/>
      <c r="Z444" s="231"/>
      <c r="AA444" s="231"/>
      <c r="AB444" s="231"/>
      <c r="AC444" s="231"/>
      <c r="AD444" s="231"/>
      <c r="AE444" s="231"/>
      <c r="AF444" s="231"/>
      <c r="AG444" s="231"/>
      <c r="AH444" s="231"/>
      <c r="AI444" s="231"/>
      <c r="AJ444" s="231"/>
      <c r="AK444" s="231"/>
      <c r="AL444" s="231"/>
      <c r="AM444" s="231"/>
      <c r="AN444" s="231"/>
      <c r="AO444" s="231"/>
      <c r="AP444" s="231"/>
      <c r="AQ444" s="231"/>
      <c r="AR444" s="231"/>
    </row>
    <row r="445" spans="1:44" s="31" customFormat="1" x14ac:dyDescent="0.2">
      <c r="A445" s="75" t="s">
        <v>82</v>
      </c>
      <c r="B445" s="54" t="s">
        <v>304</v>
      </c>
      <c r="C445" s="60" t="s">
        <v>59</v>
      </c>
      <c r="D445" s="60" t="s">
        <v>111</v>
      </c>
      <c r="E445" s="78" t="s">
        <v>81</v>
      </c>
      <c r="F445" s="52">
        <v>1000</v>
      </c>
      <c r="G445" s="52">
        <f>1000</f>
        <v>1000</v>
      </c>
      <c r="H445" s="315">
        <f t="shared" si="111"/>
        <v>0</v>
      </c>
      <c r="I445" s="52">
        <v>3000</v>
      </c>
      <c r="J445" s="52">
        <f>1000+1600+97.7+165.8+114.7+119.3</f>
        <v>3097.5</v>
      </c>
      <c r="K445" s="315">
        <f t="shared" si="102"/>
        <v>2097.5</v>
      </c>
      <c r="L445" s="52">
        <v>3000</v>
      </c>
      <c r="M445" s="320">
        <f t="shared" si="112"/>
        <v>0</v>
      </c>
      <c r="N445" s="65">
        <f>3000+810.9</f>
        <v>3810.9</v>
      </c>
      <c r="O445" s="52">
        <f>3000+810.9</f>
        <v>3810.9</v>
      </c>
      <c r="P445" s="315">
        <f t="shared" si="110"/>
        <v>0</v>
      </c>
      <c r="Q445" s="39"/>
      <c r="R445" s="40"/>
      <c r="S445" s="40"/>
      <c r="T445" s="214"/>
      <c r="U445" s="214"/>
      <c r="V445" s="231"/>
      <c r="W445" s="231"/>
      <c r="X445" s="231"/>
      <c r="Y445" s="231"/>
      <c r="Z445" s="231"/>
      <c r="AA445" s="231"/>
      <c r="AB445" s="231"/>
      <c r="AC445" s="231"/>
      <c r="AD445" s="231"/>
      <c r="AE445" s="231"/>
      <c r="AF445" s="231"/>
      <c r="AG445" s="231"/>
      <c r="AH445" s="231"/>
      <c r="AI445" s="231"/>
      <c r="AJ445" s="231"/>
      <c r="AK445" s="231"/>
      <c r="AL445" s="231"/>
      <c r="AM445" s="231"/>
      <c r="AN445" s="231"/>
      <c r="AO445" s="231"/>
      <c r="AP445" s="231"/>
      <c r="AQ445" s="231"/>
      <c r="AR445" s="231"/>
    </row>
    <row r="446" spans="1:44" s="31" customFormat="1" ht="25.5" x14ac:dyDescent="0.2">
      <c r="A446" s="64" t="s">
        <v>88</v>
      </c>
      <c r="B446" s="54" t="s">
        <v>303</v>
      </c>
      <c r="C446" s="60" t="s">
        <v>59</v>
      </c>
      <c r="D446" s="60" t="s">
        <v>111</v>
      </c>
      <c r="E446" s="60"/>
      <c r="F446" s="52">
        <f>F447</f>
        <v>7927.1</v>
      </c>
      <c r="G446" s="52">
        <f>G447</f>
        <v>7927.1</v>
      </c>
      <c r="H446" s="315">
        <f t="shared" si="111"/>
        <v>0</v>
      </c>
      <c r="I446" s="52">
        <f>I447</f>
        <v>7927.1</v>
      </c>
      <c r="J446" s="52">
        <f>J447</f>
        <v>7927.1</v>
      </c>
      <c r="K446" s="315">
        <f t="shared" si="102"/>
        <v>0</v>
      </c>
      <c r="L446" s="52">
        <f>L447</f>
        <v>7927.1</v>
      </c>
      <c r="M446" s="320">
        <f t="shared" si="112"/>
        <v>0</v>
      </c>
      <c r="N446" s="65">
        <f>N447</f>
        <v>7927.1</v>
      </c>
      <c r="O446" s="52">
        <f>O447</f>
        <v>7927.1</v>
      </c>
      <c r="P446" s="315">
        <f t="shared" si="110"/>
        <v>0</v>
      </c>
      <c r="Q446" s="39"/>
      <c r="R446" s="40"/>
      <c r="S446" s="40"/>
      <c r="T446" s="214"/>
      <c r="U446" s="214"/>
      <c r="V446" s="231"/>
      <c r="W446" s="231"/>
      <c r="X446" s="231"/>
      <c r="Y446" s="231"/>
      <c r="Z446" s="231"/>
      <c r="AA446" s="231"/>
      <c r="AB446" s="231"/>
      <c r="AC446" s="231"/>
      <c r="AD446" s="231"/>
      <c r="AE446" s="231"/>
      <c r="AF446" s="231"/>
      <c r="AG446" s="231"/>
      <c r="AH446" s="231"/>
      <c r="AI446" s="231"/>
      <c r="AJ446" s="231"/>
      <c r="AK446" s="231"/>
      <c r="AL446" s="231"/>
      <c r="AM446" s="231"/>
      <c r="AN446" s="231"/>
      <c r="AO446" s="231"/>
      <c r="AP446" s="231"/>
      <c r="AQ446" s="231"/>
      <c r="AR446" s="231"/>
    </row>
    <row r="447" spans="1:44" s="31" customFormat="1" x14ac:dyDescent="0.2">
      <c r="A447" s="64" t="s">
        <v>82</v>
      </c>
      <c r="B447" s="54" t="s">
        <v>303</v>
      </c>
      <c r="C447" s="60" t="s">
        <v>59</v>
      </c>
      <c r="D447" s="60" t="s">
        <v>111</v>
      </c>
      <c r="E447" s="60" t="s">
        <v>81</v>
      </c>
      <c r="F447" s="52">
        <v>7927.1</v>
      </c>
      <c r="G447" s="52">
        <v>7927.1</v>
      </c>
      <c r="H447" s="315">
        <f t="shared" si="111"/>
        <v>0</v>
      </c>
      <c r="I447" s="52">
        <v>7927.1</v>
      </c>
      <c r="J447" s="52">
        <v>7927.1</v>
      </c>
      <c r="K447" s="315">
        <f t="shared" si="102"/>
        <v>0</v>
      </c>
      <c r="L447" s="52">
        <v>7927.1</v>
      </c>
      <c r="M447" s="320">
        <f t="shared" si="112"/>
        <v>0</v>
      </c>
      <c r="N447" s="65">
        <v>7927.1</v>
      </c>
      <c r="O447" s="52">
        <v>7927.1</v>
      </c>
      <c r="P447" s="315">
        <f t="shared" si="110"/>
        <v>0</v>
      </c>
      <c r="Q447" s="39"/>
      <c r="R447" s="40"/>
      <c r="S447" s="40"/>
      <c r="T447" s="214"/>
      <c r="U447" s="214"/>
      <c r="V447" s="231"/>
      <c r="W447" s="231"/>
      <c r="X447" s="231"/>
      <c r="Y447" s="231"/>
      <c r="Z447" s="231"/>
      <c r="AA447" s="231"/>
      <c r="AB447" s="231"/>
      <c r="AC447" s="231"/>
      <c r="AD447" s="231"/>
      <c r="AE447" s="231"/>
      <c r="AF447" s="231"/>
      <c r="AG447" s="231"/>
      <c r="AH447" s="231"/>
      <c r="AI447" s="231"/>
      <c r="AJ447" s="231"/>
      <c r="AK447" s="231"/>
      <c r="AL447" s="231"/>
      <c r="AM447" s="231"/>
      <c r="AN447" s="231"/>
      <c r="AO447" s="231"/>
      <c r="AP447" s="231"/>
      <c r="AQ447" s="231"/>
      <c r="AR447" s="231"/>
    </row>
    <row r="448" spans="1:44" ht="18.75" customHeight="1" x14ac:dyDescent="0.2">
      <c r="A448" s="224" t="s">
        <v>722</v>
      </c>
      <c r="B448" s="225" t="s">
        <v>444</v>
      </c>
      <c r="C448" s="226"/>
      <c r="D448" s="226"/>
      <c r="E448" s="226"/>
      <c r="F448" s="263">
        <f>F449+F455</f>
        <v>1187.8</v>
      </c>
      <c r="G448" s="263">
        <f>G449+G455</f>
        <v>1187.8</v>
      </c>
      <c r="H448" s="315">
        <f t="shared" si="111"/>
        <v>0</v>
      </c>
      <c r="I448" s="263">
        <f>I449+I455</f>
        <v>1016.0000000000002</v>
      </c>
      <c r="J448" s="263">
        <f>J449+J455</f>
        <v>1187.8</v>
      </c>
      <c r="K448" s="315">
        <f t="shared" si="102"/>
        <v>0</v>
      </c>
      <c r="L448" s="263">
        <f>L449+L455</f>
        <v>1016.0000000000002</v>
      </c>
      <c r="M448" s="320">
        <f t="shared" si="112"/>
        <v>0</v>
      </c>
      <c r="N448" s="264">
        <f>N449+N455</f>
        <v>916.00000000000023</v>
      </c>
      <c r="O448" s="263">
        <f>O449+O455</f>
        <v>916.00000000000023</v>
      </c>
      <c r="P448" s="315">
        <f t="shared" si="110"/>
        <v>0</v>
      </c>
    </row>
    <row r="449" spans="1:44" s="265" customFormat="1" x14ac:dyDescent="0.2">
      <c r="A449" s="84" t="s">
        <v>443</v>
      </c>
      <c r="B449" s="54" t="s">
        <v>442</v>
      </c>
      <c r="C449" s="60"/>
      <c r="D449" s="60"/>
      <c r="E449" s="60"/>
      <c r="F449" s="52">
        <f>F450</f>
        <v>107.5</v>
      </c>
      <c r="G449" s="52">
        <f>G450</f>
        <v>7.5</v>
      </c>
      <c r="H449" s="315">
        <f t="shared" si="111"/>
        <v>-100</v>
      </c>
      <c r="I449" s="52">
        <f>I450</f>
        <v>200</v>
      </c>
      <c r="J449" s="52">
        <f>J450</f>
        <v>7.5</v>
      </c>
      <c r="K449" s="315">
        <f t="shared" si="102"/>
        <v>0</v>
      </c>
      <c r="L449" s="52">
        <f>L450</f>
        <v>100</v>
      </c>
      <c r="M449" s="320">
        <f t="shared" si="112"/>
        <v>-100</v>
      </c>
      <c r="N449" s="65">
        <f>N450</f>
        <v>100</v>
      </c>
      <c r="O449" s="52">
        <f>O450</f>
        <v>0</v>
      </c>
      <c r="P449" s="315">
        <f t="shared" si="110"/>
        <v>-100</v>
      </c>
      <c r="Q449" s="39"/>
      <c r="R449" s="40"/>
      <c r="S449" s="40"/>
      <c r="T449" s="245"/>
      <c r="U449" s="245"/>
      <c r="V449" s="245"/>
      <c r="W449" s="245"/>
      <c r="X449" s="245"/>
      <c r="Y449" s="245"/>
      <c r="Z449" s="245"/>
      <c r="AA449" s="245"/>
      <c r="AB449" s="245"/>
      <c r="AC449" s="245"/>
      <c r="AD449" s="245"/>
      <c r="AE449" s="245"/>
      <c r="AF449" s="245"/>
      <c r="AG449" s="245"/>
      <c r="AH449" s="245"/>
      <c r="AI449" s="245"/>
      <c r="AJ449" s="245"/>
      <c r="AK449" s="245"/>
      <c r="AL449" s="245"/>
      <c r="AM449" s="245"/>
      <c r="AN449" s="245"/>
      <c r="AO449" s="245"/>
      <c r="AP449" s="245"/>
      <c r="AQ449" s="245"/>
      <c r="AR449" s="245"/>
    </row>
    <row r="450" spans="1:44" s="265" customFormat="1" x14ac:dyDescent="0.2">
      <c r="A450" s="84" t="s">
        <v>441</v>
      </c>
      <c r="B450" s="54" t="s">
        <v>440</v>
      </c>
      <c r="C450" s="60"/>
      <c r="D450" s="60"/>
      <c r="E450" s="60"/>
      <c r="F450" s="52">
        <f>F451+F453</f>
        <v>107.5</v>
      </c>
      <c r="G450" s="52">
        <f>G451+G453</f>
        <v>7.5</v>
      </c>
      <c r="H450" s="315">
        <f t="shared" si="111"/>
        <v>-100</v>
      </c>
      <c r="I450" s="52">
        <f>I451+I453</f>
        <v>200</v>
      </c>
      <c r="J450" s="52">
        <f>J451+J453</f>
        <v>7.5</v>
      </c>
      <c r="K450" s="315">
        <f t="shared" si="102"/>
        <v>0</v>
      </c>
      <c r="L450" s="52">
        <f>L451+L453</f>
        <v>100</v>
      </c>
      <c r="M450" s="320">
        <f t="shared" si="112"/>
        <v>-100</v>
      </c>
      <c r="N450" s="65">
        <f>N451+N453</f>
        <v>100</v>
      </c>
      <c r="O450" s="52">
        <f>O451+O453</f>
        <v>0</v>
      </c>
      <c r="P450" s="315">
        <f t="shared" si="110"/>
        <v>-100</v>
      </c>
      <c r="Q450" s="39"/>
      <c r="R450" s="40"/>
      <c r="S450" s="40"/>
      <c r="T450" s="245"/>
      <c r="U450" s="245"/>
      <c r="V450" s="245"/>
      <c r="W450" s="245"/>
      <c r="X450" s="245"/>
      <c r="Y450" s="245"/>
      <c r="Z450" s="245"/>
      <c r="AA450" s="245"/>
      <c r="AB450" s="245"/>
      <c r="AC450" s="245"/>
      <c r="AD450" s="245"/>
      <c r="AE450" s="245"/>
      <c r="AF450" s="245"/>
      <c r="AG450" s="245"/>
      <c r="AH450" s="245"/>
      <c r="AI450" s="245"/>
      <c r="AJ450" s="245"/>
      <c r="AK450" s="245"/>
      <c r="AL450" s="245"/>
      <c r="AM450" s="245"/>
      <c r="AN450" s="245"/>
      <c r="AO450" s="245"/>
      <c r="AP450" s="245"/>
      <c r="AQ450" s="245"/>
      <c r="AR450" s="245"/>
    </row>
    <row r="451" spans="1:44" s="265" customFormat="1" x14ac:dyDescent="0.2">
      <c r="A451" s="84" t="s">
        <v>439</v>
      </c>
      <c r="B451" s="54" t="s">
        <v>438</v>
      </c>
      <c r="C451" s="60" t="s">
        <v>108</v>
      </c>
      <c r="D451" s="60" t="s">
        <v>412</v>
      </c>
      <c r="E451" s="60"/>
      <c r="F451" s="52">
        <f>F452</f>
        <v>7.5</v>
      </c>
      <c r="G451" s="52">
        <f>G452</f>
        <v>7.5</v>
      </c>
      <c r="H451" s="315">
        <f t="shared" si="111"/>
        <v>0</v>
      </c>
      <c r="I451" s="52">
        <f>I452</f>
        <v>100</v>
      </c>
      <c r="J451" s="52">
        <f>J452</f>
        <v>7.5</v>
      </c>
      <c r="K451" s="315">
        <f t="shared" si="102"/>
        <v>0</v>
      </c>
      <c r="L451" s="52">
        <f>L452</f>
        <v>100</v>
      </c>
      <c r="M451" s="320">
        <f t="shared" si="112"/>
        <v>0</v>
      </c>
      <c r="N451" s="65">
        <f>N452</f>
        <v>0</v>
      </c>
      <c r="O451" s="52">
        <f>O452</f>
        <v>0</v>
      </c>
      <c r="P451" s="315">
        <f t="shared" si="110"/>
        <v>0</v>
      </c>
      <c r="Q451" s="39"/>
      <c r="R451" s="40"/>
      <c r="S451" s="40"/>
      <c r="T451" s="245"/>
      <c r="U451" s="245"/>
      <c r="V451" s="245"/>
      <c r="W451" s="245"/>
      <c r="X451" s="245"/>
      <c r="Y451" s="245"/>
      <c r="Z451" s="245"/>
      <c r="AA451" s="245"/>
      <c r="AB451" s="245"/>
      <c r="AC451" s="245"/>
      <c r="AD451" s="245"/>
      <c r="AE451" s="245"/>
      <c r="AF451" s="245"/>
      <c r="AG451" s="245"/>
      <c r="AH451" s="245"/>
      <c r="AI451" s="245"/>
      <c r="AJ451" s="245"/>
      <c r="AK451" s="245"/>
      <c r="AL451" s="245"/>
      <c r="AM451" s="245"/>
      <c r="AN451" s="245"/>
      <c r="AO451" s="245"/>
      <c r="AP451" s="245"/>
      <c r="AQ451" s="245"/>
      <c r="AR451" s="245"/>
    </row>
    <row r="452" spans="1:44" s="265" customFormat="1" ht="25.5" x14ac:dyDescent="0.2">
      <c r="A452" s="84" t="s">
        <v>73</v>
      </c>
      <c r="B452" s="54" t="s">
        <v>438</v>
      </c>
      <c r="C452" s="60" t="s">
        <v>108</v>
      </c>
      <c r="D452" s="60" t="s">
        <v>412</v>
      </c>
      <c r="E452" s="60" t="s">
        <v>70</v>
      </c>
      <c r="F452" s="52">
        <v>7.5</v>
      </c>
      <c r="G452" s="52">
        <v>7.5</v>
      </c>
      <c r="H452" s="315">
        <f t="shared" si="111"/>
        <v>0</v>
      </c>
      <c r="I452" s="52">
        <v>100</v>
      </c>
      <c r="J452" s="52">
        <v>7.5</v>
      </c>
      <c r="K452" s="315">
        <f t="shared" si="102"/>
        <v>0</v>
      </c>
      <c r="L452" s="52">
        <v>100</v>
      </c>
      <c r="M452" s="320">
        <f t="shared" si="112"/>
        <v>0</v>
      </c>
      <c r="N452" s="65">
        <v>0</v>
      </c>
      <c r="O452" s="52">
        <v>0</v>
      </c>
      <c r="P452" s="315">
        <f t="shared" si="110"/>
        <v>0</v>
      </c>
      <c r="Q452" s="39"/>
      <c r="R452" s="40"/>
      <c r="S452" s="40"/>
      <c r="T452" s="245"/>
      <c r="U452" s="245"/>
      <c r="V452" s="245"/>
      <c r="W452" s="245"/>
      <c r="X452" s="245"/>
      <c r="Y452" s="245"/>
      <c r="Z452" s="245"/>
      <c r="AA452" s="245"/>
      <c r="AB452" s="245"/>
      <c r="AC452" s="245"/>
      <c r="AD452" s="245"/>
      <c r="AE452" s="245"/>
      <c r="AF452" s="245"/>
      <c r="AG452" s="245"/>
      <c r="AH452" s="245"/>
      <c r="AI452" s="245"/>
      <c r="AJ452" s="245"/>
      <c r="AK452" s="245"/>
      <c r="AL452" s="245"/>
      <c r="AM452" s="245"/>
      <c r="AN452" s="245"/>
      <c r="AO452" s="245"/>
      <c r="AP452" s="245"/>
      <c r="AQ452" s="245"/>
      <c r="AR452" s="245"/>
    </row>
    <row r="453" spans="1:44" s="265" customFormat="1" ht="25.5" hidden="1" x14ac:dyDescent="0.2">
      <c r="A453" s="84" t="s">
        <v>431</v>
      </c>
      <c r="B453" s="54" t="s">
        <v>437</v>
      </c>
      <c r="C453" s="60" t="s">
        <v>108</v>
      </c>
      <c r="D453" s="60" t="s">
        <v>412</v>
      </c>
      <c r="E453" s="60"/>
      <c r="F453" s="52">
        <f>F454</f>
        <v>100</v>
      </c>
      <c r="G453" s="52">
        <f>G454</f>
        <v>0</v>
      </c>
      <c r="H453" s="315">
        <f t="shared" si="111"/>
        <v>-100</v>
      </c>
      <c r="I453" s="52">
        <f>I454</f>
        <v>100</v>
      </c>
      <c r="J453" s="52">
        <f>J454</f>
        <v>0</v>
      </c>
      <c r="K453" s="315">
        <f t="shared" si="102"/>
        <v>0</v>
      </c>
      <c r="L453" s="52">
        <f>L454</f>
        <v>0</v>
      </c>
      <c r="M453" s="320">
        <f t="shared" si="112"/>
        <v>-100</v>
      </c>
      <c r="N453" s="65">
        <f>N454</f>
        <v>100</v>
      </c>
      <c r="O453" s="52">
        <f>O454</f>
        <v>0</v>
      </c>
      <c r="P453" s="315">
        <f t="shared" si="110"/>
        <v>-100</v>
      </c>
      <c r="Q453" s="39"/>
      <c r="R453" s="40"/>
      <c r="S453" s="40"/>
      <c r="T453" s="245"/>
      <c r="U453" s="245"/>
      <c r="V453" s="245"/>
      <c r="W453" s="245"/>
      <c r="X453" s="245"/>
      <c r="Y453" s="245"/>
      <c r="Z453" s="245"/>
      <c r="AA453" s="245"/>
      <c r="AB453" s="245"/>
      <c r="AC453" s="245"/>
      <c r="AD453" s="245"/>
      <c r="AE453" s="245"/>
      <c r="AF453" s="245"/>
      <c r="AG453" s="245"/>
      <c r="AH453" s="245"/>
      <c r="AI453" s="245"/>
      <c r="AJ453" s="245"/>
      <c r="AK453" s="245"/>
      <c r="AL453" s="245"/>
      <c r="AM453" s="245"/>
      <c r="AN453" s="245"/>
      <c r="AO453" s="245"/>
      <c r="AP453" s="245"/>
      <c r="AQ453" s="245"/>
      <c r="AR453" s="245"/>
    </row>
    <row r="454" spans="1:44" s="265" customFormat="1" ht="25.5" hidden="1" x14ac:dyDescent="0.2">
      <c r="A454" s="84" t="s">
        <v>73</v>
      </c>
      <c r="B454" s="54" t="s">
        <v>437</v>
      </c>
      <c r="C454" s="60" t="s">
        <v>108</v>
      </c>
      <c r="D454" s="60" t="s">
        <v>412</v>
      </c>
      <c r="E454" s="60" t="s">
        <v>70</v>
      </c>
      <c r="F454" s="52">
        <v>100</v>
      </c>
      <c r="G454" s="52">
        <f>100-100</f>
        <v>0</v>
      </c>
      <c r="H454" s="315">
        <f t="shared" si="111"/>
        <v>-100</v>
      </c>
      <c r="I454" s="52">
        <v>100</v>
      </c>
      <c r="J454" s="52">
        <f>100-100</f>
        <v>0</v>
      </c>
      <c r="K454" s="315">
        <f t="shared" si="102"/>
        <v>0</v>
      </c>
      <c r="L454" s="52">
        <f>100-100</f>
        <v>0</v>
      </c>
      <c r="M454" s="320">
        <f t="shared" si="112"/>
        <v>-100</v>
      </c>
      <c r="N454" s="65">
        <v>100</v>
      </c>
      <c r="O454" s="52">
        <f>100-100</f>
        <v>0</v>
      </c>
      <c r="P454" s="315">
        <f t="shared" si="110"/>
        <v>-100</v>
      </c>
      <c r="Q454" s="39"/>
      <c r="R454" s="40"/>
      <c r="S454" s="40"/>
      <c r="T454" s="245"/>
      <c r="U454" s="245"/>
      <c r="V454" s="245"/>
      <c r="W454" s="245"/>
      <c r="X454" s="245"/>
      <c r="Y454" s="245"/>
      <c r="Z454" s="245"/>
      <c r="AA454" s="245"/>
      <c r="AB454" s="245"/>
      <c r="AC454" s="245"/>
      <c r="AD454" s="245"/>
      <c r="AE454" s="245"/>
      <c r="AF454" s="245"/>
      <c r="AG454" s="245"/>
      <c r="AH454" s="245"/>
      <c r="AI454" s="245"/>
      <c r="AJ454" s="245"/>
      <c r="AK454" s="245"/>
      <c r="AL454" s="245"/>
      <c r="AM454" s="245"/>
      <c r="AN454" s="245"/>
      <c r="AO454" s="245"/>
      <c r="AP454" s="245"/>
      <c r="AQ454" s="245"/>
      <c r="AR454" s="245"/>
    </row>
    <row r="455" spans="1:44" s="265" customFormat="1" x14ac:dyDescent="0.2">
      <c r="A455" s="84" t="s">
        <v>52</v>
      </c>
      <c r="B455" s="54" t="s">
        <v>436</v>
      </c>
      <c r="C455" s="60"/>
      <c r="D455" s="60"/>
      <c r="E455" s="60"/>
      <c r="F455" s="52">
        <f>F456</f>
        <v>1080.3</v>
      </c>
      <c r="G455" s="52">
        <f>G456</f>
        <v>1180.3</v>
      </c>
      <c r="H455" s="315">
        <f t="shared" si="111"/>
        <v>100</v>
      </c>
      <c r="I455" s="52">
        <f>I456</f>
        <v>816.00000000000023</v>
      </c>
      <c r="J455" s="52">
        <f>J456</f>
        <v>1180.3</v>
      </c>
      <c r="K455" s="315">
        <f t="shared" si="102"/>
        <v>0</v>
      </c>
      <c r="L455" s="52">
        <f>L456</f>
        <v>916.00000000000023</v>
      </c>
      <c r="M455" s="320">
        <f t="shared" si="112"/>
        <v>100</v>
      </c>
      <c r="N455" s="65">
        <f>N456</f>
        <v>816.00000000000023</v>
      </c>
      <c r="O455" s="52">
        <f>O456</f>
        <v>916.00000000000023</v>
      </c>
      <c r="P455" s="315">
        <f t="shared" si="110"/>
        <v>100</v>
      </c>
      <c r="Q455" s="39"/>
      <c r="R455" s="40"/>
      <c r="S455" s="40"/>
      <c r="T455" s="245"/>
      <c r="U455" s="245"/>
      <c r="V455" s="245"/>
      <c r="W455" s="245"/>
      <c r="X455" s="245"/>
      <c r="Y455" s="245"/>
      <c r="Z455" s="245"/>
      <c r="AA455" s="245"/>
      <c r="AB455" s="245"/>
      <c r="AC455" s="245"/>
      <c r="AD455" s="245"/>
      <c r="AE455" s="245"/>
      <c r="AF455" s="245"/>
      <c r="AG455" s="245"/>
      <c r="AH455" s="245"/>
      <c r="AI455" s="245"/>
      <c r="AJ455" s="245"/>
      <c r="AK455" s="245"/>
      <c r="AL455" s="245"/>
      <c r="AM455" s="245"/>
      <c r="AN455" s="245"/>
      <c r="AO455" s="245"/>
      <c r="AP455" s="245"/>
      <c r="AQ455" s="245"/>
      <c r="AR455" s="245"/>
    </row>
    <row r="456" spans="1:44" s="265" customFormat="1" ht="25.5" x14ac:dyDescent="0.2">
      <c r="A456" s="84" t="s">
        <v>435</v>
      </c>
      <c r="B456" s="54" t="s">
        <v>434</v>
      </c>
      <c r="C456" s="60"/>
      <c r="D456" s="60"/>
      <c r="E456" s="60"/>
      <c r="F456" s="52">
        <f>F457+F459+F461+F463</f>
        <v>1080.3</v>
      </c>
      <c r="G456" s="52">
        <f>G457+G459+G461+G463</f>
        <v>1180.3</v>
      </c>
      <c r="H456" s="315">
        <f t="shared" si="111"/>
        <v>100</v>
      </c>
      <c r="I456" s="52">
        <f>I457+I459+I461+I463</f>
        <v>816.00000000000023</v>
      </c>
      <c r="J456" s="52">
        <f>J457+J459+J461+J463</f>
        <v>1180.3</v>
      </c>
      <c r="K456" s="315">
        <f t="shared" si="102"/>
        <v>0</v>
      </c>
      <c r="L456" s="52">
        <f>L457+L459+L461+L463</f>
        <v>916.00000000000023</v>
      </c>
      <c r="M456" s="320">
        <f t="shared" si="112"/>
        <v>100</v>
      </c>
      <c r="N456" s="65">
        <f>N457+N459+N461+N463</f>
        <v>816.00000000000023</v>
      </c>
      <c r="O456" s="52">
        <f>O457+O459+O461+O463</f>
        <v>916.00000000000023</v>
      </c>
      <c r="P456" s="315">
        <f t="shared" si="110"/>
        <v>100</v>
      </c>
      <c r="Q456" s="39"/>
      <c r="R456" s="40"/>
      <c r="S456" s="40"/>
      <c r="T456" s="245"/>
      <c r="U456" s="245"/>
      <c r="V456" s="245"/>
      <c r="W456" s="245"/>
      <c r="X456" s="245"/>
      <c r="Y456" s="245"/>
      <c r="Z456" s="245"/>
      <c r="AA456" s="245"/>
      <c r="AB456" s="245"/>
      <c r="AC456" s="245"/>
      <c r="AD456" s="245"/>
      <c r="AE456" s="245"/>
      <c r="AF456" s="245"/>
      <c r="AG456" s="245"/>
      <c r="AH456" s="245"/>
      <c r="AI456" s="245"/>
      <c r="AJ456" s="245"/>
      <c r="AK456" s="245"/>
      <c r="AL456" s="245"/>
      <c r="AM456" s="245"/>
      <c r="AN456" s="245"/>
      <c r="AO456" s="245"/>
      <c r="AP456" s="245"/>
      <c r="AQ456" s="245"/>
      <c r="AR456" s="245"/>
    </row>
    <row r="457" spans="1:44" x14ac:dyDescent="0.2">
      <c r="A457" s="84" t="s">
        <v>433</v>
      </c>
      <c r="B457" s="54" t="s">
        <v>432</v>
      </c>
      <c r="C457" s="60" t="s">
        <v>108</v>
      </c>
      <c r="D457" s="60" t="s">
        <v>412</v>
      </c>
      <c r="E457" s="60"/>
      <c r="F457" s="52">
        <f>F458</f>
        <v>50</v>
      </c>
      <c r="G457" s="52">
        <f>G458</f>
        <v>50</v>
      </c>
      <c r="H457" s="315">
        <f t="shared" si="111"/>
        <v>0</v>
      </c>
      <c r="I457" s="52">
        <f>I458</f>
        <v>50</v>
      </c>
      <c r="J457" s="52">
        <f>J458</f>
        <v>50</v>
      </c>
      <c r="K457" s="315">
        <f t="shared" si="102"/>
        <v>0</v>
      </c>
      <c r="L457" s="52">
        <f>L458</f>
        <v>50</v>
      </c>
      <c r="M457" s="320">
        <f t="shared" si="112"/>
        <v>0</v>
      </c>
      <c r="N457" s="65">
        <f>N458</f>
        <v>50</v>
      </c>
      <c r="O457" s="52">
        <f>O458</f>
        <v>50</v>
      </c>
      <c r="P457" s="315">
        <f t="shared" si="110"/>
        <v>0</v>
      </c>
    </row>
    <row r="458" spans="1:44" ht="25.5" x14ac:dyDescent="0.2">
      <c r="A458" s="84" t="s">
        <v>73</v>
      </c>
      <c r="B458" s="54" t="s">
        <v>432</v>
      </c>
      <c r="C458" s="60" t="s">
        <v>108</v>
      </c>
      <c r="D458" s="60" t="s">
        <v>412</v>
      </c>
      <c r="E458" s="60" t="s">
        <v>70</v>
      </c>
      <c r="F458" s="52">
        <v>50</v>
      </c>
      <c r="G458" s="52">
        <v>50</v>
      </c>
      <c r="H458" s="315">
        <f t="shared" si="111"/>
        <v>0</v>
      </c>
      <c r="I458" s="52">
        <v>50</v>
      </c>
      <c r="J458" s="52">
        <v>50</v>
      </c>
      <c r="K458" s="315">
        <f t="shared" si="102"/>
        <v>0</v>
      </c>
      <c r="L458" s="52">
        <v>50</v>
      </c>
      <c r="M458" s="320">
        <f t="shared" si="112"/>
        <v>0</v>
      </c>
      <c r="N458" s="65">
        <v>50</v>
      </c>
      <c r="O458" s="52">
        <v>50</v>
      </c>
      <c r="P458" s="315">
        <f t="shared" si="110"/>
        <v>0</v>
      </c>
    </row>
    <row r="459" spans="1:44" ht="25.5" x14ac:dyDescent="0.2">
      <c r="A459" s="84" t="s">
        <v>431</v>
      </c>
      <c r="B459" s="54" t="s">
        <v>430</v>
      </c>
      <c r="C459" s="60" t="s">
        <v>108</v>
      </c>
      <c r="D459" s="60" t="s">
        <v>412</v>
      </c>
      <c r="E459" s="60"/>
      <c r="F459" s="52">
        <f>F460</f>
        <v>0</v>
      </c>
      <c r="G459" s="52">
        <f>G460</f>
        <v>100</v>
      </c>
      <c r="H459" s="315">
        <f t="shared" si="111"/>
        <v>100</v>
      </c>
      <c r="I459" s="52">
        <f>I460</f>
        <v>0</v>
      </c>
      <c r="J459" s="52">
        <f>J460</f>
        <v>100</v>
      </c>
      <c r="K459" s="315">
        <f t="shared" si="102"/>
        <v>0</v>
      </c>
      <c r="L459" s="52">
        <f>L460</f>
        <v>100</v>
      </c>
      <c r="M459" s="320">
        <f t="shared" si="112"/>
        <v>100</v>
      </c>
      <c r="N459" s="65">
        <f>N460</f>
        <v>0</v>
      </c>
      <c r="O459" s="52">
        <f>O460</f>
        <v>100</v>
      </c>
      <c r="P459" s="315">
        <f t="shared" si="110"/>
        <v>100</v>
      </c>
    </row>
    <row r="460" spans="1:44" ht="25.5" x14ac:dyDescent="0.2">
      <c r="A460" s="84" t="s">
        <v>73</v>
      </c>
      <c r="B460" s="54" t="s">
        <v>430</v>
      </c>
      <c r="C460" s="60" t="s">
        <v>108</v>
      </c>
      <c r="D460" s="60" t="s">
        <v>412</v>
      </c>
      <c r="E460" s="60" t="s">
        <v>70</v>
      </c>
      <c r="F460" s="52">
        <v>0</v>
      </c>
      <c r="G460" s="52">
        <v>100</v>
      </c>
      <c r="H460" s="315">
        <f t="shared" si="111"/>
        <v>100</v>
      </c>
      <c r="I460" s="52">
        <v>0</v>
      </c>
      <c r="J460" s="52">
        <v>100</v>
      </c>
      <c r="K460" s="315">
        <f t="shared" si="102"/>
        <v>0</v>
      </c>
      <c r="L460" s="52">
        <v>100</v>
      </c>
      <c r="M460" s="320">
        <f t="shared" si="112"/>
        <v>100</v>
      </c>
      <c r="N460" s="65">
        <v>0</v>
      </c>
      <c r="O460" s="52">
        <v>100</v>
      </c>
      <c r="P460" s="315">
        <f t="shared" si="110"/>
        <v>100</v>
      </c>
    </row>
    <row r="461" spans="1:44" s="31" customFormat="1" ht="25.5" x14ac:dyDescent="0.2">
      <c r="A461" s="84" t="s">
        <v>429</v>
      </c>
      <c r="B461" s="54" t="s">
        <v>428</v>
      </c>
      <c r="C461" s="60" t="s">
        <v>108</v>
      </c>
      <c r="D461" s="60" t="s">
        <v>412</v>
      </c>
      <c r="E461" s="94"/>
      <c r="F461" s="52">
        <f>F462</f>
        <v>400.5</v>
      </c>
      <c r="G461" s="52">
        <f>G462</f>
        <v>400.5</v>
      </c>
      <c r="H461" s="315">
        <f t="shared" si="111"/>
        <v>0</v>
      </c>
      <c r="I461" s="52">
        <f>I462</f>
        <v>470.30000000000013</v>
      </c>
      <c r="J461" s="52">
        <f>J462</f>
        <v>400.5</v>
      </c>
      <c r="K461" s="315">
        <f t="shared" si="102"/>
        <v>0</v>
      </c>
      <c r="L461" s="52">
        <f>L462</f>
        <v>470.30000000000013</v>
      </c>
      <c r="M461" s="320">
        <f t="shared" si="112"/>
        <v>0</v>
      </c>
      <c r="N461" s="65">
        <f>N462</f>
        <v>470.30000000000013</v>
      </c>
      <c r="O461" s="52">
        <f>O462</f>
        <v>470.30000000000013</v>
      </c>
      <c r="P461" s="315">
        <f t="shared" si="110"/>
        <v>0</v>
      </c>
      <c r="Q461" s="39"/>
      <c r="R461" s="40"/>
      <c r="S461" s="40"/>
      <c r="T461" s="214"/>
      <c r="U461" s="214"/>
      <c r="V461" s="231"/>
      <c r="W461" s="231"/>
      <c r="X461" s="231"/>
      <c r="Y461" s="231"/>
      <c r="Z461" s="231"/>
      <c r="AA461" s="231"/>
      <c r="AB461" s="231"/>
      <c r="AC461" s="231"/>
      <c r="AD461" s="231"/>
      <c r="AE461" s="231"/>
      <c r="AF461" s="231"/>
      <c r="AG461" s="231"/>
      <c r="AH461" s="231"/>
      <c r="AI461" s="231"/>
      <c r="AJ461" s="231"/>
      <c r="AK461" s="231"/>
      <c r="AL461" s="231"/>
      <c r="AM461" s="231"/>
      <c r="AN461" s="231"/>
      <c r="AO461" s="231"/>
      <c r="AP461" s="231"/>
      <c r="AQ461" s="231"/>
      <c r="AR461" s="231"/>
    </row>
    <row r="462" spans="1:44" s="31" customFormat="1" ht="38.25" x14ac:dyDescent="0.2">
      <c r="A462" s="137" t="s">
        <v>426</v>
      </c>
      <c r="B462" s="54" t="s">
        <v>428</v>
      </c>
      <c r="C462" s="60" t="s">
        <v>108</v>
      </c>
      <c r="D462" s="60" t="s">
        <v>412</v>
      </c>
      <c r="E462" s="60" t="s">
        <v>424</v>
      </c>
      <c r="F462" s="52">
        <f>380.5+20</f>
        <v>400.5</v>
      </c>
      <c r="G462" s="52">
        <f>380.5+20</f>
        <v>400.5</v>
      </c>
      <c r="H462" s="315">
        <f t="shared" si="111"/>
        <v>0</v>
      </c>
      <c r="I462" s="52">
        <f>1048.9+55.2-602.1-31.7</f>
        <v>470.30000000000013</v>
      </c>
      <c r="J462" s="52">
        <f>380.5+20</f>
        <v>400.5</v>
      </c>
      <c r="K462" s="315">
        <f t="shared" si="102"/>
        <v>0</v>
      </c>
      <c r="L462" s="52">
        <f>1048.9+55.2-602.1-31.7</f>
        <v>470.30000000000013</v>
      </c>
      <c r="M462" s="320">
        <f t="shared" si="112"/>
        <v>0</v>
      </c>
      <c r="N462" s="65">
        <f>1048.9+55.2-602.1-31.7</f>
        <v>470.30000000000013</v>
      </c>
      <c r="O462" s="52">
        <f>1048.9+55.2-602.1-31.7</f>
        <v>470.30000000000013</v>
      </c>
      <c r="P462" s="315">
        <f t="shared" si="110"/>
        <v>0</v>
      </c>
      <c r="Q462" s="32"/>
      <c r="R462" s="40"/>
      <c r="S462" s="40"/>
      <c r="T462" s="214"/>
      <c r="U462" s="214"/>
      <c r="V462" s="231"/>
      <c r="W462" s="231"/>
      <c r="X462" s="231"/>
      <c r="Y462" s="231"/>
      <c r="Z462" s="231"/>
      <c r="AA462" s="231"/>
      <c r="AB462" s="231"/>
      <c r="AC462" s="231"/>
      <c r="AD462" s="231"/>
      <c r="AE462" s="231"/>
      <c r="AF462" s="231"/>
      <c r="AG462" s="231"/>
      <c r="AH462" s="231"/>
      <c r="AI462" s="231"/>
      <c r="AJ462" s="231"/>
      <c r="AK462" s="231"/>
      <c r="AL462" s="231"/>
      <c r="AM462" s="231"/>
      <c r="AN462" s="231"/>
      <c r="AO462" s="231"/>
      <c r="AP462" s="231"/>
      <c r="AQ462" s="231"/>
      <c r="AR462" s="231"/>
    </row>
    <row r="463" spans="1:44" s="31" customFormat="1" ht="25.5" x14ac:dyDescent="0.2">
      <c r="A463" s="137" t="s">
        <v>427</v>
      </c>
      <c r="B463" s="54" t="s">
        <v>425</v>
      </c>
      <c r="C463" s="60" t="s">
        <v>108</v>
      </c>
      <c r="D463" s="60" t="s">
        <v>412</v>
      </c>
      <c r="E463" s="94"/>
      <c r="F463" s="52">
        <f>F464</f>
        <v>629.79999999999995</v>
      </c>
      <c r="G463" s="52">
        <f>G464</f>
        <v>629.79999999999995</v>
      </c>
      <c r="H463" s="315">
        <f t="shared" si="111"/>
        <v>0</v>
      </c>
      <c r="I463" s="52">
        <f>I464</f>
        <v>295.7</v>
      </c>
      <c r="J463" s="52">
        <f>J464</f>
        <v>629.79999999999995</v>
      </c>
      <c r="K463" s="315">
        <f t="shared" si="102"/>
        <v>0</v>
      </c>
      <c r="L463" s="52">
        <f>L464</f>
        <v>295.7</v>
      </c>
      <c r="M463" s="320">
        <f t="shared" si="112"/>
        <v>0</v>
      </c>
      <c r="N463" s="65">
        <f>N464</f>
        <v>295.7</v>
      </c>
      <c r="O463" s="52">
        <f>O464</f>
        <v>295.7</v>
      </c>
      <c r="P463" s="315">
        <f t="shared" si="110"/>
        <v>0</v>
      </c>
      <c r="Q463" s="39"/>
      <c r="R463" s="40"/>
      <c r="S463" s="40"/>
      <c r="T463" s="214"/>
      <c r="U463" s="214"/>
      <c r="V463" s="231"/>
      <c r="W463" s="231"/>
      <c r="X463" s="231"/>
      <c r="Y463" s="231"/>
      <c r="Z463" s="231"/>
      <c r="AA463" s="231"/>
      <c r="AB463" s="231"/>
      <c r="AC463" s="231"/>
      <c r="AD463" s="231"/>
      <c r="AE463" s="231"/>
      <c r="AF463" s="231"/>
      <c r="AG463" s="231"/>
      <c r="AH463" s="231"/>
      <c r="AI463" s="231"/>
      <c r="AJ463" s="231"/>
      <c r="AK463" s="231"/>
      <c r="AL463" s="231"/>
      <c r="AM463" s="231"/>
      <c r="AN463" s="231"/>
      <c r="AO463" s="231"/>
      <c r="AP463" s="231"/>
      <c r="AQ463" s="231"/>
      <c r="AR463" s="231"/>
    </row>
    <row r="464" spans="1:44" s="31" customFormat="1" ht="38.25" x14ac:dyDescent="0.2">
      <c r="A464" s="137" t="s">
        <v>426</v>
      </c>
      <c r="B464" s="54" t="s">
        <v>425</v>
      </c>
      <c r="C464" s="60" t="s">
        <v>108</v>
      </c>
      <c r="D464" s="60" t="s">
        <v>412</v>
      </c>
      <c r="E464" s="60" t="s">
        <v>424</v>
      </c>
      <c r="F464" s="52">
        <f>598.3+31.5</f>
        <v>629.79999999999995</v>
      </c>
      <c r="G464" s="52">
        <f>598.3+31.5</f>
        <v>629.79999999999995</v>
      </c>
      <c r="H464" s="315">
        <f t="shared" si="111"/>
        <v>0</v>
      </c>
      <c r="I464" s="52">
        <f>280.9+14.8</f>
        <v>295.7</v>
      </c>
      <c r="J464" s="52">
        <f>598.3+31.5</f>
        <v>629.79999999999995</v>
      </c>
      <c r="K464" s="315">
        <f t="shared" si="102"/>
        <v>0</v>
      </c>
      <c r="L464" s="52">
        <f>280.9+14.8</f>
        <v>295.7</v>
      </c>
      <c r="M464" s="320">
        <f t="shared" si="112"/>
        <v>0</v>
      </c>
      <c r="N464" s="65">
        <f>280.9+14.8</f>
        <v>295.7</v>
      </c>
      <c r="O464" s="52">
        <f>280.9+14.8</f>
        <v>295.7</v>
      </c>
      <c r="P464" s="315">
        <f t="shared" si="110"/>
        <v>0</v>
      </c>
      <c r="Q464" s="39"/>
      <c r="R464" s="40"/>
      <c r="S464" s="40"/>
      <c r="T464" s="214"/>
      <c r="U464" s="214"/>
      <c r="V464" s="231"/>
      <c r="W464" s="231"/>
      <c r="X464" s="231"/>
      <c r="Y464" s="231"/>
      <c r="Z464" s="231"/>
      <c r="AA464" s="231"/>
      <c r="AB464" s="231"/>
      <c r="AC464" s="231"/>
      <c r="AD464" s="231"/>
      <c r="AE464" s="231"/>
      <c r="AF464" s="231"/>
      <c r="AG464" s="231"/>
      <c r="AH464" s="231"/>
      <c r="AI464" s="231"/>
      <c r="AJ464" s="231"/>
      <c r="AK464" s="231"/>
      <c r="AL464" s="231"/>
      <c r="AM464" s="231"/>
      <c r="AN464" s="231"/>
      <c r="AO464" s="231"/>
      <c r="AP464" s="231"/>
      <c r="AQ464" s="231"/>
      <c r="AR464" s="231"/>
    </row>
    <row r="465" spans="1:44" s="31" customFormat="1" ht="25.5" x14ac:dyDescent="0.2">
      <c r="A465" s="232" t="s">
        <v>723</v>
      </c>
      <c r="B465" s="266" t="s">
        <v>53</v>
      </c>
      <c r="C465" s="267"/>
      <c r="D465" s="267"/>
      <c r="E465" s="267"/>
      <c r="F465" s="268">
        <f>F466+F471</f>
        <v>26911.300000000003</v>
      </c>
      <c r="G465" s="268">
        <f>G466+G471</f>
        <v>30975.300000000003</v>
      </c>
      <c r="H465" s="315">
        <f t="shared" si="111"/>
        <v>4064</v>
      </c>
      <c r="I465" s="268">
        <f>I466+I471</f>
        <v>26065.300000000003</v>
      </c>
      <c r="J465" s="268">
        <f>J466+J471</f>
        <v>30975.300000000003</v>
      </c>
      <c r="K465" s="315">
        <f t="shared" si="102"/>
        <v>0</v>
      </c>
      <c r="L465" s="268">
        <f>L466+L471</f>
        <v>26065.300000000003</v>
      </c>
      <c r="M465" s="320">
        <f t="shared" si="112"/>
        <v>0</v>
      </c>
      <c r="N465" s="269">
        <f>N466+N471</f>
        <v>25984.800000000003</v>
      </c>
      <c r="O465" s="268">
        <f>O466+O471</f>
        <v>25984.800000000003</v>
      </c>
      <c r="P465" s="315">
        <f t="shared" si="110"/>
        <v>0</v>
      </c>
      <c r="Q465" s="39"/>
      <c r="R465" s="40"/>
      <c r="S465" s="40"/>
      <c r="T465" s="214"/>
      <c r="U465" s="214"/>
      <c r="V465" s="231"/>
      <c r="W465" s="231"/>
      <c r="X465" s="231"/>
      <c r="Y465" s="231"/>
      <c r="Z465" s="231"/>
      <c r="AA465" s="231"/>
      <c r="AB465" s="231"/>
      <c r="AC465" s="231"/>
      <c r="AD465" s="231"/>
      <c r="AE465" s="231"/>
      <c r="AF465" s="231"/>
      <c r="AG465" s="231"/>
      <c r="AH465" s="231"/>
      <c r="AI465" s="231"/>
      <c r="AJ465" s="231"/>
      <c r="AK465" s="231"/>
      <c r="AL465" s="231"/>
      <c r="AM465" s="231"/>
      <c r="AN465" s="231"/>
      <c r="AO465" s="231"/>
      <c r="AP465" s="231"/>
      <c r="AQ465" s="231"/>
      <c r="AR465" s="231"/>
    </row>
    <row r="466" spans="1:44" s="31" customFormat="1" x14ac:dyDescent="0.2">
      <c r="A466" s="126" t="s">
        <v>66</v>
      </c>
      <c r="B466" s="54" t="s">
        <v>724</v>
      </c>
      <c r="C466" s="60"/>
      <c r="D466" s="60"/>
      <c r="E466" s="60"/>
      <c r="F466" s="52">
        <f t="shared" ref="F466:O467" si="113">F467</f>
        <v>0</v>
      </c>
      <c r="G466" s="52">
        <f t="shared" si="113"/>
        <v>4064</v>
      </c>
      <c r="H466" s="315">
        <f t="shared" si="111"/>
        <v>4064</v>
      </c>
      <c r="I466" s="52">
        <f t="shared" si="113"/>
        <v>0</v>
      </c>
      <c r="J466" s="52">
        <f t="shared" si="113"/>
        <v>4064</v>
      </c>
      <c r="K466" s="315">
        <f t="shared" ref="K466:K529" si="114">J466-G466</f>
        <v>0</v>
      </c>
      <c r="L466" s="52">
        <f t="shared" si="113"/>
        <v>0</v>
      </c>
      <c r="M466" s="320">
        <f t="shared" si="112"/>
        <v>0</v>
      </c>
      <c r="N466" s="65">
        <f t="shared" si="113"/>
        <v>0</v>
      </c>
      <c r="O466" s="52">
        <f t="shared" si="113"/>
        <v>0</v>
      </c>
      <c r="P466" s="315">
        <f t="shared" si="110"/>
        <v>0</v>
      </c>
      <c r="Q466" s="39"/>
      <c r="R466" s="40"/>
      <c r="S466" s="40"/>
      <c r="T466" s="214"/>
      <c r="U466" s="214"/>
      <c r="V466" s="231"/>
      <c r="W466" s="231"/>
      <c r="X466" s="231"/>
      <c r="Y466" s="231"/>
      <c r="Z466" s="231"/>
      <c r="AA466" s="231"/>
      <c r="AB466" s="231"/>
      <c r="AC466" s="231"/>
      <c r="AD466" s="231"/>
      <c r="AE466" s="231"/>
      <c r="AF466" s="231"/>
      <c r="AG466" s="231"/>
      <c r="AH466" s="231"/>
      <c r="AI466" s="231"/>
      <c r="AJ466" s="231"/>
      <c r="AK466" s="231"/>
      <c r="AL466" s="231"/>
      <c r="AM466" s="231"/>
      <c r="AN466" s="231"/>
      <c r="AO466" s="231"/>
      <c r="AP466" s="231"/>
      <c r="AQ466" s="231"/>
      <c r="AR466" s="231"/>
    </row>
    <row r="467" spans="1:44" s="31" customFormat="1" ht="24" customHeight="1" x14ac:dyDescent="0.2">
      <c r="A467" s="56" t="s">
        <v>725</v>
      </c>
      <c r="B467" s="54" t="s">
        <v>726</v>
      </c>
      <c r="C467" s="60"/>
      <c r="D467" s="60"/>
      <c r="E467" s="60"/>
      <c r="F467" s="52">
        <f t="shared" si="113"/>
        <v>0</v>
      </c>
      <c r="G467" s="52">
        <f t="shared" si="113"/>
        <v>4064</v>
      </c>
      <c r="H467" s="315">
        <f t="shared" si="111"/>
        <v>4064</v>
      </c>
      <c r="I467" s="52">
        <f t="shared" si="113"/>
        <v>0</v>
      </c>
      <c r="J467" s="52">
        <f t="shared" si="113"/>
        <v>4064</v>
      </c>
      <c r="K467" s="315">
        <f t="shared" si="114"/>
        <v>0</v>
      </c>
      <c r="L467" s="52">
        <f t="shared" si="113"/>
        <v>0</v>
      </c>
      <c r="M467" s="320">
        <f t="shared" si="112"/>
        <v>0</v>
      </c>
      <c r="N467" s="65">
        <f t="shared" si="113"/>
        <v>0</v>
      </c>
      <c r="O467" s="52">
        <f t="shared" si="113"/>
        <v>0</v>
      </c>
      <c r="P467" s="315">
        <f t="shared" si="110"/>
        <v>0</v>
      </c>
      <c r="Q467" s="39"/>
      <c r="R467" s="40"/>
      <c r="S467" s="40"/>
      <c r="T467" s="214"/>
      <c r="U467" s="214"/>
      <c r="V467" s="231"/>
      <c r="W467" s="231"/>
      <c r="X467" s="231"/>
      <c r="Y467" s="231"/>
      <c r="Z467" s="231"/>
      <c r="AA467" s="231"/>
      <c r="AB467" s="231"/>
      <c r="AC467" s="231"/>
      <c r="AD467" s="231"/>
      <c r="AE467" s="231"/>
      <c r="AF467" s="231"/>
      <c r="AG467" s="231"/>
      <c r="AH467" s="231"/>
      <c r="AI467" s="231"/>
      <c r="AJ467" s="231"/>
      <c r="AK467" s="231"/>
      <c r="AL467" s="231"/>
      <c r="AM467" s="231"/>
      <c r="AN467" s="231"/>
      <c r="AO467" s="231"/>
      <c r="AP467" s="231"/>
      <c r="AQ467" s="231"/>
      <c r="AR467" s="231"/>
    </row>
    <row r="468" spans="1:44" s="31" customFormat="1" x14ac:dyDescent="0.2">
      <c r="A468" s="56" t="s">
        <v>727</v>
      </c>
      <c r="B468" s="54" t="s">
        <v>728</v>
      </c>
      <c r="C468" s="60"/>
      <c r="D468" s="60"/>
      <c r="E468" s="60"/>
      <c r="F468" s="52">
        <f>F469+F470</f>
        <v>0</v>
      </c>
      <c r="G468" s="52">
        <f t="shared" ref="G468:O468" si="115">G469+G470</f>
        <v>4064</v>
      </c>
      <c r="H468" s="315">
        <f t="shared" si="111"/>
        <v>4064</v>
      </c>
      <c r="I468" s="52">
        <f t="shared" si="115"/>
        <v>0</v>
      </c>
      <c r="J468" s="52">
        <f t="shared" si="115"/>
        <v>4064</v>
      </c>
      <c r="K468" s="315">
        <f t="shared" si="114"/>
        <v>0</v>
      </c>
      <c r="L468" s="52">
        <f t="shared" si="115"/>
        <v>0</v>
      </c>
      <c r="M468" s="320">
        <f t="shared" si="112"/>
        <v>0</v>
      </c>
      <c r="N468" s="52">
        <f t="shared" si="115"/>
        <v>0</v>
      </c>
      <c r="O468" s="52">
        <f t="shared" si="115"/>
        <v>0</v>
      </c>
      <c r="P468" s="315">
        <f t="shared" si="110"/>
        <v>0</v>
      </c>
      <c r="Q468" s="39"/>
      <c r="R468" s="40"/>
      <c r="S468" s="40"/>
      <c r="T468" s="214"/>
      <c r="U468" s="214"/>
      <c r="V468" s="231"/>
      <c r="W468" s="231"/>
      <c r="X468" s="231"/>
      <c r="Y468" s="231"/>
      <c r="Z468" s="231"/>
      <c r="AA468" s="231"/>
      <c r="AB468" s="231"/>
      <c r="AC468" s="231"/>
      <c r="AD468" s="231"/>
      <c r="AE468" s="231"/>
      <c r="AF468" s="231"/>
      <c r="AG468" s="231"/>
      <c r="AH468" s="231"/>
      <c r="AI468" s="231"/>
      <c r="AJ468" s="231"/>
      <c r="AK468" s="231"/>
      <c r="AL468" s="231"/>
      <c r="AM468" s="231"/>
      <c r="AN468" s="231"/>
      <c r="AO468" s="231"/>
      <c r="AP468" s="231"/>
      <c r="AQ468" s="231"/>
      <c r="AR468" s="231"/>
    </row>
    <row r="469" spans="1:44" s="31" customFormat="1" ht="25.5" x14ac:dyDescent="0.2">
      <c r="A469" s="56" t="s">
        <v>73</v>
      </c>
      <c r="B469" s="54" t="s">
        <v>728</v>
      </c>
      <c r="C469" s="60" t="s">
        <v>59</v>
      </c>
      <c r="D469" s="60" t="s">
        <v>111</v>
      </c>
      <c r="E469" s="60" t="s">
        <v>70</v>
      </c>
      <c r="F469" s="52">
        <v>0</v>
      </c>
      <c r="G469" s="52">
        <f>2800-2800+50+10+140</f>
        <v>200</v>
      </c>
      <c r="H469" s="315">
        <f t="shared" si="111"/>
        <v>200</v>
      </c>
      <c r="I469" s="52">
        <v>0</v>
      </c>
      <c r="J469" s="52">
        <f>2800-2800+50+10+140</f>
        <v>200</v>
      </c>
      <c r="K469" s="315">
        <f t="shared" si="114"/>
        <v>0</v>
      </c>
      <c r="L469" s="52">
        <v>0</v>
      </c>
      <c r="M469" s="320">
        <f t="shared" si="112"/>
        <v>0</v>
      </c>
      <c r="N469" s="65">
        <v>0</v>
      </c>
      <c r="O469" s="52">
        <v>0</v>
      </c>
      <c r="P469" s="315">
        <f t="shared" si="110"/>
        <v>0</v>
      </c>
      <c r="Q469" s="233"/>
      <c r="R469" s="40"/>
      <c r="S469" s="40"/>
      <c r="T469" s="214"/>
      <c r="U469" s="214"/>
      <c r="V469" s="231"/>
      <c r="W469" s="231"/>
      <c r="X469" s="231"/>
      <c r="Y469" s="231"/>
      <c r="Z469" s="231"/>
      <c r="AA469" s="231"/>
      <c r="AB469" s="231"/>
      <c r="AC469" s="231"/>
      <c r="AD469" s="231"/>
      <c r="AE469" s="231"/>
      <c r="AF469" s="231"/>
      <c r="AG469" s="231"/>
      <c r="AH469" s="231"/>
      <c r="AI469" s="231"/>
      <c r="AJ469" s="231"/>
      <c r="AK469" s="231"/>
      <c r="AL469" s="231"/>
      <c r="AM469" s="231"/>
      <c r="AN469" s="231"/>
      <c r="AO469" s="231"/>
      <c r="AP469" s="231"/>
      <c r="AQ469" s="231"/>
      <c r="AR469" s="231"/>
    </row>
    <row r="470" spans="1:44" s="31" customFormat="1" ht="25.5" x14ac:dyDescent="0.2">
      <c r="A470" s="56" t="s">
        <v>73</v>
      </c>
      <c r="B470" s="54" t="s">
        <v>728</v>
      </c>
      <c r="C470" s="60" t="s">
        <v>166</v>
      </c>
      <c r="D470" s="60" t="s">
        <v>108</v>
      </c>
      <c r="E470" s="60" t="s">
        <v>70</v>
      </c>
      <c r="F470" s="52">
        <v>0</v>
      </c>
      <c r="G470" s="52">
        <f>918.6+240.6+2704.8</f>
        <v>3864</v>
      </c>
      <c r="H470" s="315">
        <f t="shared" si="111"/>
        <v>3864</v>
      </c>
      <c r="I470" s="52">
        <v>0</v>
      </c>
      <c r="J470" s="52">
        <f>918.6+240.6+2704.8</f>
        <v>3864</v>
      </c>
      <c r="K470" s="315">
        <f t="shared" si="114"/>
        <v>0</v>
      </c>
      <c r="L470" s="52">
        <v>0</v>
      </c>
      <c r="M470" s="320">
        <f t="shared" si="112"/>
        <v>0</v>
      </c>
      <c r="N470" s="65">
        <v>0</v>
      </c>
      <c r="O470" s="52">
        <v>0</v>
      </c>
      <c r="P470" s="315">
        <f t="shared" si="110"/>
        <v>0</v>
      </c>
      <c r="Q470" s="39"/>
      <c r="R470" s="40"/>
      <c r="S470" s="40"/>
      <c r="T470" s="214"/>
      <c r="U470" s="214"/>
      <c r="V470" s="231"/>
      <c r="W470" s="231"/>
      <c r="X470" s="231"/>
      <c r="Y470" s="231"/>
      <c r="Z470" s="231"/>
      <c r="AA470" s="231"/>
      <c r="AB470" s="231"/>
      <c r="AC470" s="231"/>
      <c r="AD470" s="231"/>
      <c r="AE470" s="231"/>
      <c r="AF470" s="231"/>
      <c r="AG470" s="231"/>
      <c r="AH470" s="231"/>
      <c r="AI470" s="231"/>
      <c r="AJ470" s="231"/>
      <c r="AK470" s="231"/>
      <c r="AL470" s="231"/>
      <c r="AM470" s="231"/>
      <c r="AN470" s="231"/>
      <c r="AO470" s="231"/>
      <c r="AP470" s="231"/>
      <c r="AQ470" s="231"/>
      <c r="AR470" s="231"/>
    </row>
    <row r="471" spans="1:44" s="31" customFormat="1" x14ac:dyDescent="0.2">
      <c r="A471" s="67" t="s">
        <v>729</v>
      </c>
      <c r="B471" s="54" t="s">
        <v>51</v>
      </c>
      <c r="C471" s="60"/>
      <c r="D471" s="60"/>
      <c r="E471" s="60"/>
      <c r="F471" s="52">
        <f>F472+F475</f>
        <v>26911.300000000003</v>
      </c>
      <c r="G471" s="52">
        <f>G472+G475</f>
        <v>26911.300000000003</v>
      </c>
      <c r="H471" s="315">
        <f t="shared" si="111"/>
        <v>0</v>
      </c>
      <c r="I471" s="52">
        <f>I472+I475</f>
        <v>26065.300000000003</v>
      </c>
      <c r="J471" s="52">
        <f>J472+J475</f>
        <v>26911.300000000003</v>
      </c>
      <c r="K471" s="315">
        <f t="shared" si="114"/>
        <v>0</v>
      </c>
      <c r="L471" s="52">
        <f>L472+L475</f>
        <v>26065.300000000003</v>
      </c>
      <c r="M471" s="320">
        <f t="shared" si="112"/>
        <v>0</v>
      </c>
      <c r="N471" s="65">
        <f>N472+N475</f>
        <v>25984.800000000003</v>
      </c>
      <c r="O471" s="52">
        <f>O472+O475</f>
        <v>25984.800000000003</v>
      </c>
      <c r="P471" s="315">
        <f t="shared" si="110"/>
        <v>0</v>
      </c>
      <c r="Q471" s="39"/>
      <c r="R471" s="40"/>
      <c r="S471" s="40"/>
      <c r="T471" s="214"/>
      <c r="U471" s="214"/>
      <c r="V471" s="231"/>
      <c r="W471" s="231"/>
      <c r="X471" s="231"/>
      <c r="Y471" s="231"/>
      <c r="Z471" s="231"/>
      <c r="AA471" s="231"/>
      <c r="AB471" s="231"/>
      <c r="AC471" s="231"/>
      <c r="AD471" s="231"/>
      <c r="AE471" s="231"/>
      <c r="AF471" s="231"/>
      <c r="AG471" s="231"/>
      <c r="AH471" s="231"/>
      <c r="AI471" s="231"/>
      <c r="AJ471" s="231"/>
      <c r="AK471" s="231"/>
      <c r="AL471" s="231"/>
      <c r="AM471" s="231"/>
      <c r="AN471" s="231"/>
      <c r="AO471" s="231"/>
      <c r="AP471" s="231"/>
      <c r="AQ471" s="231"/>
      <c r="AR471" s="231"/>
    </row>
    <row r="472" spans="1:44" s="31" customFormat="1" ht="38.25" x14ac:dyDescent="0.2">
      <c r="A472" s="191" t="s">
        <v>50</v>
      </c>
      <c r="B472" s="54" t="s">
        <v>49</v>
      </c>
      <c r="C472" s="60" t="s">
        <v>46</v>
      </c>
      <c r="D472" s="60" t="s">
        <v>45</v>
      </c>
      <c r="E472" s="60"/>
      <c r="F472" s="52">
        <f t="shared" ref="F472:O473" si="116">F473</f>
        <v>80.5</v>
      </c>
      <c r="G472" s="52">
        <f t="shared" si="116"/>
        <v>80.5</v>
      </c>
      <c r="H472" s="315">
        <f t="shared" si="111"/>
        <v>0</v>
      </c>
      <c r="I472" s="52">
        <f t="shared" si="116"/>
        <v>80.5</v>
      </c>
      <c r="J472" s="52">
        <f t="shared" si="116"/>
        <v>80.5</v>
      </c>
      <c r="K472" s="315">
        <f t="shared" si="114"/>
        <v>0</v>
      </c>
      <c r="L472" s="52">
        <f t="shared" si="116"/>
        <v>80.5</v>
      </c>
      <c r="M472" s="320">
        <f t="shared" si="112"/>
        <v>0</v>
      </c>
      <c r="N472" s="65">
        <f t="shared" si="116"/>
        <v>30</v>
      </c>
      <c r="O472" s="52">
        <f t="shared" si="116"/>
        <v>30</v>
      </c>
      <c r="P472" s="315">
        <f t="shared" si="110"/>
        <v>0</v>
      </c>
      <c r="Q472" s="39"/>
      <c r="R472" s="40"/>
      <c r="S472" s="40"/>
      <c r="T472" s="214"/>
      <c r="U472" s="214"/>
      <c r="V472" s="231"/>
      <c r="W472" s="231"/>
      <c r="X472" s="231"/>
      <c r="Y472" s="231"/>
      <c r="Z472" s="231"/>
      <c r="AA472" s="231"/>
      <c r="AB472" s="231"/>
      <c r="AC472" s="231"/>
      <c r="AD472" s="231"/>
      <c r="AE472" s="231"/>
      <c r="AF472" s="231"/>
      <c r="AG472" s="231"/>
      <c r="AH472" s="231"/>
      <c r="AI472" s="231"/>
      <c r="AJ472" s="231"/>
      <c r="AK472" s="231"/>
      <c r="AL472" s="231"/>
      <c r="AM472" s="231"/>
      <c r="AN472" s="231"/>
      <c r="AO472" s="231"/>
      <c r="AP472" s="231"/>
      <c r="AQ472" s="231"/>
      <c r="AR472" s="231"/>
    </row>
    <row r="473" spans="1:44" s="31" customFormat="1" x14ac:dyDescent="0.2">
      <c r="A473" s="191" t="s">
        <v>48</v>
      </c>
      <c r="B473" s="54" t="s">
        <v>44</v>
      </c>
      <c r="C473" s="60" t="s">
        <v>46</v>
      </c>
      <c r="D473" s="60" t="s">
        <v>45</v>
      </c>
      <c r="E473" s="60"/>
      <c r="F473" s="52">
        <f t="shared" si="116"/>
        <v>80.5</v>
      </c>
      <c r="G473" s="52">
        <f t="shared" si="116"/>
        <v>80.5</v>
      </c>
      <c r="H473" s="315">
        <f t="shared" si="111"/>
        <v>0</v>
      </c>
      <c r="I473" s="52">
        <f t="shared" si="116"/>
        <v>80.5</v>
      </c>
      <c r="J473" s="52">
        <f t="shared" si="116"/>
        <v>80.5</v>
      </c>
      <c r="K473" s="315">
        <f t="shared" si="114"/>
        <v>0</v>
      </c>
      <c r="L473" s="52">
        <f t="shared" si="116"/>
        <v>80.5</v>
      </c>
      <c r="M473" s="320">
        <f t="shared" si="112"/>
        <v>0</v>
      </c>
      <c r="N473" s="65">
        <f t="shared" si="116"/>
        <v>30</v>
      </c>
      <c r="O473" s="52">
        <f t="shared" si="116"/>
        <v>30</v>
      </c>
      <c r="P473" s="315">
        <f t="shared" si="110"/>
        <v>0</v>
      </c>
      <c r="Q473" s="39"/>
      <c r="R473" s="40"/>
      <c r="S473" s="40"/>
      <c r="T473" s="214"/>
      <c r="U473" s="214"/>
      <c r="V473" s="231"/>
      <c r="W473" s="231"/>
      <c r="X473" s="231"/>
      <c r="Y473" s="231"/>
      <c r="Z473" s="231"/>
      <c r="AA473" s="231"/>
      <c r="AB473" s="231"/>
      <c r="AC473" s="231"/>
      <c r="AD473" s="231"/>
      <c r="AE473" s="231"/>
      <c r="AF473" s="231"/>
      <c r="AG473" s="231"/>
      <c r="AH473" s="231"/>
      <c r="AI473" s="231"/>
      <c r="AJ473" s="231"/>
      <c r="AK473" s="231"/>
      <c r="AL473" s="231"/>
      <c r="AM473" s="231"/>
      <c r="AN473" s="231"/>
      <c r="AO473" s="231"/>
      <c r="AP473" s="231"/>
      <c r="AQ473" s="231"/>
      <c r="AR473" s="231"/>
    </row>
    <row r="474" spans="1:44" s="31" customFormat="1" x14ac:dyDescent="0.2">
      <c r="A474" s="84" t="s">
        <v>47</v>
      </c>
      <c r="B474" s="54" t="s">
        <v>44</v>
      </c>
      <c r="C474" s="60" t="s">
        <v>46</v>
      </c>
      <c r="D474" s="60" t="s">
        <v>45</v>
      </c>
      <c r="E474" s="60" t="s">
        <v>43</v>
      </c>
      <c r="F474" s="52">
        <v>80.5</v>
      </c>
      <c r="G474" s="52">
        <v>80.5</v>
      </c>
      <c r="H474" s="315">
        <f t="shared" si="111"/>
        <v>0</v>
      </c>
      <c r="I474" s="52">
        <v>80.5</v>
      </c>
      <c r="J474" s="52">
        <v>80.5</v>
      </c>
      <c r="K474" s="315">
        <f t="shared" si="114"/>
        <v>0</v>
      </c>
      <c r="L474" s="52">
        <v>80.5</v>
      </c>
      <c r="M474" s="320">
        <f t="shared" si="112"/>
        <v>0</v>
      </c>
      <c r="N474" s="65">
        <v>30</v>
      </c>
      <c r="O474" s="52">
        <v>30</v>
      </c>
      <c r="P474" s="315">
        <f t="shared" si="110"/>
        <v>0</v>
      </c>
      <c r="Q474" s="270"/>
      <c r="R474" s="40"/>
      <c r="S474" s="40"/>
      <c r="T474" s="214"/>
      <c r="U474" s="214"/>
      <c r="V474" s="231"/>
      <c r="W474" s="231"/>
      <c r="X474" s="231"/>
      <c r="Y474" s="231"/>
      <c r="Z474" s="231"/>
      <c r="AA474" s="231"/>
      <c r="AB474" s="231"/>
      <c r="AC474" s="231"/>
      <c r="AD474" s="231"/>
      <c r="AE474" s="231"/>
      <c r="AF474" s="231"/>
      <c r="AG474" s="231"/>
      <c r="AH474" s="231"/>
      <c r="AI474" s="231"/>
      <c r="AJ474" s="231"/>
      <c r="AK474" s="231"/>
      <c r="AL474" s="231"/>
      <c r="AM474" s="231"/>
      <c r="AN474" s="231"/>
      <c r="AO474" s="231"/>
      <c r="AP474" s="231"/>
      <c r="AQ474" s="231"/>
      <c r="AR474" s="231"/>
    </row>
    <row r="475" spans="1:44" s="31" customFormat="1" ht="25.5" x14ac:dyDescent="0.2">
      <c r="A475" s="271" t="s">
        <v>544</v>
      </c>
      <c r="B475" s="54" t="s">
        <v>543</v>
      </c>
      <c r="C475" s="60"/>
      <c r="D475" s="60"/>
      <c r="E475" s="60"/>
      <c r="F475" s="52">
        <f>F476+F480+F482+F484+F488</f>
        <v>26830.800000000003</v>
      </c>
      <c r="G475" s="52">
        <f>G476+G480+G482+G484+G488</f>
        <v>26830.800000000003</v>
      </c>
      <c r="H475" s="315">
        <f t="shared" si="111"/>
        <v>0</v>
      </c>
      <c r="I475" s="52">
        <f>I476+I480+I482+I484+I488</f>
        <v>25984.800000000003</v>
      </c>
      <c r="J475" s="52">
        <f>J476+J480+J482+J484+J488</f>
        <v>26830.800000000003</v>
      </c>
      <c r="K475" s="315">
        <f t="shared" si="114"/>
        <v>0</v>
      </c>
      <c r="L475" s="52">
        <f>L476+L480+L482+L484+L488</f>
        <v>25984.800000000003</v>
      </c>
      <c r="M475" s="320">
        <f t="shared" si="112"/>
        <v>0</v>
      </c>
      <c r="N475" s="65">
        <f>N476+N480+N482+N484+N488</f>
        <v>25954.800000000003</v>
      </c>
      <c r="O475" s="52">
        <f>O476+O480+O482+O484+O488</f>
        <v>25954.800000000003</v>
      </c>
      <c r="P475" s="315">
        <f t="shared" si="110"/>
        <v>0</v>
      </c>
      <c r="Q475" s="270"/>
      <c r="R475" s="40"/>
      <c r="S475" s="40"/>
      <c r="T475" s="214"/>
      <c r="U475" s="214"/>
      <c r="V475" s="231"/>
      <c r="W475" s="231"/>
      <c r="X475" s="231"/>
      <c r="Y475" s="231"/>
      <c r="Z475" s="231"/>
      <c r="AA475" s="231"/>
      <c r="AB475" s="231"/>
      <c r="AC475" s="231"/>
      <c r="AD475" s="231"/>
      <c r="AE475" s="231"/>
      <c r="AF475" s="231"/>
      <c r="AG475" s="231"/>
      <c r="AH475" s="231"/>
      <c r="AI475" s="231"/>
      <c r="AJ475" s="231"/>
      <c r="AK475" s="231"/>
      <c r="AL475" s="231"/>
      <c r="AM475" s="231"/>
      <c r="AN475" s="231"/>
      <c r="AO475" s="231"/>
      <c r="AP475" s="231"/>
      <c r="AQ475" s="231"/>
      <c r="AR475" s="231"/>
    </row>
    <row r="476" spans="1:44" s="31" customFormat="1" x14ac:dyDescent="0.2">
      <c r="A476" s="191" t="s">
        <v>414</v>
      </c>
      <c r="B476" s="54" t="s">
        <v>613</v>
      </c>
      <c r="C476" s="60" t="s">
        <v>45</v>
      </c>
      <c r="D476" s="60" t="s">
        <v>96</v>
      </c>
      <c r="E476" s="60"/>
      <c r="F476" s="52">
        <f>F477+F478+F479</f>
        <v>10444.200000000001</v>
      </c>
      <c r="G476" s="52">
        <f>G477+G478+G479</f>
        <v>10439.200000000001</v>
      </c>
      <c r="H476" s="315">
        <f t="shared" si="111"/>
        <v>-5</v>
      </c>
      <c r="I476" s="52">
        <f>I477+I478+I479</f>
        <v>10165.200000000001</v>
      </c>
      <c r="J476" s="52">
        <f>J477+J478+J479</f>
        <v>10439.200000000001</v>
      </c>
      <c r="K476" s="315">
        <f t="shared" si="114"/>
        <v>0</v>
      </c>
      <c r="L476" s="52">
        <f>L477+L478+L479</f>
        <v>10165.200000000001</v>
      </c>
      <c r="M476" s="320">
        <f t="shared" si="112"/>
        <v>0</v>
      </c>
      <c r="N476" s="65">
        <f>N477+N478+N479</f>
        <v>10135.200000000001</v>
      </c>
      <c r="O476" s="52">
        <f>O477+O478+O479</f>
        <v>10135.200000000001</v>
      </c>
      <c r="P476" s="315">
        <f t="shared" si="110"/>
        <v>0</v>
      </c>
      <c r="Q476" s="39"/>
      <c r="R476" s="40"/>
      <c r="S476" s="40"/>
      <c r="T476" s="214"/>
      <c r="U476" s="214"/>
      <c r="V476" s="231"/>
      <c r="W476" s="231"/>
      <c r="X476" s="231"/>
      <c r="Y476" s="231"/>
      <c r="Z476" s="231"/>
      <c r="AA476" s="231"/>
      <c r="AB476" s="231"/>
      <c r="AC476" s="231"/>
      <c r="AD476" s="231"/>
      <c r="AE476" s="231"/>
      <c r="AF476" s="231"/>
      <c r="AG476" s="231"/>
      <c r="AH476" s="231"/>
      <c r="AI476" s="231"/>
      <c r="AJ476" s="231"/>
      <c r="AK476" s="231"/>
      <c r="AL476" s="231"/>
      <c r="AM476" s="231"/>
      <c r="AN476" s="231"/>
      <c r="AO476" s="231"/>
      <c r="AP476" s="231"/>
      <c r="AQ476" s="231"/>
      <c r="AR476" s="231"/>
    </row>
    <row r="477" spans="1:44" s="31" customFormat="1" x14ac:dyDescent="0.2">
      <c r="A477" s="84" t="s">
        <v>84</v>
      </c>
      <c r="B477" s="54" t="s">
        <v>613</v>
      </c>
      <c r="C477" s="60" t="s">
        <v>45</v>
      </c>
      <c r="D477" s="60" t="s">
        <v>96</v>
      </c>
      <c r="E477" s="60" t="s">
        <v>83</v>
      </c>
      <c r="F477" s="52">
        <f>9501.4+30.2+279</f>
        <v>9810.6</v>
      </c>
      <c r="G477" s="52">
        <f>9810.6-5</f>
        <v>9805.6</v>
      </c>
      <c r="H477" s="315">
        <f t="shared" si="111"/>
        <v>-5</v>
      </c>
      <c r="I477" s="52">
        <f>9501.4+30.2</f>
        <v>9531.6</v>
      </c>
      <c r="J477" s="52">
        <f>9810.6-5</f>
        <v>9805.6</v>
      </c>
      <c r="K477" s="315">
        <f t="shared" si="114"/>
        <v>0</v>
      </c>
      <c r="L477" s="52">
        <f>9501.4+30.2</f>
        <v>9531.6</v>
      </c>
      <c r="M477" s="320">
        <f t="shared" si="112"/>
        <v>0</v>
      </c>
      <c r="N477" s="65">
        <f>9501.4+30.2</f>
        <v>9531.6</v>
      </c>
      <c r="O477" s="52">
        <f>9501.4+30.2</f>
        <v>9531.6</v>
      </c>
      <c r="P477" s="315">
        <f t="shared" si="110"/>
        <v>0</v>
      </c>
      <c r="Q477" s="39"/>
      <c r="R477" s="40"/>
      <c r="S477" s="40"/>
      <c r="T477" s="214"/>
      <c r="U477" s="214"/>
      <c r="V477" s="231"/>
      <c r="W477" s="231"/>
      <c r="X477" s="231"/>
      <c r="Y477" s="231"/>
      <c r="Z477" s="231"/>
      <c r="AA477" s="231"/>
      <c r="AB477" s="231"/>
      <c r="AC477" s="231"/>
      <c r="AD477" s="231"/>
      <c r="AE477" s="231"/>
      <c r="AF477" s="231"/>
      <c r="AG477" s="231"/>
      <c r="AH477" s="231"/>
      <c r="AI477" s="231"/>
      <c r="AJ477" s="231"/>
      <c r="AK477" s="231"/>
      <c r="AL477" s="231"/>
      <c r="AM477" s="231"/>
      <c r="AN477" s="231"/>
      <c r="AO477" s="231"/>
      <c r="AP477" s="231"/>
      <c r="AQ477" s="231"/>
      <c r="AR477" s="231"/>
    </row>
    <row r="478" spans="1:44" s="31" customFormat="1" ht="25.5" x14ac:dyDescent="0.2">
      <c r="A478" s="84" t="s">
        <v>73</v>
      </c>
      <c r="B478" s="54" t="s">
        <v>613</v>
      </c>
      <c r="C478" s="60" t="s">
        <v>45</v>
      </c>
      <c r="D478" s="60" t="s">
        <v>96</v>
      </c>
      <c r="E478" s="60" t="s">
        <v>70</v>
      </c>
      <c r="F478" s="52">
        <v>632.6</v>
      </c>
      <c r="G478" s="52">
        <v>632.6</v>
      </c>
      <c r="H478" s="315">
        <f t="shared" si="111"/>
        <v>0</v>
      </c>
      <c r="I478" s="52">
        <v>632.6</v>
      </c>
      <c r="J478" s="52">
        <v>632.6</v>
      </c>
      <c r="K478" s="315">
        <f t="shared" si="114"/>
        <v>0</v>
      </c>
      <c r="L478" s="52">
        <v>632.6</v>
      </c>
      <c r="M478" s="320">
        <f t="shared" si="112"/>
        <v>0</v>
      </c>
      <c r="N478" s="65">
        <f>632.6-30</f>
        <v>602.6</v>
      </c>
      <c r="O478" s="52">
        <f>632.6-30</f>
        <v>602.6</v>
      </c>
      <c r="P478" s="315">
        <f t="shared" si="110"/>
        <v>0</v>
      </c>
      <c r="Q478" s="39"/>
      <c r="R478" s="40"/>
      <c r="S478" s="40"/>
      <c r="T478" s="214"/>
      <c r="U478" s="214"/>
      <c r="V478" s="231"/>
      <c r="W478" s="231"/>
      <c r="X478" s="231"/>
      <c r="Y478" s="231"/>
      <c r="Z478" s="231"/>
      <c r="AA478" s="231"/>
      <c r="AB478" s="231"/>
      <c r="AC478" s="231"/>
      <c r="AD478" s="231"/>
      <c r="AE478" s="231"/>
      <c r="AF478" s="231"/>
      <c r="AG478" s="231"/>
      <c r="AH478" s="231"/>
      <c r="AI478" s="231"/>
      <c r="AJ478" s="231"/>
      <c r="AK478" s="231"/>
      <c r="AL478" s="231"/>
      <c r="AM478" s="231"/>
      <c r="AN478" s="231"/>
      <c r="AO478" s="231"/>
      <c r="AP478" s="231"/>
      <c r="AQ478" s="231"/>
      <c r="AR478" s="231"/>
    </row>
    <row r="479" spans="1:44" s="31" customFormat="1" x14ac:dyDescent="0.2">
      <c r="A479" s="84" t="s">
        <v>413</v>
      </c>
      <c r="B479" s="54" t="s">
        <v>613</v>
      </c>
      <c r="C479" s="60" t="s">
        <v>45</v>
      </c>
      <c r="D479" s="60" t="s">
        <v>96</v>
      </c>
      <c r="E479" s="60" t="s">
        <v>320</v>
      </c>
      <c r="F479" s="52">
        <v>1</v>
      </c>
      <c r="G479" s="52">
        <v>1</v>
      </c>
      <c r="H479" s="315">
        <f t="shared" si="111"/>
        <v>0</v>
      </c>
      <c r="I479" s="52">
        <v>1</v>
      </c>
      <c r="J479" s="52">
        <v>1</v>
      </c>
      <c r="K479" s="315">
        <f t="shared" si="114"/>
        <v>0</v>
      </c>
      <c r="L479" s="52">
        <v>1</v>
      </c>
      <c r="M479" s="320">
        <f t="shared" si="112"/>
        <v>0</v>
      </c>
      <c r="N479" s="65">
        <v>1</v>
      </c>
      <c r="O479" s="52">
        <v>1</v>
      </c>
      <c r="P479" s="315">
        <f t="shared" si="110"/>
        <v>0</v>
      </c>
      <c r="Q479" s="39"/>
      <c r="R479" s="40"/>
      <c r="S479" s="40"/>
      <c r="T479" s="214"/>
      <c r="U479" s="214"/>
      <c r="V479" s="231"/>
      <c r="W479" s="231"/>
      <c r="X479" s="231"/>
      <c r="Y479" s="231"/>
      <c r="Z479" s="231"/>
      <c r="AA479" s="231"/>
      <c r="AB479" s="231"/>
      <c r="AC479" s="231"/>
      <c r="AD479" s="231"/>
      <c r="AE479" s="231"/>
      <c r="AF479" s="231"/>
      <c r="AG479" s="231"/>
      <c r="AH479" s="231"/>
      <c r="AI479" s="231"/>
      <c r="AJ479" s="231"/>
      <c r="AK479" s="231"/>
      <c r="AL479" s="231"/>
      <c r="AM479" s="231"/>
      <c r="AN479" s="231"/>
      <c r="AO479" s="231"/>
      <c r="AP479" s="231"/>
      <c r="AQ479" s="231"/>
      <c r="AR479" s="231"/>
    </row>
    <row r="480" spans="1:44" s="31" customFormat="1" ht="15.75" customHeight="1" x14ac:dyDescent="0.2">
      <c r="A480" s="84" t="s">
        <v>568</v>
      </c>
      <c r="B480" s="54" t="s">
        <v>612</v>
      </c>
      <c r="C480" s="60" t="s">
        <v>45</v>
      </c>
      <c r="D480" s="60" t="s">
        <v>96</v>
      </c>
      <c r="E480" s="60"/>
      <c r="F480" s="52">
        <f>F481</f>
        <v>25</v>
      </c>
      <c r="G480" s="52">
        <f>G481</f>
        <v>25</v>
      </c>
      <c r="H480" s="315">
        <f t="shared" si="111"/>
        <v>0</v>
      </c>
      <c r="I480" s="52">
        <f>I481</f>
        <v>25</v>
      </c>
      <c r="J480" s="52">
        <f>J481</f>
        <v>25</v>
      </c>
      <c r="K480" s="315">
        <f t="shared" si="114"/>
        <v>0</v>
      </c>
      <c r="L480" s="52">
        <f>L481</f>
        <v>25</v>
      </c>
      <c r="M480" s="320">
        <f t="shared" si="112"/>
        <v>0</v>
      </c>
      <c r="N480" s="65">
        <f>N481</f>
        <v>25</v>
      </c>
      <c r="O480" s="52">
        <f>O481</f>
        <v>25</v>
      </c>
      <c r="P480" s="315">
        <f t="shared" si="110"/>
        <v>0</v>
      </c>
      <c r="Q480" s="39"/>
      <c r="R480" s="40"/>
      <c r="S480" s="40"/>
      <c r="T480" s="214"/>
      <c r="U480" s="214"/>
      <c r="V480" s="231"/>
      <c r="W480" s="231"/>
      <c r="X480" s="231"/>
      <c r="Y480" s="231"/>
      <c r="Z480" s="231"/>
      <c r="AA480" s="231"/>
      <c r="AB480" s="231"/>
      <c r="AC480" s="231"/>
      <c r="AD480" s="231"/>
      <c r="AE480" s="231"/>
      <c r="AF480" s="231"/>
      <c r="AG480" s="231"/>
      <c r="AH480" s="231"/>
      <c r="AI480" s="231"/>
      <c r="AJ480" s="231"/>
      <c r="AK480" s="231"/>
      <c r="AL480" s="231"/>
      <c r="AM480" s="231"/>
      <c r="AN480" s="231"/>
      <c r="AO480" s="231"/>
      <c r="AP480" s="231"/>
      <c r="AQ480" s="231"/>
      <c r="AR480" s="231"/>
    </row>
    <row r="481" spans="1:44" s="31" customFormat="1" ht="26.25" customHeight="1" x14ac:dyDescent="0.2">
      <c r="A481" s="84" t="s">
        <v>73</v>
      </c>
      <c r="B481" s="54" t="s">
        <v>612</v>
      </c>
      <c r="C481" s="60" t="s">
        <v>45</v>
      </c>
      <c r="D481" s="60" t="s">
        <v>96</v>
      </c>
      <c r="E481" s="60" t="s">
        <v>70</v>
      </c>
      <c r="F481" s="52">
        <v>25</v>
      </c>
      <c r="G481" s="52">
        <v>25</v>
      </c>
      <c r="H481" s="315">
        <f t="shared" si="111"/>
        <v>0</v>
      </c>
      <c r="I481" s="52">
        <v>25</v>
      </c>
      <c r="J481" s="52">
        <v>25</v>
      </c>
      <c r="K481" s="315">
        <f t="shared" si="114"/>
        <v>0</v>
      </c>
      <c r="L481" s="52">
        <v>25</v>
      </c>
      <c r="M481" s="320">
        <f t="shared" si="112"/>
        <v>0</v>
      </c>
      <c r="N481" s="65">
        <v>25</v>
      </c>
      <c r="O481" s="52">
        <v>25</v>
      </c>
      <c r="P481" s="315">
        <f t="shared" si="110"/>
        <v>0</v>
      </c>
      <c r="Q481" s="39"/>
      <c r="R481" s="40"/>
      <c r="S481" s="40"/>
      <c r="T481" s="214"/>
      <c r="U481" s="214"/>
      <c r="V481" s="231"/>
      <c r="W481" s="231"/>
      <c r="X481" s="231"/>
      <c r="Y481" s="231"/>
      <c r="Z481" s="231"/>
      <c r="AA481" s="231"/>
      <c r="AB481" s="231"/>
      <c r="AC481" s="231"/>
      <c r="AD481" s="231"/>
      <c r="AE481" s="231"/>
      <c r="AF481" s="231"/>
      <c r="AG481" s="231"/>
      <c r="AH481" s="231"/>
      <c r="AI481" s="231"/>
      <c r="AJ481" s="231"/>
      <c r="AK481" s="231"/>
      <c r="AL481" s="231"/>
      <c r="AM481" s="231"/>
      <c r="AN481" s="231"/>
      <c r="AO481" s="231"/>
      <c r="AP481" s="231"/>
      <c r="AQ481" s="231"/>
      <c r="AR481" s="231"/>
    </row>
    <row r="482" spans="1:44" s="31" customFormat="1" x14ac:dyDescent="0.2">
      <c r="A482" s="84" t="s">
        <v>542</v>
      </c>
      <c r="B482" s="54" t="s">
        <v>541</v>
      </c>
      <c r="C482" s="60" t="s">
        <v>45</v>
      </c>
      <c r="D482" s="60" t="s">
        <v>46</v>
      </c>
      <c r="E482" s="60"/>
      <c r="F482" s="52">
        <f>F483</f>
        <v>30</v>
      </c>
      <c r="G482" s="52">
        <f>G483</f>
        <v>35</v>
      </c>
      <c r="H482" s="315">
        <f t="shared" si="111"/>
        <v>5</v>
      </c>
      <c r="I482" s="52">
        <f>I483</f>
        <v>30</v>
      </c>
      <c r="J482" s="52">
        <f>J483</f>
        <v>35</v>
      </c>
      <c r="K482" s="315">
        <f t="shared" si="114"/>
        <v>0</v>
      </c>
      <c r="L482" s="52">
        <f>L483</f>
        <v>30</v>
      </c>
      <c r="M482" s="320">
        <f t="shared" si="112"/>
        <v>0</v>
      </c>
      <c r="N482" s="65">
        <f>N483</f>
        <v>30</v>
      </c>
      <c r="O482" s="52">
        <f>O483</f>
        <v>30</v>
      </c>
      <c r="P482" s="315">
        <f t="shared" si="110"/>
        <v>0</v>
      </c>
      <c r="Q482" s="39"/>
      <c r="R482" s="40"/>
      <c r="S482" s="40"/>
      <c r="T482" s="214"/>
      <c r="U482" s="214"/>
      <c r="V482" s="231"/>
      <c r="W482" s="231"/>
      <c r="X482" s="231"/>
      <c r="Y482" s="231"/>
      <c r="Z482" s="231"/>
      <c r="AA482" s="231"/>
      <c r="AB482" s="231"/>
      <c r="AC482" s="231"/>
      <c r="AD482" s="231"/>
      <c r="AE482" s="231"/>
      <c r="AF482" s="231"/>
      <c r="AG482" s="231"/>
      <c r="AH482" s="231"/>
      <c r="AI482" s="231"/>
      <c r="AJ482" s="231"/>
      <c r="AK482" s="231"/>
      <c r="AL482" s="231"/>
      <c r="AM482" s="231"/>
      <c r="AN482" s="231"/>
      <c r="AO482" s="231"/>
      <c r="AP482" s="231"/>
      <c r="AQ482" s="231"/>
      <c r="AR482" s="231"/>
    </row>
    <row r="483" spans="1:44" s="31" customFormat="1" x14ac:dyDescent="0.2">
      <c r="A483" s="84" t="s">
        <v>413</v>
      </c>
      <c r="B483" s="54" t="s">
        <v>541</v>
      </c>
      <c r="C483" s="60" t="s">
        <v>45</v>
      </c>
      <c r="D483" s="60" t="s">
        <v>46</v>
      </c>
      <c r="E483" s="60" t="s">
        <v>320</v>
      </c>
      <c r="F483" s="52">
        <v>30</v>
      </c>
      <c r="G483" s="52">
        <f>30+5</f>
        <v>35</v>
      </c>
      <c r="H483" s="315">
        <f t="shared" si="111"/>
        <v>5</v>
      </c>
      <c r="I483" s="52">
        <v>30</v>
      </c>
      <c r="J483" s="52">
        <f>30+5</f>
        <v>35</v>
      </c>
      <c r="K483" s="315">
        <f t="shared" si="114"/>
        <v>0</v>
      </c>
      <c r="L483" s="52">
        <v>30</v>
      </c>
      <c r="M483" s="320">
        <f t="shared" si="112"/>
        <v>0</v>
      </c>
      <c r="N483" s="65">
        <v>30</v>
      </c>
      <c r="O483" s="52">
        <v>30</v>
      </c>
      <c r="P483" s="315">
        <f t="shared" si="110"/>
        <v>0</v>
      </c>
      <c r="Q483" s="39"/>
      <c r="R483" s="40"/>
      <c r="S483" s="40"/>
      <c r="T483" s="214"/>
      <c r="U483" s="214"/>
      <c r="V483" s="231"/>
      <c r="W483" s="231"/>
      <c r="X483" s="231"/>
      <c r="Y483" s="231"/>
      <c r="Z483" s="231"/>
      <c r="AA483" s="231"/>
      <c r="AB483" s="231"/>
      <c r="AC483" s="231"/>
      <c r="AD483" s="231"/>
      <c r="AE483" s="231"/>
      <c r="AF483" s="231"/>
      <c r="AG483" s="231"/>
      <c r="AH483" s="231"/>
      <c r="AI483" s="231"/>
      <c r="AJ483" s="231"/>
      <c r="AK483" s="231"/>
      <c r="AL483" s="231"/>
      <c r="AM483" s="231"/>
      <c r="AN483" s="231"/>
      <c r="AO483" s="231"/>
      <c r="AP483" s="231"/>
      <c r="AQ483" s="231"/>
      <c r="AR483" s="231"/>
    </row>
    <row r="484" spans="1:44" s="31" customFormat="1" x14ac:dyDescent="0.2">
      <c r="A484" s="56" t="s">
        <v>1097</v>
      </c>
      <c r="B484" s="54" t="s">
        <v>540</v>
      </c>
      <c r="C484" s="60" t="s">
        <v>45</v>
      </c>
      <c r="D484" s="60" t="s">
        <v>46</v>
      </c>
      <c r="E484" s="60"/>
      <c r="F484" s="52">
        <f>F485+F486+F487</f>
        <v>1360.4</v>
      </c>
      <c r="G484" s="52">
        <f>G485+G486+G487</f>
        <v>1360.4</v>
      </c>
      <c r="H484" s="315">
        <f t="shared" si="111"/>
        <v>0</v>
      </c>
      <c r="I484" s="52">
        <f>I485+I486+I487</f>
        <v>793.4</v>
      </c>
      <c r="J484" s="52">
        <f>J485+J486+J487</f>
        <v>1360.4</v>
      </c>
      <c r="K484" s="315">
        <f t="shared" si="114"/>
        <v>0</v>
      </c>
      <c r="L484" s="52">
        <f>L485+L486+L487</f>
        <v>793.4</v>
      </c>
      <c r="M484" s="320">
        <f t="shared" si="112"/>
        <v>0</v>
      </c>
      <c r="N484" s="65">
        <f>N485+N486+N487</f>
        <v>793.4</v>
      </c>
      <c r="O484" s="52">
        <f>O485+O486+O487</f>
        <v>793.4</v>
      </c>
      <c r="P484" s="315">
        <f t="shared" si="110"/>
        <v>0</v>
      </c>
      <c r="Q484" s="39"/>
      <c r="R484" s="40"/>
      <c r="S484" s="40"/>
      <c r="T484" s="214"/>
      <c r="U484" s="214"/>
      <c r="V484" s="231"/>
      <c r="W484" s="231"/>
      <c r="X484" s="231"/>
      <c r="Y484" s="231"/>
      <c r="Z484" s="231"/>
      <c r="AA484" s="231"/>
      <c r="AB484" s="231"/>
      <c r="AC484" s="231"/>
      <c r="AD484" s="231"/>
      <c r="AE484" s="231"/>
      <c r="AF484" s="231"/>
      <c r="AG484" s="231"/>
      <c r="AH484" s="231"/>
      <c r="AI484" s="231"/>
      <c r="AJ484" s="231"/>
      <c r="AK484" s="231"/>
      <c r="AL484" s="231"/>
      <c r="AM484" s="231"/>
      <c r="AN484" s="231"/>
      <c r="AO484" s="231"/>
      <c r="AP484" s="231"/>
      <c r="AQ484" s="231"/>
      <c r="AR484" s="231"/>
    </row>
    <row r="485" spans="1:44" s="31" customFormat="1" hidden="1" x14ac:dyDescent="0.2">
      <c r="A485" s="272" t="s">
        <v>145</v>
      </c>
      <c r="B485" s="54" t="s">
        <v>540</v>
      </c>
      <c r="C485" s="60" t="s">
        <v>45</v>
      </c>
      <c r="D485" s="60" t="s">
        <v>46</v>
      </c>
      <c r="E485" s="60" t="s">
        <v>144</v>
      </c>
      <c r="F485" s="52"/>
      <c r="G485" s="52"/>
      <c r="H485" s="315">
        <f t="shared" si="111"/>
        <v>0</v>
      </c>
      <c r="I485" s="52"/>
      <c r="J485" s="52"/>
      <c r="K485" s="315">
        <f t="shared" si="114"/>
        <v>0</v>
      </c>
      <c r="L485" s="52"/>
      <c r="M485" s="320">
        <f t="shared" si="112"/>
        <v>0</v>
      </c>
      <c r="N485" s="65"/>
      <c r="O485" s="52"/>
      <c r="P485" s="315">
        <f t="shared" si="110"/>
        <v>0</v>
      </c>
      <c r="Q485" s="39"/>
      <c r="R485" s="40"/>
      <c r="S485" s="40"/>
      <c r="T485" s="214"/>
      <c r="U485" s="214"/>
      <c r="V485" s="231"/>
      <c r="W485" s="231"/>
      <c r="X485" s="231"/>
      <c r="Y485" s="231"/>
      <c r="Z485" s="231"/>
      <c r="AA485" s="231"/>
      <c r="AB485" s="231"/>
      <c r="AC485" s="231"/>
      <c r="AD485" s="231"/>
      <c r="AE485" s="231"/>
      <c r="AF485" s="231"/>
      <c r="AG485" s="231"/>
      <c r="AH485" s="231"/>
      <c r="AI485" s="231"/>
      <c r="AJ485" s="231"/>
      <c r="AK485" s="231"/>
      <c r="AL485" s="231"/>
      <c r="AM485" s="231"/>
      <c r="AN485" s="231"/>
      <c r="AO485" s="231"/>
      <c r="AP485" s="231"/>
      <c r="AQ485" s="231"/>
      <c r="AR485" s="231"/>
    </row>
    <row r="486" spans="1:44" s="31" customFormat="1" ht="25.5" x14ac:dyDescent="0.2">
      <c r="A486" s="272" t="s">
        <v>73</v>
      </c>
      <c r="B486" s="54" t="s">
        <v>540</v>
      </c>
      <c r="C486" s="60" t="s">
        <v>45</v>
      </c>
      <c r="D486" s="60" t="s">
        <v>46</v>
      </c>
      <c r="E486" s="60" t="s">
        <v>70</v>
      </c>
      <c r="F486" s="52">
        <v>1360.4</v>
      </c>
      <c r="G486" s="52">
        <v>1360.4</v>
      </c>
      <c r="H486" s="315">
        <f t="shared" si="111"/>
        <v>0</v>
      </c>
      <c r="I486" s="52">
        <v>793.4</v>
      </c>
      <c r="J486" s="52">
        <v>1360.4</v>
      </c>
      <c r="K486" s="315">
        <f t="shared" si="114"/>
        <v>0</v>
      </c>
      <c r="L486" s="52">
        <v>793.4</v>
      </c>
      <c r="M486" s="320">
        <f t="shared" si="112"/>
        <v>0</v>
      </c>
      <c r="N486" s="65">
        <v>793.4</v>
      </c>
      <c r="O486" s="52">
        <v>793.4</v>
      </c>
      <c r="P486" s="315">
        <f t="shared" si="110"/>
        <v>0</v>
      </c>
      <c r="Q486" s="39"/>
      <c r="R486" s="40"/>
      <c r="S486" s="40"/>
      <c r="T486" s="214"/>
      <c r="U486" s="214"/>
      <c r="V486" s="231"/>
      <c r="W486" s="231"/>
      <c r="X486" s="231"/>
      <c r="Y486" s="231"/>
      <c r="Z486" s="231"/>
      <c r="AA486" s="231"/>
      <c r="AB486" s="231"/>
      <c r="AC486" s="231"/>
      <c r="AD486" s="231"/>
      <c r="AE486" s="231"/>
      <c r="AF486" s="231"/>
      <c r="AG486" s="231"/>
      <c r="AH486" s="231"/>
      <c r="AI486" s="231"/>
      <c r="AJ486" s="231"/>
      <c r="AK486" s="231"/>
      <c r="AL486" s="231"/>
      <c r="AM486" s="231"/>
      <c r="AN486" s="231"/>
      <c r="AO486" s="231"/>
      <c r="AP486" s="231"/>
      <c r="AQ486" s="231"/>
      <c r="AR486" s="231"/>
    </row>
    <row r="487" spans="1:44" s="31" customFormat="1" hidden="1" x14ac:dyDescent="0.2">
      <c r="A487" s="84" t="s">
        <v>413</v>
      </c>
      <c r="B487" s="54" t="s">
        <v>540</v>
      </c>
      <c r="C487" s="60" t="s">
        <v>45</v>
      </c>
      <c r="D487" s="60" t="s">
        <v>46</v>
      </c>
      <c r="E487" s="60" t="s">
        <v>320</v>
      </c>
      <c r="F487" s="52"/>
      <c r="G487" s="52"/>
      <c r="H487" s="315">
        <f t="shared" si="111"/>
        <v>0</v>
      </c>
      <c r="I487" s="52"/>
      <c r="J487" s="52"/>
      <c r="K487" s="315">
        <f t="shared" si="114"/>
        <v>0</v>
      </c>
      <c r="L487" s="52"/>
      <c r="M487" s="320">
        <f t="shared" si="112"/>
        <v>0</v>
      </c>
      <c r="N487" s="65"/>
      <c r="O487" s="52"/>
      <c r="P487" s="315">
        <f t="shared" si="110"/>
        <v>0</v>
      </c>
      <c r="Q487" s="39"/>
      <c r="R487" s="40"/>
      <c r="S487" s="40"/>
      <c r="T487" s="214"/>
      <c r="U487" s="214"/>
      <c r="V487" s="231"/>
      <c r="W487" s="231"/>
      <c r="X487" s="231"/>
      <c r="Y487" s="231"/>
      <c r="Z487" s="231"/>
      <c r="AA487" s="231"/>
      <c r="AB487" s="231"/>
      <c r="AC487" s="231"/>
      <c r="AD487" s="231"/>
      <c r="AE487" s="231"/>
      <c r="AF487" s="231"/>
      <c r="AG487" s="231"/>
      <c r="AH487" s="231"/>
      <c r="AI487" s="231"/>
      <c r="AJ487" s="231"/>
      <c r="AK487" s="231"/>
      <c r="AL487" s="231"/>
      <c r="AM487" s="231"/>
      <c r="AN487" s="231"/>
      <c r="AO487" s="231"/>
      <c r="AP487" s="231"/>
      <c r="AQ487" s="231"/>
      <c r="AR487" s="231"/>
    </row>
    <row r="488" spans="1:44" s="31" customFormat="1" ht="25.5" x14ac:dyDescent="0.2">
      <c r="A488" s="230" t="s">
        <v>88</v>
      </c>
      <c r="B488" s="54" t="s">
        <v>539</v>
      </c>
      <c r="C488" s="60" t="s">
        <v>45</v>
      </c>
      <c r="D488" s="60" t="s">
        <v>46</v>
      </c>
      <c r="E488" s="60"/>
      <c r="F488" s="52">
        <f>F489</f>
        <v>14971.2</v>
      </c>
      <c r="G488" s="52">
        <f>G489</f>
        <v>14971.2</v>
      </c>
      <c r="H488" s="315">
        <f t="shared" si="111"/>
        <v>0</v>
      </c>
      <c r="I488" s="52">
        <f>I489</f>
        <v>14971.2</v>
      </c>
      <c r="J488" s="52">
        <f>J489</f>
        <v>14971.2</v>
      </c>
      <c r="K488" s="315">
        <f t="shared" si="114"/>
        <v>0</v>
      </c>
      <c r="L488" s="52">
        <f>L489</f>
        <v>14971.2</v>
      </c>
      <c r="M488" s="320">
        <f t="shared" si="112"/>
        <v>0</v>
      </c>
      <c r="N488" s="65">
        <f>N489</f>
        <v>14971.2</v>
      </c>
      <c r="O488" s="52">
        <f>O489</f>
        <v>14971.2</v>
      </c>
      <c r="P488" s="315">
        <f t="shared" si="110"/>
        <v>0</v>
      </c>
      <c r="Q488" s="39"/>
      <c r="R488" s="40"/>
      <c r="S488" s="40"/>
      <c r="T488" s="214"/>
      <c r="U488" s="214"/>
      <c r="V488" s="231"/>
      <c r="W488" s="231"/>
      <c r="X488" s="231"/>
      <c r="Y488" s="231"/>
      <c r="Z488" s="231"/>
      <c r="AA488" s="231"/>
      <c r="AB488" s="231"/>
      <c r="AC488" s="231"/>
      <c r="AD488" s="231"/>
      <c r="AE488" s="231"/>
      <c r="AF488" s="231"/>
      <c r="AG488" s="231"/>
      <c r="AH488" s="231"/>
      <c r="AI488" s="231"/>
      <c r="AJ488" s="231"/>
      <c r="AK488" s="231"/>
      <c r="AL488" s="231"/>
      <c r="AM488" s="231"/>
      <c r="AN488" s="231"/>
      <c r="AO488" s="231"/>
      <c r="AP488" s="231"/>
      <c r="AQ488" s="231"/>
      <c r="AR488" s="231"/>
    </row>
    <row r="489" spans="1:44" s="31" customFormat="1" x14ac:dyDescent="0.2">
      <c r="A489" s="273" t="s">
        <v>145</v>
      </c>
      <c r="B489" s="54" t="s">
        <v>539</v>
      </c>
      <c r="C489" s="60" t="s">
        <v>45</v>
      </c>
      <c r="D489" s="60" t="s">
        <v>46</v>
      </c>
      <c r="E489" s="60" t="s">
        <v>144</v>
      </c>
      <c r="F489" s="52">
        <f>2599.6+12371.6</f>
        <v>14971.2</v>
      </c>
      <c r="G489" s="52">
        <f>2599.6+12371.6</f>
        <v>14971.2</v>
      </c>
      <c r="H489" s="315">
        <f t="shared" si="111"/>
        <v>0</v>
      </c>
      <c r="I489" s="52">
        <f>2599.6+12371.6</f>
        <v>14971.2</v>
      </c>
      <c r="J489" s="52">
        <f>2599.6+12371.6</f>
        <v>14971.2</v>
      </c>
      <c r="K489" s="315">
        <f t="shared" si="114"/>
        <v>0</v>
      </c>
      <c r="L489" s="52">
        <f>2599.6+12371.6</f>
        <v>14971.2</v>
      </c>
      <c r="M489" s="320">
        <f t="shared" si="112"/>
        <v>0</v>
      </c>
      <c r="N489" s="65">
        <f>2599.6+12371.6</f>
        <v>14971.2</v>
      </c>
      <c r="O489" s="52">
        <f>2599.6+12371.6</f>
        <v>14971.2</v>
      </c>
      <c r="P489" s="315">
        <f t="shared" si="110"/>
        <v>0</v>
      </c>
      <c r="Q489" s="39"/>
      <c r="R489" s="40"/>
      <c r="S489" s="40"/>
      <c r="T489" s="214"/>
      <c r="U489" s="214"/>
      <c r="V489" s="231"/>
      <c r="W489" s="231"/>
      <c r="X489" s="231"/>
      <c r="Y489" s="231"/>
      <c r="Z489" s="231"/>
      <c r="AA489" s="231"/>
      <c r="AB489" s="231"/>
      <c r="AC489" s="231"/>
      <c r="AD489" s="231"/>
      <c r="AE489" s="231"/>
      <c r="AF489" s="231"/>
      <c r="AG489" s="231"/>
      <c r="AH489" s="231"/>
      <c r="AI489" s="231"/>
      <c r="AJ489" s="231"/>
      <c r="AK489" s="231"/>
      <c r="AL489" s="231"/>
      <c r="AM489" s="231"/>
      <c r="AN489" s="231"/>
      <c r="AO489" s="231"/>
      <c r="AP489" s="231"/>
      <c r="AQ489" s="231"/>
      <c r="AR489" s="231"/>
    </row>
    <row r="490" spans="1:44" s="31" customFormat="1" ht="29.25" customHeight="1" x14ac:dyDescent="0.2">
      <c r="A490" s="232" t="s">
        <v>730</v>
      </c>
      <c r="B490" s="225" t="s">
        <v>134</v>
      </c>
      <c r="C490" s="226"/>
      <c r="D490" s="226"/>
      <c r="E490" s="226"/>
      <c r="F490" s="227">
        <f>F491+F498</f>
        <v>11143.6</v>
      </c>
      <c r="G490" s="227">
        <f>G491+G498</f>
        <v>11143.6</v>
      </c>
      <c r="H490" s="315">
        <f t="shared" si="111"/>
        <v>0</v>
      </c>
      <c r="I490" s="227">
        <f>I491+I498</f>
        <v>9147.4</v>
      </c>
      <c r="J490" s="227">
        <f>J491+J498</f>
        <v>11143.6</v>
      </c>
      <c r="K490" s="315">
        <f t="shared" si="114"/>
        <v>0</v>
      </c>
      <c r="L490" s="227">
        <f>L491+L498</f>
        <v>9147.4</v>
      </c>
      <c r="M490" s="320">
        <f t="shared" si="112"/>
        <v>0</v>
      </c>
      <c r="N490" s="228">
        <f>N491+N498</f>
        <v>9444.1</v>
      </c>
      <c r="O490" s="227">
        <f>O491+O498</f>
        <v>9444.1</v>
      </c>
      <c r="P490" s="315">
        <f t="shared" si="110"/>
        <v>0</v>
      </c>
      <c r="Q490" s="39"/>
      <c r="R490" s="40"/>
      <c r="S490" s="40"/>
      <c r="T490" s="214"/>
      <c r="U490" s="214"/>
      <c r="V490" s="231"/>
      <c r="W490" s="231"/>
      <c r="X490" s="231"/>
      <c r="Y490" s="231"/>
      <c r="Z490" s="231"/>
      <c r="AA490" s="231"/>
      <c r="AB490" s="231"/>
      <c r="AC490" s="231"/>
      <c r="AD490" s="231"/>
      <c r="AE490" s="231"/>
      <c r="AF490" s="231"/>
      <c r="AG490" s="231"/>
      <c r="AH490" s="231"/>
      <c r="AI490" s="231"/>
      <c r="AJ490" s="231"/>
      <c r="AK490" s="231"/>
      <c r="AL490" s="231"/>
      <c r="AM490" s="231"/>
      <c r="AN490" s="231"/>
      <c r="AO490" s="231"/>
      <c r="AP490" s="231"/>
      <c r="AQ490" s="231"/>
      <c r="AR490" s="231"/>
    </row>
    <row r="491" spans="1:44" s="31" customFormat="1" x14ac:dyDescent="0.2">
      <c r="A491" s="84" t="s">
        <v>66</v>
      </c>
      <c r="B491" s="54" t="s">
        <v>423</v>
      </c>
      <c r="C491" s="60" t="s">
        <v>108</v>
      </c>
      <c r="D491" s="60" t="s">
        <v>412</v>
      </c>
      <c r="E491" s="60"/>
      <c r="F491" s="52">
        <f>F492</f>
        <v>508.1</v>
      </c>
      <c r="G491" s="52">
        <f>G492</f>
        <v>383.2</v>
      </c>
      <c r="H491" s="315">
        <f t="shared" si="111"/>
        <v>-124.90000000000003</v>
      </c>
      <c r="I491" s="52">
        <f>I492</f>
        <v>300</v>
      </c>
      <c r="J491" s="52">
        <f>J492</f>
        <v>383.2</v>
      </c>
      <c r="K491" s="315">
        <f t="shared" si="114"/>
        <v>0</v>
      </c>
      <c r="L491" s="52">
        <f>L492</f>
        <v>300</v>
      </c>
      <c r="M491" s="320">
        <f t="shared" si="112"/>
        <v>0</v>
      </c>
      <c r="N491" s="65">
        <f>N492</f>
        <v>300</v>
      </c>
      <c r="O491" s="52">
        <f>O492</f>
        <v>300</v>
      </c>
      <c r="P491" s="315">
        <f t="shared" si="110"/>
        <v>0</v>
      </c>
      <c r="Q491" s="39"/>
      <c r="R491" s="40"/>
      <c r="S491" s="40"/>
      <c r="T491" s="214"/>
      <c r="U491" s="214"/>
      <c r="V491" s="231"/>
      <c r="W491" s="231"/>
      <c r="X491" s="231"/>
      <c r="Y491" s="231"/>
      <c r="Z491" s="231"/>
      <c r="AA491" s="231"/>
      <c r="AB491" s="231"/>
      <c r="AC491" s="231"/>
      <c r="AD491" s="231"/>
      <c r="AE491" s="231"/>
      <c r="AF491" s="231"/>
      <c r="AG491" s="231"/>
      <c r="AH491" s="231"/>
      <c r="AI491" s="231"/>
      <c r="AJ491" s="231"/>
      <c r="AK491" s="231"/>
      <c r="AL491" s="231"/>
      <c r="AM491" s="231"/>
      <c r="AN491" s="231"/>
      <c r="AO491" s="231"/>
      <c r="AP491" s="231"/>
      <c r="AQ491" s="231"/>
      <c r="AR491" s="231"/>
    </row>
    <row r="492" spans="1:44" s="31" customFormat="1" ht="25.5" x14ac:dyDescent="0.2">
      <c r="A492" s="84" t="s">
        <v>422</v>
      </c>
      <c r="B492" s="54" t="s">
        <v>421</v>
      </c>
      <c r="C492" s="60" t="s">
        <v>108</v>
      </c>
      <c r="D492" s="60" t="s">
        <v>412</v>
      </c>
      <c r="E492" s="60"/>
      <c r="F492" s="52">
        <f>F493+F495</f>
        <v>508.1</v>
      </c>
      <c r="G492" s="52">
        <f>G493+G495</f>
        <v>383.2</v>
      </c>
      <c r="H492" s="315">
        <f t="shared" si="111"/>
        <v>-124.90000000000003</v>
      </c>
      <c r="I492" s="52">
        <f>I493+I495</f>
        <v>300</v>
      </c>
      <c r="J492" s="52">
        <f>J493+J495</f>
        <v>383.2</v>
      </c>
      <c r="K492" s="315">
        <f t="shared" si="114"/>
        <v>0</v>
      </c>
      <c r="L492" s="52">
        <f>L493+L495</f>
        <v>300</v>
      </c>
      <c r="M492" s="320">
        <f t="shared" si="112"/>
        <v>0</v>
      </c>
      <c r="N492" s="65">
        <f>N493+N495</f>
        <v>300</v>
      </c>
      <c r="O492" s="52">
        <f>O493+O495</f>
        <v>300</v>
      </c>
      <c r="P492" s="315">
        <f t="shared" si="110"/>
        <v>0</v>
      </c>
      <c r="Q492" s="39"/>
      <c r="R492" s="40"/>
      <c r="S492" s="40"/>
      <c r="T492" s="214"/>
      <c r="U492" s="214"/>
      <c r="V492" s="231"/>
      <c r="W492" s="231"/>
      <c r="X492" s="231"/>
      <c r="Y492" s="231"/>
      <c r="Z492" s="231"/>
      <c r="AA492" s="231"/>
      <c r="AB492" s="231"/>
      <c r="AC492" s="231"/>
      <c r="AD492" s="231"/>
      <c r="AE492" s="231"/>
      <c r="AF492" s="231"/>
      <c r="AG492" s="231"/>
      <c r="AH492" s="231"/>
      <c r="AI492" s="231"/>
      <c r="AJ492" s="231"/>
      <c r="AK492" s="231"/>
      <c r="AL492" s="231"/>
      <c r="AM492" s="231"/>
      <c r="AN492" s="231"/>
      <c r="AO492" s="231"/>
      <c r="AP492" s="231"/>
      <c r="AQ492" s="231"/>
      <c r="AR492" s="231"/>
    </row>
    <row r="493" spans="1:44" s="31" customFormat="1" ht="38.25" x14ac:dyDescent="0.2">
      <c r="A493" s="84" t="s">
        <v>420</v>
      </c>
      <c r="B493" s="54" t="s">
        <v>419</v>
      </c>
      <c r="C493" s="60" t="s">
        <v>108</v>
      </c>
      <c r="D493" s="60" t="s">
        <v>412</v>
      </c>
      <c r="E493" s="60"/>
      <c r="F493" s="52">
        <f>F494</f>
        <v>208.1</v>
      </c>
      <c r="G493" s="52">
        <f>G494</f>
        <v>83.199999999999989</v>
      </c>
      <c r="H493" s="315">
        <f t="shared" si="111"/>
        <v>-124.9</v>
      </c>
      <c r="I493" s="52">
        <f>I494</f>
        <v>0</v>
      </c>
      <c r="J493" s="52">
        <f>J494</f>
        <v>83.199999999999989</v>
      </c>
      <c r="K493" s="315">
        <f t="shared" si="114"/>
        <v>0</v>
      </c>
      <c r="L493" s="52">
        <f>L494</f>
        <v>0</v>
      </c>
      <c r="M493" s="320">
        <f t="shared" si="112"/>
        <v>0</v>
      </c>
      <c r="N493" s="65">
        <f>N494</f>
        <v>0</v>
      </c>
      <c r="O493" s="52">
        <f>O494</f>
        <v>0</v>
      </c>
      <c r="P493" s="315">
        <f t="shared" si="110"/>
        <v>0</v>
      </c>
      <c r="Q493" s="39"/>
      <c r="R493" s="40"/>
      <c r="S493" s="40"/>
      <c r="T493" s="214"/>
      <c r="U493" s="214"/>
      <c r="V493" s="231"/>
      <c r="W493" s="231"/>
      <c r="X493" s="231"/>
      <c r="Y493" s="231"/>
      <c r="Z493" s="231"/>
      <c r="AA493" s="231"/>
      <c r="AB493" s="231"/>
      <c r="AC493" s="231"/>
      <c r="AD493" s="231"/>
      <c r="AE493" s="231"/>
      <c r="AF493" s="231"/>
      <c r="AG493" s="231"/>
      <c r="AH493" s="231"/>
      <c r="AI493" s="231"/>
      <c r="AJ493" s="231"/>
      <c r="AK493" s="231"/>
      <c r="AL493" s="231"/>
      <c r="AM493" s="231"/>
      <c r="AN493" s="231"/>
      <c r="AO493" s="231"/>
      <c r="AP493" s="231"/>
      <c r="AQ493" s="231"/>
      <c r="AR493" s="231"/>
    </row>
    <row r="494" spans="1:44" s="31" customFormat="1" ht="25.5" x14ac:dyDescent="0.2">
      <c r="A494" s="84" t="s">
        <v>73</v>
      </c>
      <c r="B494" s="54" t="s">
        <v>419</v>
      </c>
      <c r="C494" s="60" t="s">
        <v>108</v>
      </c>
      <c r="D494" s="60" t="s">
        <v>412</v>
      </c>
      <c r="E494" s="60" t="s">
        <v>70</v>
      </c>
      <c r="F494" s="52">
        <f>74.1+134</f>
        <v>208.1</v>
      </c>
      <c r="G494" s="52">
        <f>208.1-124.9</f>
        <v>83.199999999999989</v>
      </c>
      <c r="H494" s="315">
        <f t="shared" si="111"/>
        <v>-124.9</v>
      </c>
      <c r="I494" s="52">
        <v>0</v>
      </c>
      <c r="J494" s="52">
        <f>208.1-124.9</f>
        <v>83.199999999999989</v>
      </c>
      <c r="K494" s="315">
        <f t="shared" si="114"/>
        <v>0</v>
      </c>
      <c r="L494" s="52">
        <v>0</v>
      </c>
      <c r="M494" s="320">
        <f t="shared" si="112"/>
        <v>0</v>
      </c>
      <c r="N494" s="65">
        <v>0</v>
      </c>
      <c r="O494" s="52">
        <v>0</v>
      </c>
      <c r="P494" s="315">
        <f t="shared" si="110"/>
        <v>0</v>
      </c>
      <c r="Q494" s="39"/>
      <c r="R494" s="40"/>
      <c r="S494" s="40"/>
      <c r="T494" s="214"/>
      <c r="U494" s="214"/>
      <c r="V494" s="231"/>
      <c r="W494" s="231"/>
      <c r="X494" s="231"/>
      <c r="Y494" s="231"/>
      <c r="Z494" s="231"/>
      <c r="AA494" s="231"/>
      <c r="AB494" s="231"/>
      <c r="AC494" s="231"/>
      <c r="AD494" s="231"/>
      <c r="AE494" s="231"/>
      <c r="AF494" s="231"/>
      <c r="AG494" s="231"/>
      <c r="AH494" s="231"/>
      <c r="AI494" s="231"/>
      <c r="AJ494" s="231"/>
      <c r="AK494" s="231"/>
      <c r="AL494" s="231"/>
      <c r="AM494" s="231"/>
      <c r="AN494" s="231"/>
      <c r="AO494" s="231"/>
      <c r="AP494" s="231"/>
      <c r="AQ494" s="231"/>
      <c r="AR494" s="231"/>
    </row>
    <row r="495" spans="1:44" s="31" customFormat="1" ht="25.5" x14ac:dyDescent="0.2">
      <c r="A495" s="137" t="s">
        <v>418</v>
      </c>
      <c r="B495" s="54" t="s">
        <v>417</v>
      </c>
      <c r="C495" s="60" t="s">
        <v>108</v>
      </c>
      <c r="D495" s="60" t="s">
        <v>412</v>
      </c>
      <c r="E495" s="60"/>
      <c r="F495" s="52">
        <f>F496+F497</f>
        <v>300</v>
      </c>
      <c r="G495" s="52">
        <f>G496+G497</f>
        <v>300</v>
      </c>
      <c r="H495" s="315">
        <f t="shared" si="111"/>
        <v>0</v>
      </c>
      <c r="I495" s="52">
        <f>I496+I497</f>
        <v>300</v>
      </c>
      <c r="J495" s="52">
        <f>J496+J497</f>
        <v>300</v>
      </c>
      <c r="K495" s="315">
        <f t="shared" si="114"/>
        <v>0</v>
      </c>
      <c r="L495" s="52">
        <f>L496+L497</f>
        <v>300</v>
      </c>
      <c r="M495" s="320">
        <f t="shared" si="112"/>
        <v>0</v>
      </c>
      <c r="N495" s="65">
        <f>N496+N497</f>
        <v>300</v>
      </c>
      <c r="O495" s="52">
        <f>O496+O497</f>
        <v>300</v>
      </c>
      <c r="P495" s="315">
        <f t="shared" si="110"/>
        <v>0</v>
      </c>
      <c r="Q495" s="39"/>
      <c r="R495" s="40"/>
      <c r="S495" s="40"/>
      <c r="T495" s="214"/>
      <c r="U495" s="214"/>
      <c r="V495" s="231"/>
      <c r="W495" s="231"/>
      <c r="X495" s="231"/>
      <c r="Y495" s="231"/>
      <c r="Z495" s="231"/>
      <c r="AA495" s="231"/>
      <c r="AB495" s="231"/>
      <c r="AC495" s="231"/>
      <c r="AD495" s="231"/>
      <c r="AE495" s="231"/>
      <c r="AF495" s="231"/>
      <c r="AG495" s="231"/>
      <c r="AH495" s="231"/>
      <c r="AI495" s="231"/>
      <c r="AJ495" s="231"/>
      <c r="AK495" s="231"/>
      <c r="AL495" s="231"/>
      <c r="AM495" s="231"/>
      <c r="AN495" s="231"/>
      <c r="AO495" s="231"/>
      <c r="AP495" s="231"/>
      <c r="AQ495" s="231"/>
      <c r="AR495" s="231"/>
    </row>
    <row r="496" spans="1:44" s="31" customFormat="1" ht="25.5" x14ac:dyDescent="0.2">
      <c r="A496" s="84" t="s">
        <v>73</v>
      </c>
      <c r="B496" s="54" t="s">
        <v>417</v>
      </c>
      <c r="C496" s="60" t="s">
        <v>108</v>
      </c>
      <c r="D496" s="60" t="s">
        <v>412</v>
      </c>
      <c r="E496" s="60" t="s">
        <v>70</v>
      </c>
      <c r="F496" s="52">
        <v>300</v>
      </c>
      <c r="G496" s="52">
        <v>300</v>
      </c>
      <c r="H496" s="315">
        <f t="shared" si="111"/>
        <v>0</v>
      </c>
      <c r="I496" s="52">
        <v>300</v>
      </c>
      <c r="J496" s="52">
        <v>300</v>
      </c>
      <c r="K496" s="315">
        <f t="shared" si="114"/>
        <v>0</v>
      </c>
      <c r="L496" s="52">
        <v>300</v>
      </c>
      <c r="M496" s="320">
        <f t="shared" si="112"/>
        <v>0</v>
      </c>
      <c r="N496" s="65">
        <v>300</v>
      </c>
      <c r="O496" s="52">
        <v>300</v>
      </c>
      <c r="P496" s="315">
        <f t="shared" si="110"/>
        <v>0</v>
      </c>
      <c r="Q496" s="39"/>
      <c r="R496" s="40"/>
      <c r="S496" s="40"/>
      <c r="T496" s="214"/>
      <c r="U496" s="214"/>
      <c r="V496" s="231"/>
      <c r="W496" s="231"/>
      <c r="X496" s="231"/>
      <c r="Y496" s="231"/>
      <c r="Z496" s="231"/>
      <c r="AA496" s="231"/>
      <c r="AB496" s="231"/>
      <c r="AC496" s="231"/>
      <c r="AD496" s="231"/>
      <c r="AE496" s="231"/>
      <c r="AF496" s="231"/>
      <c r="AG496" s="231"/>
      <c r="AH496" s="231"/>
      <c r="AI496" s="231"/>
      <c r="AJ496" s="231"/>
      <c r="AK496" s="231"/>
      <c r="AL496" s="231"/>
      <c r="AM496" s="231"/>
      <c r="AN496" s="231"/>
      <c r="AO496" s="231"/>
      <c r="AP496" s="231"/>
      <c r="AQ496" s="231"/>
      <c r="AR496" s="231"/>
    </row>
    <row r="497" spans="1:44" s="31" customFormat="1" hidden="1" x14ac:dyDescent="0.2">
      <c r="A497" s="84" t="s">
        <v>413</v>
      </c>
      <c r="B497" s="54" t="s">
        <v>417</v>
      </c>
      <c r="C497" s="60" t="s">
        <v>108</v>
      </c>
      <c r="D497" s="60" t="s">
        <v>412</v>
      </c>
      <c r="E497" s="60" t="s">
        <v>320</v>
      </c>
      <c r="F497" s="52">
        <v>0</v>
      </c>
      <c r="G497" s="52">
        <v>0</v>
      </c>
      <c r="H497" s="315">
        <f t="shared" si="111"/>
        <v>0</v>
      </c>
      <c r="I497" s="52"/>
      <c r="J497" s="52">
        <v>0</v>
      </c>
      <c r="K497" s="315">
        <f t="shared" si="114"/>
        <v>0</v>
      </c>
      <c r="L497" s="52"/>
      <c r="M497" s="320">
        <f t="shared" si="112"/>
        <v>0</v>
      </c>
      <c r="N497" s="65">
        <v>0</v>
      </c>
      <c r="O497" s="52">
        <v>0</v>
      </c>
      <c r="P497" s="315">
        <f t="shared" si="110"/>
        <v>0</v>
      </c>
      <c r="Q497" s="39"/>
      <c r="R497" s="40"/>
      <c r="S497" s="40"/>
      <c r="T497" s="214"/>
      <c r="U497" s="214"/>
      <c r="V497" s="231"/>
      <c r="W497" s="231"/>
      <c r="X497" s="231"/>
      <c r="Y497" s="231"/>
      <c r="Z497" s="231"/>
      <c r="AA497" s="231"/>
      <c r="AB497" s="231"/>
      <c r="AC497" s="231"/>
      <c r="AD497" s="231"/>
      <c r="AE497" s="231"/>
      <c r="AF497" s="231"/>
      <c r="AG497" s="231"/>
      <c r="AH497" s="231"/>
      <c r="AI497" s="231"/>
      <c r="AJ497" s="231"/>
      <c r="AK497" s="231"/>
      <c r="AL497" s="231"/>
      <c r="AM497" s="231"/>
      <c r="AN497" s="231"/>
      <c r="AO497" s="231"/>
      <c r="AP497" s="231"/>
      <c r="AQ497" s="231"/>
      <c r="AR497" s="231"/>
    </row>
    <row r="498" spans="1:44" s="31" customFormat="1" x14ac:dyDescent="0.2">
      <c r="A498" s="84" t="s">
        <v>52</v>
      </c>
      <c r="B498" s="54" t="s">
        <v>133</v>
      </c>
      <c r="C498" s="60"/>
      <c r="D498" s="60"/>
      <c r="E498" s="60"/>
      <c r="F498" s="52">
        <f>F499+F503+F511</f>
        <v>10635.5</v>
      </c>
      <c r="G498" s="52">
        <f>G499+G503+G511</f>
        <v>10760.4</v>
      </c>
      <c r="H498" s="315">
        <f t="shared" si="111"/>
        <v>124.89999999999964</v>
      </c>
      <c r="I498" s="52">
        <f>I499+I503+I511</f>
        <v>8847.4</v>
      </c>
      <c r="J498" s="52">
        <f>J499+J503+J511</f>
        <v>10760.4</v>
      </c>
      <c r="K498" s="315">
        <f t="shared" si="114"/>
        <v>0</v>
      </c>
      <c r="L498" s="52">
        <f>L499+L503+L511</f>
        <v>8847.4</v>
      </c>
      <c r="M498" s="320">
        <f t="shared" si="112"/>
        <v>0</v>
      </c>
      <c r="N498" s="65">
        <f>N499+N503+N511</f>
        <v>9144.1</v>
      </c>
      <c r="O498" s="52">
        <f>O499+O503+O511</f>
        <v>9144.1</v>
      </c>
      <c r="P498" s="315">
        <f t="shared" si="110"/>
        <v>0</v>
      </c>
      <c r="Q498" s="39"/>
      <c r="R498" s="40"/>
      <c r="S498" s="40"/>
      <c r="T498" s="214"/>
      <c r="U498" s="214"/>
      <c r="V498" s="231"/>
      <c r="W498" s="231"/>
      <c r="X498" s="231"/>
      <c r="Y498" s="231"/>
      <c r="Z498" s="231"/>
      <c r="AA498" s="231"/>
      <c r="AB498" s="231"/>
      <c r="AC498" s="231"/>
      <c r="AD498" s="231"/>
      <c r="AE498" s="231"/>
      <c r="AF498" s="231"/>
      <c r="AG498" s="231"/>
      <c r="AH498" s="231"/>
      <c r="AI498" s="231"/>
      <c r="AJ498" s="231"/>
      <c r="AK498" s="231"/>
      <c r="AL498" s="231"/>
      <c r="AM498" s="231"/>
      <c r="AN498" s="231"/>
      <c r="AO498" s="231"/>
      <c r="AP498" s="231"/>
      <c r="AQ498" s="231"/>
      <c r="AR498" s="231"/>
    </row>
    <row r="499" spans="1:44" s="31" customFormat="1" ht="51" x14ac:dyDescent="0.2">
      <c r="A499" s="84" t="s">
        <v>132</v>
      </c>
      <c r="B499" s="54" t="s">
        <v>131</v>
      </c>
      <c r="C499" s="60"/>
      <c r="D499" s="60"/>
      <c r="E499" s="60"/>
      <c r="F499" s="52">
        <f>F500</f>
        <v>2970</v>
      </c>
      <c r="G499" s="52">
        <f>G500</f>
        <v>2970</v>
      </c>
      <c r="H499" s="315">
        <f t="shared" si="111"/>
        <v>0</v>
      </c>
      <c r="I499" s="52">
        <f>I500</f>
        <v>1133.8</v>
      </c>
      <c r="J499" s="52">
        <f>J500</f>
        <v>2970</v>
      </c>
      <c r="K499" s="315">
        <f t="shared" si="114"/>
        <v>0</v>
      </c>
      <c r="L499" s="52">
        <f>L500</f>
        <v>1133.8</v>
      </c>
      <c r="M499" s="320">
        <f t="shared" si="112"/>
        <v>0</v>
      </c>
      <c r="N499" s="65">
        <f>N500</f>
        <v>1133.8</v>
      </c>
      <c r="O499" s="52">
        <f>O500</f>
        <v>1133.8</v>
      </c>
      <c r="P499" s="315">
        <f t="shared" si="110"/>
        <v>0</v>
      </c>
      <c r="Q499" s="39"/>
      <c r="R499" s="40"/>
      <c r="S499" s="40"/>
      <c r="T499" s="214"/>
      <c r="U499" s="214"/>
      <c r="V499" s="231"/>
      <c r="W499" s="231"/>
      <c r="X499" s="231"/>
      <c r="Y499" s="231"/>
      <c r="Z499" s="231"/>
      <c r="AA499" s="231"/>
      <c r="AB499" s="231"/>
      <c r="AC499" s="231"/>
      <c r="AD499" s="231"/>
      <c r="AE499" s="231"/>
      <c r="AF499" s="231"/>
      <c r="AG499" s="231"/>
      <c r="AH499" s="231"/>
      <c r="AI499" s="231"/>
      <c r="AJ499" s="231"/>
      <c r="AK499" s="231"/>
      <c r="AL499" s="231"/>
      <c r="AM499" s="231"/>
      <c r="AN499" s="231"/>
      <c r="AO499" s="231"/>
      <c r="AP499" s="231"/>
      <c r="AQ499" s="231"/>
      <c r="AR499" s="231"/>
    </row>
    <row r="500" spans="1:44" s="31" customFormat="1" ht="63.75" x14ac:dyDescent="0.2">
      <c r="A500" s="84" t="s">
        <v>130</v>
      </c>
      <c r="B500" s="54" t="s">
        <v>128</v>
      </c>
      <c r="C500" s="60"/>
      <c r="D500" s="60"/>
      <c r="E500" s="60"/>
      <c r="F500" s="52">
        <f>F501+F502</f>
        <v>2970</v>
      </c>
      <c r="G500" s="52">
        <f>G501+G502</f>
        <v>2970</v>
      </c>
      <c r="H500" s="315">
        <f t="shared" si="111"/>
        <v>0</v>
      </c>
      <c r="I500" s="52">
        <f>I501+I502</f>
        <v>1133.8</v>
      </c>
      <c r="J500" s="52">
        <f>J501+J502</f>
        <v>2970</v>
      </c>
      <c r="K500" s="315">
        <f t="shared" si="114"/>
        <v>0</v>
      </c>
      <c r="L500" s="52">
        <f>L501+L502</f>
        <v>1133.8</v>
      </c>
      <c r="M500" s="320">
        <f t="shared" si="112"/>
        <v>0</v>
      </c>
      <c r="N500" s="65">
        <f>N501+N502</f>
        <v>1133.8</v>
      </c>
      <c r="O500" s="52">
        <f>O501+O502</f>
        <v>1133.8</v>
      </c>
      <c r="P500" s="315">
        <f t="shared" si="110"/>
        <v>0</v>
      </c>
      <c r="Q500" s="39"/>
      <c r="R500" s="40"/>
      <c r="S500" s="40"/>
      <c r="T500" s="214"/>
      <c r="U500" s="214"/>
      <c r="V500" s="231"/>
      <c r="W500" s="231"/>
      <c r="X500" s="231"/>
      <c r="Y500" s="231"/>
      <c r="Z500" s="231"/>
      <c r="AA500" s="231"/>
      <c r="AB500" s="231"/>
      <c r="AC500" s="231"/>
      <c r="AD500" s="231"/>
      <c r="AE500" s="231"/>
      <c r="AF500" s="231"/>
      <c r="AG500" s="231"/>
      <c r="AH500" s="231"/>
      <c r="AI500" s="231"/>
      <c r="AJ500" s="231"/>
      <c r="AK500" s="231"/>
      <c r="AL500" s="231"/>
      <c r="AM500" s="231"/>
      <c r="AN500" s="231"/>
      <c r="AO500" s="231"/>
      <c r="AP500" s="231"/>
      <c r="AQ500" s="231"/>
      <c r="AR500" s="231"/>
    </row>
    <row r="501" spans="1:44" s="31" customFormat="1" ht="25.5" x14ac:dyDescent="0.2">
      <c r="A501" s="84" t="s">
        <v>73</v>
      </c>
      <c r="B501" s="54" t="s">
        <v>128</v>
      </c>
      <c r="C501" s="60" t="s">
        <v>108</v>
      </c>
      <c r="D501" s="60" t="s">
        <v>412</v>
      </c>
      <c r="E501" s="60" t="s">
        <v>70</v>
      </c>
      <c r="F501" s="52">
        <v>44.6</v>
      </c>
      <c r="G501" s="52">
        <v>44.6</v>
      </c>
      <c r="H501" s="315">
        <f t="shared" si="111"/>
        <v>0</v>
      </c>
      <c r="I501" s="52">
        <v>17</v>
      </c>
      <c r="J501" s="52">
        <v>44.6</v>
      </c>
      <c r="K501" s="315">
        <f t="shared" si="114"/>
        <v>0</v>
      </c>
      <c r="L501" s="52">
        <v>17</v>
      </c>
      <c r="M501" s="320">
        <f t="shared" si="112"/>
        <v>0</v>
      </c>
      <c r="N501" s="65">
        <v>17</v>
      </c>
      <c r="O501" s="52">
        <v>17</v>
      </c>
      <c r="P501" s="315">
        <f t="shared" si="110"/>
        <v>0</v>
      </c>
      <c r="Q501" s="39"/>
      <c r="R501" s="40"/>
      <c r="S501" s="40"/>
      <c r="T501" s="214"/>
      <c r="U501" s="214"/>
      <c r="V501" s="231"/>
      <c r="W501" s="231"/>
      <c r="X501" s="231"/>
      <c r="Y501" s="231"/>
      <c r="Z501" s="231"/>
      <c r="AA501" s="231"/>
      <c r="AB501" s="231"/>
      <c r="AC501" s="231"/>
      <c r="AD501" s="231"/>
      <c r="AE501" s="231"/>
      <c r="AF501" s="231"/>
      <c r="AG501" s="231"/>
      <c r="AH501" s="231"/>
      <c r="AI501" s="231"/>
      <c r="AJ501" s="231"/>
      <c r="AK501" s="231"/>
      <c r="AL501" s="231"/>
      <c r="AM501" s="231"/>
      <c r="AN501" s="231"/>
      <c r="AO501" s="231"/>
      <c r="AP501" s="231"/>
      <c r="AQ501" s="231"/>
      <c r="AR501" s="231"/>
    </row>
    <row r="502" spans="1:44" s="31" customFormat="1" x14ac:dyDescent="0.2">
      <c r="A502" s="95" t="s">
        <v>129</v>
      </c>
      <c r="B502" s="54" t="s">
        <v>128</v>
      </c>
      <c r="C502" s="60" t="s">
        <v>97</v>
      </c>
      <c r="D502" s="60" t="s">
        <v>111</v>
      </c>
      <c r="E502" s="60" t="s">
        <v>127</v>
      </c>
      <c r="F502" s="52">
        <v>2925.4</v>
      </c>
      <c r="G502" s="52">
        <v>2925.4</v>
      </c>
      <c r="H502" s="315">
        <f t="shared" si="111"/>
        <v>0</v>
      </c>
      <c r="I502" s="52">
        <v>1116.8</v>
      </c>
      <c r="J502" s="52">
        <v>2925.4</v>
      </c>
      <c r="K502" s="315">
        <f t="shared" si="114"/>
        <v>0</v>
      </c>
      <c r="L502" s="52">
        <v>1116.8</v>
      </c>
      <c r="M502" s="320">
        <f t="shared" si="112"/>
        <v>0</v>
      </c>
      <c r="N502" s="65">
        <v>1116.8</v>
      </c>
      <c r="O502" s="52">
        <v>1116.8</v>
      </c>
      <c r="P502" s="315">
        <f t="shared" si="110"/>
        <v>0</v>
      </c>
      <c r="Q502" s="39"/>
      <c r="R502" s="40"/>
      <c r="S502" s="40"/>
      <c r="T502" s="214"/>
      <c r="U502" s="214"/>
      <c r="V502" s="231"/>
      <c r="W502" s="231"/>
      <c r="X502" s="231"/>
      <c r="Y502" s="231"/>
      <c r="Z502" s="231"/>
      <c r="AA502" s="231"/>
      <c r="AB502" s="231"/>
      <c r="AC502" s="231"/>
      <c r="AD502" s="231"/>
      <c r="AE502" s="231"/>
      <c r="AF502" s="231"/>
      <c r="AG502" s="231"/>
      <c r="AH502" s="231"/>
      <c r="AI502" s="231"/>
      <c r="AJ502" s="231"/>
      <c r="AK502" s="231"/>
      <c r="AL502" s="231"/>
      <c r="AM502" s="231"/>
      <c r="AN502" s="231"/>
      <c r="AO502" s="231"/>
      <c r="AP502" s="231"/>
      <c r="AQ502" s="231"/>
      <c r="AR502" s="231"/>
    </row>
    <row r="503" spans="1:44" s="31" customFormat="1" ht="25.5" customHeight="1" x14ac:dyDescent="0.2">
      <c r="A503" s="56" t="s">
        <v>357</v>
      </c>
      <c r="B503" s="54" t="s">
        <v>356</v>
      </c>
      <c r="C503" s="60"/>
      <c r="D503" s="60"/>
      <c r="E503" s="60"/>
      <c r="F503" s="52">
        <f>F504+F507+F509</f>
        <v>3839.5</v>
      </c>
      <c r="G503" s="52">
        <f>G504+G507+G509</f>
        <v>3964.4</v>
      </c>
      <c r="H503" s="315">
        <f t="shared" si="111"/>
        <v>124.90000000000009</v>
      </c>
      <c r="I503" s="52">
        <f>I504+I507+I509</f>
        <v>3939.5</v>
      </c>
      <c r="J503" s="52">
        <f>J504+J507+J509</f>
        <v>3964.4</v>
      </c>
      <c r="K503" s="315">
        <f t="shared" si="114"/>
        <v>0</v>
      </c>
      <c r="L503" s="52">
        <f>L504+L507+L509</f>
        <v>3939.5</v>
      </c>
      <c r="M503" s="320">
        <f t="shared" si="112"/>
        <v>0</v>
      </c>
      <c r="N503" s="65">
        <f>N504+N507+N509</f>
        <v>4239.5</v>
      </c>
      <c r="O503" s="52">
        <f>O504+O507+O509</f>
        <v>4239.5</v>
      </c>
      <c r="P503" s="315">
        <f t="shared" ref="P503:P540" si="117">O503-N503</f>
        <v>0</v>
      </c>
      <c r="Q503" s="39"/>
      <c r="R503" s="40"/>
      <c r="S503" s="40"/>
      <c r="T503" s="214"/>
      <c r="U503" s="214"/>
      <c r="V503" s="231"/>
      <c r="W503" s="231"/>
      <c r="X503" s="231"/>
      <c r="Y503" s="231"/>
      <c r="Z503" s="231"/>
      <c r="AA503" s="231"/>
      <c r="AB503" s="231"/>
      <c r="AC503" s="231"/>
      <c r="AD503" s="231"/>
      <c r="AE503" s="231"/>
      <c r="AF503" s="231"/>
      <c r="AG503" s="231"/>
      <c r="AH503" s="231"/>
      <c r="AI503" s="231"/>
      <c r="AJ503" s="231"/>
      <c r="AK503" s="231"/>
      <c r="AL503" s="231"/>
      <c r="AM503" s="231"/>
      <c r="AN503" s="231"/>
      <c r="AO503" s="231"/>
      <c r="AP503" s="231"/>
      <c r="AQ503" s="231"/>
      <c r="AR503" s="231"/>
    </row>
    <row r="504" spans="1:44" s="31" customFormat="1" ht="25.5" x14ac:dyDescent="0.2">
      <c r="A504" s="274" t="s">
        <v>355</v>
      </c>
      <c r="B504" s="54" t="s">
        <v>354</v>
      </c>
      <c r="C504" s="60" t="s">
        <v>45</v>
      </c>
      <c r="D504" s="60" t="s">
        <v>46</v>
      </c>
      <c r="E504" s="60"/>
      <c r="F504" s="52">
        <f>F505+F506</f>
        <v>2759.5</v>
      </c>
      <c r="G504" s="52">
        <f>G505+G506</f>
        <v>2884.4</v>
      </c>
      <c r="H504" s="315">
        <f t="shared" ref="H504:H540" si="118">G504-F504</f>
        <v>124.90000000000009</v>
      </c>
      <c r="I504" s="52">
        <f>I505+I506</f>
        <v>2759.5</v>
      </c>
      <c r="J504" s="52">
        <f>J505+J506</f>
        <v>2654.9</v>
      </c>
      <c r="K504" s="315">
        <f t="shared" si="114"/>
        <v>-229.5</v>
      </c>
      <c r="L504" s="52">
        <f>L505+L506</f>
        <v>2759.5</v>
      </c>
      <c r="M504" s="320">
        <f t="shared" ref="M504:M540" si="119">L504-I504</f>
        <v>0</v>
      </c>
      <c r="N504" s="65">
        <f>N505+N506</f>
        <v>2759.5</v>
      </c>
      <c r="O504" s="52">
        <f>O505+O506</f>
        <v>2759.5</v>
      </c>
      <c r="P504" s="315">
        <f t="shared" si="117"/>
        <v>0</v>
      </c>
      <c r="Q504" s="39"/>
      <c r="R504" s="40"/>
      <c r="S504" s="40"/>
      <c r="T504" s="214"/>
      <c r="U504" s="214"/>
      <c r="V504" s="231"/>
      <c r="W504" s="231"/>
      <c r="X504" s="231"/>
      <c r="Y504" s="231"/>
      <c r="Z504" s="231"/>
      <c r="AA504" s="231"/>
      <c r="AB504" s="231"/>
      <c r="AC504" s="231"/>
      <c r="AD504" s="231"/>
      <c r="AE504" s="231"/>
      <c r="AF504" s="231"/>
      <c r="AG504" s="231"/>
      <c r="AH504" s="231"/>
      <c r="AI504" s="231"/>
      <c r="AJ504" s="231"/>
      <c r="AK504" s="231"/>
      <c r="AL504" s="231"/>
      <c r="AM504" s="231"/>
      <c r="AN504" s="231"/>
      <c r="AO504" s="231"/>
      <c r="AP504" s="231"/>
      <c r="AQ504" s="231"/>
      <c r="AR504" s="231"/>
    </row>
    <row r="505" spans="1:44" s="31" customFormat="1" ht="25.5" x14ac:dyDescent="0.2">
      <c r="A505" s="84" t="s">
        <v>73</v>
      </c>
      <c r="B505" s="54" t="s">
        <v>354</v>
      </c>
      <c r="C505" s="60" t="s">
        <v>45</v>
      </c>
      <c r="D505" s="60" t="s">
        <v>46</v>
      </c>
      <c r="E505" s="60" t="s">
        <v>70</v>
      </c>
      <c r="F505" s="52">
        <f>490+2224.5</f>
        <v>2714.5</v>
      </c>
      <c r="G505" s="52">
        <f>2714.5+124.9</f>
        <v>2839.4</v>
      </c>
      <c r="H505" s="315">
        <f t="shared" si="118"/>
        <v>124.90000000000009</v>
      </c>
      <c r="I505" s="52">
        <f>490+2224.5</f>
        <v>2714.5</v>
      </c>
      <c r="J505" s="52">
        <f>2839.4-229.5</f>
        <v>2609.9</v>
      </c>
      <c r="K505" s="315">
        <f t="shared" si="114"/>
        <v>-229.5</v>
      </c>
      <c r="L505" s="52">
        <f>490+2224.5</f>
        <v>2714.5</v>
      </c>
      <c r="M505" s="320">
        <f t="shared" si="119"/>
        <v>0</v>
      </c>
      <c r="N505" s="65">
        <f>490+2224.5</f>
        <v>2714.5</v>
      </c>
      <c r="O505" s="52">
        <f>490+2224.5</f>
        <v>2714.5</v>
      </c>
      <c r="P505" s="315">
        <f t="shared" si="117"/>
        <v>0</v>
      </c>
      <c r="Q505" s="39"/>
      <c r="R505" s="40"/>
      <c r="S505" s="40"/>
      <c r="T505" s="214"/>
      <c r="U505" s="214"/>
      <c r="V505" s="231"/>
      <c r="W505" s="231"/>
      <c r="X505" s="231"/>
      <c r="Y505" s="231"/>
      <c r="Z505" s="231"/>
      <c r="AA505" s="231"/>
      <c r="AB505" s="231"/>
      <c r="AC505" s="231"/>
      <c r="AD505" s="231"/>
      <c r="AE505" s="231"/>
      <c r="AF505" s="231"/>
      <c r="AG505" s="231"/>
      <c r="AH505" s="231"/>
      <c r="AI505" s="231"/>
      <c r="AJ505" s="231"/>
      <c r="AK505" s="231"/>
      <c r="AL505" s="231"/>
      <c r="AM505" s="231"/>
      <c r="AN505" s="231"/>
      <c r="AO505" s="231"/>
      <c r="AP505" s="231"/>
      <c r="AQ505" s="231"/>
      <c r="AR505" s="231"/>
    </row>
    <row r="506" spans="1:44" s="31" customFormat="1" x14ac:dyDescent="0.2">
      <c r="A506" s="84" t="s">
        <v>413</v>
      </c>
      <c r="B506" s="54" t="s">
        <v>354</v>
      </c>
      <c r="C506" s="60" t="s">
        <v>45</v>
      </c>
      <c r="D506" s="60" t="s">
        <v>46</v>
      </c>
      <c r="E506" s="60" t="s">
        <v>320</v>
      </c>
      <c r="F506" s="52">
        <v>45</v>
      </c>
      <c r="G506" s="52">
        <v>45</v>
      </c>
      <c r="H506" s="315">
        <f t="shared" si="118"/>
        <v>0</v>
      </c>
      <c r="I506" s="52">
        <v>45</v>
      </c>
      <c r="J506" s="52">
        <v>45</v>
      </c>
      <c r="K506" s="315">
        <f t="shared" si="114"/>
        <v>0</v>
      </c>
      <c r="L506" s="52">
        <v>45</v>
      </c>
      <c r="M506" s="320">
        <f t="shared" si="119"/>
        <v>0</v>
      </c>
      <c r="N506" s="65">
        <v>45</v>
      </c>
      <c r="O506" s="52">
        <v>45</v>
      </c>
      <c r="P506" s="315">
        <f t="shared" si="117"/>
        <v>0</v>
      </c>
      <c r="Q506" s="39"/>
      <c r="R506" s="40"/>
      <c r="S506" s="40"/>
      <c r="T506" s="214"/>
      <c r="U506" s="214"/>
      <c r="V506" s="231"/>
      <c r="W506" s="231"/>
      <c r="X506" s="231"/>
      <c r="Y506" s="231"/>
      <c r="Z506" s="231"/>
      <c r="AA506" s="231"/>
      <c r="AB506" s="231"/>
      <c r="AC506" s="231"/>
      <c r="AD506" s="231"/>
      <c r="AE506" s="231"/>
      <c r="AF506" s="231"/>
      <c r="AG506" s="231"/>
      <c r="AH506" s="231"/>
      <c r="AI506" s="231"/>
      <c r="AJ506" s="231"/>
      <c r="AK506" s="231"/>
      <c r="AL506" s="231"/>
      <c r="AM506" s="231"/>
      <c r="AN506" s="231"/>
      <c r="AO506" s="231"/>
      <c r="AP506" s="231"/>
      <c r="AQ506" s="231"/>
      <c r="AR506" s="231"/>
    </row>
    <row r="507" spans="1:44" s="31" customFormat="1" ht="25.5" x14ac:dyDescent="0.2">
      <c r="A507" s="274" t="s">
        <v>355</v>
      </c>
      <c r="B507" s="54" t="s">
        <v>354</v>
      </c>
      <c r="C507" s="60" t="s">
        <v>59</v>
      </c>
      <c r="D507" s="60" t="s">
        <v>45</v>
      </c>
      <c r="E507" s="60"/>
      <c r="F507" s="52">
        <f>F508</f>
        <v>1080</v>
      </c>
      <c r="G507" s="52">
        <f>G508</f>
        <v>1080</v>
      </c>
      <c r="H507" s="315">
        <f t="shared" si="118"/>
        <v>0</v>
      </c>
      <c r="I507" s="52">
        <f>I508</f>
        <v>1080</v>
      </c>
      <c r="J507" s="52">
        <f>J508</f>
        <v>1309.5</v>
      </c>
      <c r="K507" s="315">
        <f t="shared" si="114"/>
        <v>229.5</v>
      </c>
      <c r="L507" s="52">
        <f>L508</f>
        <v>1080</v>
      </c>
      <c r="M507" s="320">
        <f t="shared" si="119"/>
        <v>0</v>
      </c>
      <c r="N507" s="65">
        <f>N508</f>
        <v>1080</v>
      </c>
      <c r="O507" s="52">
        <f>O508</f>
        <v>1080</v>
      </c>
      <c r="P507" s="315">
        <f t="shared" si="117"/>
        <v>0</v>
      </c>
      <c r="Q507" s="39"/>
      <c r="R507" s="40"/>
      <c r="S507" s="40"/>
      <c r="T507" s="214"/>
      <c r="U507" s="214"/>
      <c r="V507" s="231"/>
      <c r="W507" s="231"/>
      <c r="X507" s="231"/>
      <c r="Y507" s="231"/>
      <c r="Z507" s="231"/>
      <c r="AA507" s="231"/>
      <c r="AB507" s="231"/>
      <c r="AC507" s="231"/>
      <c r="AD507" s="231"/>
      <c r="AE507" s="231"/>
      <c r="AF507" s="231"/>
      <c r="AG507" s="231"/>
      <c r="AH507" s="231"/>
      <c r="AI507" s="231"/>
      <c r="AJ507" s="231"/>
      <c r="AK507" s="231"/>
      <c r="AL507" s="231"/>
      <c r="AM507" s="231"/>
      <c r="AN507" s="231"/>
      <c r="AO507" s="231"/>
      <c r="AP507" s="231"/>
      <c r="AQ507" s="231"/>
      <c r="AR507" s="231"/>
    </row>
    <row r="508" spans="1:44" s="31" customFormat="1" ht="25.5" x14ac:dyDescent="0.2">
      <c r="A508" s="84" t="s">
        <v>73</v>
      </c>
      <c r="B508" s="54" t="s">
        <v>354</v>
      </c>
      <c r="C508" s="60" t="s">
        <v>59</v>
      </c>
      <c r="D508" s="60" t="s">
        <v>45</v>
      </c>
      <c r="E508" s="60" t="s">
        <v>70</v>
      </c>
      <c r="F508" s="52">
        <v>1080</v>
      </c>
      <c r="G508" s="52">
        <v>1080</v>
      </c>
      <c r="H508" s="315">
        <f t="shared" si="118"/>
        <v>0</v>
      </c>
      <c r="I508" s="52">
        <v>1080</v>
      </c>
      <c r="J508" s="52">
        <f>1080+229.5</f>
        <v>1309.5</v>
      </c>
      <c r="K508" s="315">
        <f t="shared" si="114"/>
        <v>229.5</v>
      </c>
      <c r="L508" s="52">
        <v>1080</v>
      </c>
      <c r="M508" s="320">
        <f t="shared" si="119"/>
        <v>0</v>
      </c>
      <c r="N508" s="65">
        <v>1080</v>
      </c>
      <c r="O508" s="52">
        <v>1080</v>
      </c>
      <c r="P508" s="315">
        <f t="shared" si="117"/>
        <v>0</v>
      </c>
      <c r="Q508" s="39"/>
      <c r="R508" s="40"/>
      <c r="S508" s="40"/>
      <c r="T508" s="214"/>
      <c r="U508" s="214"/>
      <c r="V508" s="231"/>
      <c r="W508" s="231"/>
      <c r="X508" s="231"/>
      <c r="Y508" s="231"/>
      <c r="Z508" s="231"/>
      <c r="AA508" s="231"/>
      <c r="AB508" s="231"/>
      <c r="AC508" s="231"/>
      <c r="AD508" s="231"/>
      <c r="AE508" s="231"/>
      <c r="AF508" s="231"/>
      <c r="AG508" s="231"/>
      <c r="AH508" s="231"/>
      <c r="AI508" s="231"/>
      <c r="AJ508" s="231"/>
      <c r="AK508" s="231"/>
      <c r="AL508" s="231"/>
      <c r="AM508" s="231"/>
      <c r="AN508" s="231"/>
      <c r="AO508" s="231"/>
      <c r="AP508" s="231"/>
      <c r="AQ508" s="231"/>
      <c r="AR508" s="231"/>
    </row>
    <row r="509" spans="1:44" s="31" customFormat="1" ht="25.5" x14ac:dyDescent="0.2">
      <c r="A509" s="274" t="s">
        <v>355</v>
      </c>
      <c r="B509" s="54" t="s">
        <v>354</v>
      </c>
      <c r="C509" s="60" t="s">
        <v>59</v>
      </c>
      <c r="D509" s="60" t="s">
        <v>72</v>
      </c>
      <c r="E509" s="60"/>
      <c r="F509" s="52">
        <f>F510</f>
        <v>0</v>
      </c>
      <c r="G509" s="52">
        <f>G510</f>
        <v>0</v>
      </c>
      <c r="H509" s="315">
        <f t="shared" si="118"/>
        <v>0</v>
      </c>
      <c r="I509" s="52">
        <f>I510</f>
        <v>100</v>
      </c>
      <c r="J509" s="52">
        <f>J510</f>
        <v>0</v>
      </c>
      <c r="K509" s="315">
        <f t="shared" si="114"/>
        <v>0</v>
      </c>
      <c r="L509" s="52">
        <f>L510</f>
        <v>100</v>
      </c>
      <c r="M509" s="320">
        <f t="shared" si="119"/>
        <v>0</v>
      </c>
      <c r="N509" s="65">
        <f>N510</f>
        <v>400</v>
      </c>
      <c r="O509" s="52">
        <f>O510</f>
        <v>400</v>
      </c>
      <c r="P509" s="315">
        <f t="shared" si="117"/>
        <v>0</v>
      </c>
      <c r="Q509" s="39"/>
      <c r="R509" s="40"/>
      <c r="S509" s="40"/>
      <c r="T509" s="214"/>
      <c r="U509" s="214"/>
      <c r="V509" s="231"/>
      <c r="W509" s="231"/>
      <c r="X509" s="231"/>
      <c r="Y509" s="231"/>
      <c r="Z509" s="231"/>
      <c r="AA509" s="231"/>
      <c r="AB509" s="231"/>
      <c r="AC509" s="231"/>
      <c r="AD509" s="231"/>
      <c r="AE509" s="231"/>
      <c r="AF509" s="231"/>
      <c r="AG509" s="231"/>
      <c r="AH509" s="231"/>
      <c r="AI509" s="231"/>
      <c r="AJ509" s="231"/>
      <c r="AK509" s="231"/>
      <c r="AL509" s="231"/>
      <c r="AM509" s="231"/>
      <c r="AN509" s="231"/>
      <c r="AO509" s="231"/>
      <c r="AP509" s="231"/>
      <c r="AQ509" s="231"/>
      <c r="AR509" s="231"/>
    </row>
    <row r="510" spans="1:44" s="31" customFormat="1" ht="25.5" x14ac:dyDescent="0.2">
      <c r="A510" s="84" t="s">
        <v>73</v>
      </c>
      <c r="B510" s="54" t="s">
        <v>354</v>
      </c>
      <c r="C510" s="60" t="s">
        <v>59</v>
      </c>
      <c r="D510" s="60" t="s">
        <v>72</v>
      </c>
      <c r="E510" s="60" t="s">
        <v>70</v>
      </c>
      <c r="F510" s="52">
        <f>1898.9-1898.9</f>
        <v>0</v>
      </c>
      <c r="G510" s="52">
        <f>1898.9-1898.9</f>
        <v>0</v>
      </c>
      <c r="H510" s="315">
        <f t="shared" si="118"/>
        <v>0</v>
      </c>
      <c r="I510" s="52">
        <v>100</v>
      </c>
      <c r="J510" s="52">
        <f>1898.9-1898.9</f>
        <v>0</v>
      </c>
      <c r="K510" s="315">
        <f t="shared" si="114"/>
        <v>0</v>
      </c>
      <c r="L510" s="52">
        <v>100</v>
      </c>
      <c r="M510" s="320">
        <f t="shared" si="119"/>
        <v>0</v>
      </c>
      <c r="N510" s="65">
        <v>400</v>
      </c>
      <c r="O510" s="52">
        <v>400</v>
      </c>
      <c r="P510" s="315">
        <f t="shared" si="117"/>
        <v>0</v>
      </c>
      <c r="Q510" s="275"/>
      <c r="R510" s="40"/>
      <c r="S510" s="40"/>
      <c r="T510" s="214"/>
      <c r="U510" s="214"/>
      <c r="V510" s="231"/>
      <c r="W510" s="231"/>
      <c r="X510" s="231"/>
      <c r="Y510" s="231"/>
      <c r="Z510" s="231"/>
      <c r="AA510" s="231"/>
      <c r="AB510" s="231"/>
      <c r="AC510" s="231"/>
      <c r="AD510" s="231"/>
      <c r="AE510" s="231"/>
      <c r="AF510" s="231"/>
      <c r="AG510" s="231"/>
      <c r="AH510" s="231"/>
      <c r="AI510" s="231"/>
      <c r="AJ510" s="231"/>
      <c r="AK510" s="231"/>
      <c r="AL510" s="231"/>
      <c r="AM510" s="231"/>
      <c r="AN510" s="231"/>
      <c r="AO510" s="231"/>
      <c r="AP510" s="231"/>
      <c r="AQ510" s="231"/>
      <c r="AR510" s="231"/>
    </row>
    <row r="511" spans="1:44" s="31" customFormat="1" ht="38.25" x14ac:dyDescent="0.2">
      <c r="A511" s="84" t="s">
        <v>416</v>
      </c>
      <c r="B511" s="54" t="s">
        <v>415</v>
      </c>
      <c r="C511" s="60"/>
      <c r="D511" s="60"/>
      <c r="E511" s="60"/>
      <c r="F511" s="52">
        <f>F512</f>
        <v>3826</v>
      </c>
      <c r="G511" s="52">
        <f>G512</f>
        <v>3826</v>
      </c>
      <c r="H511" s="315">
        <f t="shared" si="118"/>
        <v>0</v>
      </c>
      <c r="I511" s="52">
        <f>I512</f>
        <v>3774.1</v>
      </c>
      <c r="J511" s="52">
        <f>J512</f>
        <v>3826</v>
      </c>
      <c r="K511" s="315">
        <f t="shared" si="114"/>
        <v>0</v>
      </c>
      <c r="L511" s="52">
        <f>L512</f>
        <v>3774.1</v>
      </c>
      <c r="M511" s="320">
        <f t="shared" si="119"/>
        <v>0</v>
      </c>
      <c r="N511" s="65">
        <f>N512</f>
        <v>3770.8</v>
      </c>
      <c r="O511" s="52">
        <f>O512</f>
        <v>3770.8</v>
      </c>
      <c r="P511" s="315">
        <f t="shared" si="117"/>
        <v>0</v>
      </c>
      <c r="Q511" s="39"/>
      <c r="R511" s="40"/>
      <c r="S511" s="40"/>
      <c r="T511" s="214"/>
      <c r="U511" s="214"/>
      <c r="V511" s="231"/>
      <c r="W511" s="231"/>
      <c r="X511" s="231"/>
      <c r="Y511" s="231"/>
      <c r="Z511" s="231"/>
      <c r="AA511" s="231"/>
      <c r="AB511" s="231"/>
      <c r="AC511" s="231"/>
      <c r="AD511" s="231"/>
      <c r="AE511" s="231"/>
      <c r="AF511" s="231"/>
      <c r="AG511" s="231"/>
      <c r="AH511" s="231"/>
      <c r="AI511" s="231"/>
      <c r="AJ511" s="231"/>
      <c r="AK511" s="231"/>
      <c r="AL511" s="231"/>
      <c r="AM511" s="231"/>
      <c r="AN511" s="231"/>
      <c r="AO511" s="231"/>
      <c r="AP511" s="231"/>
      <c r="AQ511" s="231"/>
      <c r="AR511" s="231"/>
    </row>
    <row r="512" spans="1:44" s="31" customFormat="1" x14ac:dyDescent="0.2">
      <c r="A512" s="191" t="s">
        <v>414</v>
      </c>
      <c r="B512" s="54" t="s">
        <v>411</v>
      </c>
      <c r="C512" s="60" t="s">
        <v>108</v>
      </c>
      <c r="D512" s="60" t="s">
        <v>412</v>
      </c>
      <c r="E512" s="60"/>
      <c r="F512" s="52">
        <f>F513+F514+F515</f>
        <v>3826</v>
      </c>
      <c r="G512" s="52">
        <f>G513+G514+G515</f>
        <v>3826</v>
      </c>
      <c r="H512" s="315">
        <f t="shared" si="118"/>
        <v>0</v>
      </c>
      <c r="I512" s="52">
        <f>I513+I514+I515</f>
        <v>3774.1</v>
      </c>
      <c r="J512" s="52">
        <f>J513+J514+J515</f>
        <v>3826</v>
      </c>
      <c r="K512" s="315">
        <f t="shared" si="114"/>
        <v>0</v>
      </c>
      <c r="L512" s="52">
        <f>L513+L514+L515</f>
        <v>3774.1</v>
      </c>
      <c r="M512" s="320">
        <f t="shared" si="119"/>
        <v>0</v>
      </c>
      <c r="N512" s="65">
        <f>N513+N514+N515</f>
        <v>3770.8</v>
      </c>
      <c r="O512" s="52">
        <f>O513+O514+O515</f>
        <v>3770.8</v>
      </c>
      <c r="P512" s="315">
        <f t="shared" si="117"/>
        <v>0</v>
      </c>
      <c r="Q512" s="39"/>
      <c r="R512" s="40"/>
      <c r="S512" s="40"/>
      <c r="T512" s="214"/>
      <c r="U512" s="214"/>
      <c r="V512" s="231"/>
      <c r="W512" s="231"/>
      <c r="X512" s="231"/>
      <c r="Y512" s="231"/>
      <c r="Z512" s="231"/>
      <c r="AA512" s="231"/>
      <c r="AB512" s="231"/>
      <c r="AC512" s="231"/>
      <c r="AD512" s="231"/>
      <c r="AE512" s="231"/>
      <c r="AF512" s="231"/>
      <c r="AG512" s="231"/>
      <c r="AH512" s="231"/>
      <c r="AI512" s="231"/>
      <c r="AJ512" s="231"/>
      <c r="AK512" s="231"/>
      <c r="AL512" s="231"/>
      <c r="AM512" s="231"/>
      <c r="AN512" s="231"/>
      <c r="AO512" s="231"/>
      <c r="AP512" s="231"/>
      <c r="AQ512" s="231"/>
      <c r="AR512" s="231"/>
    </row>
    <row r="513" spans="1:44" s="31" customFormat="1" x14ac:dyDescent="0.2">
      <c r="A513" s="84" t="s">
        <v>84</v>
      </c>
      <c r="B513" s="54" t="s">
        <v>411</v>
      </c>
      <c r="C513" s="60" t="s">
        <v>108</v>
      </c>
      <c r="D513" s="60" t="s">
        <v>412</v>
      </c>
      <c r="E513" s="60" t="s">
        <v>83</v>
      </c>
      <c r="F513" s="52">
        <f>2300.4+1031.4+19.1+51.9</f>
        <v>3402.8</v>
      </c>
      <c r="G513" s="52">
        <f>2300.4+1031.4+19.1+51.9</f>
        <v>3402.8</v>
      </c>
      <c r="H513" s="315">
        <f t="shared" si="118"/>
        <v>0</v>
      </c>
      <c r="I513" s="52">
        <f>2300.4+1031.4+19.1</f>
        <v>3350.9</v>
      </c>
      <c r="J513" s="52">
        <f>3402.8</f>
        <v>3402.8</v>
      </c>
      <c r="K513" s="315">
        <f t="shared" si="114"/>
        <v>0</v>
      </c>
      <c r="L513" s="52">
        <f>2300.4+1031.4+19.1</f>
        <v>3350.9</v>
      </c>
      <c r="M513" s="320">
        <f t="shared" si="119"/>
        <v>0</v>
      </c>
      <c r="N513" s="65">
        <f>2300.4+1031.4+15.8</f>
        <v>3347.6000000000004</v>
      </c>
      <c r="O513" s="52">
        <f>2300.4+1031.4+15.8</f>
        <v>3347.6000000000004</v>
      </c>
      <c r="P513" s="315">
        <f t="shared" si="117"/>
        <v>0</v>
      </c>
      <c r="Q513" s="39"/>
      <c r="R513" s="40"/>
      <c r="S513" s="40"/>
      <c r="T513" s="214"/>
      <c r="U513" s="214"/>
      <c r="V513" s="231"/>
      <c r="W513" s="231"/>
      <c r="X513" s="231"/>
      <c r="Y513" s="231"/>
      <c r="Z513" s="231"/>
      <c r="AA513" s="231"/>
      <c r="AB513" s="231"/>
      <c r="AC513" s="231"/>
      <c r="AD513" s="231"/>
      <c r="AE513" s="231"/>
      <c r="AF513" s="231"/>
      <c r="AG513" s="231"/>
      <c r="AH513" s="231"/>
      <c r="AI513" s="231"/>
      <c r="AJ513" s="231"/>
      <c r="AK513" s="231"/>
      <c r="AL513" s="231"/>
      <c r="AM513" s="231"/>
      <c r="AN513" s="231"/>
      <c r="AO513" s="231"/>
      <c r="AP513" s="231"/>
      <c r="AQ513" s="231"/>
      <c r="AR513" s="231"/>
    </row>
    <row r="514" spans="1:44" s="31" customFormat="1" ht="25.5" x14ac:dyDescent="0.2">
      <c r="A514" s="84" t="s">
        <v>73</v>
      </c>
      <c r="B514" s="54" t="s">
        <v>411</v>
      </c>
      <c r="C514" s="60" t="s">
        <v>108</v>
      </c>
      <c r="D514" s="60" t="s">
        <v>412</v>
      </c>
      <c r="E514" s="60" t="s">
        <v>70</v>
      </c>
      <c r="F514" s="52">
        <f>362.2+60</f>
        <v>422.2</v>
      </c>
      <c r="G514" s="52">
        <f>362.2+60</f>
        <v>422.2</v>
      </c>
      <c r="H514" s="315">
        <f t="shared" si="118"/>
        <v>0</v>
      </c>
      <c r="I514" s="52">
        <v>422.2</v>
      </c>
      <c r="J514" s="52">
        <f>362.2+60</f>
        <v>422.2</v>
      </c>
      <c r="K514" s="315">
        <f t="shared" si="114"/>
        <v>0</v>
      </c>
      <c r="L514" s="52">
        <v>422.2</v>
      </c>
      <c r="M514" s="320">
        <f t="shared" si="119"/>
        <v>0</v>
      </c>
      <c r="N514" s="65">
        <v>422.2</v>
      </c>
      <c r="O514" s="52">
        <v>422.2</v>
      </c>
      <c r="P514" s="315">
        <f t="shared" si="117"/>
        <v>0</v>
      </c>
      <c r="Q514" s="39"/>
      <c r="R514" s="40"/>
      <c r="S514" s="40"/>
      <c r="T514" s="214"/>
      <c r="U514" s="214"/>
      <c r="V514" s="231"/>
      <c r="W514" s="231"/>
      <c r="X514" s="231"/>
      <c r="Y514" s="231"/>
      <c r="Z514" s="231"/>
      <c r="AA514" s="231"/>
      <c r="AB514" s="231"/>
      <c r="AC514" s="231"/>
      <c r="AD514" s="231"/>
      <c r="AE514" s="231"/>
      <c r="AF514" s="231"/>
      <c r="AG514" s="231"/>
      <c r="AH514" s="231"/>
      <c r="AI514" s="231"/>
      <c r="AJ514" s="231"/>
      <c r="AK514" s="231"/>
      <c r="AL514" s="231"/>
      <c r="AM514" s="231"/>
      <c r="AN514" s="231"/>
      <c r="AO514" s="231"/>
      <c r="AP514" s="231"/>
      <c r="AQ514" s="231"/>
      <c r="AR514" s="231"/>
    </row>
    <row r="515" spans="1:44" s="31" customFormat="1" x14ac:dyDescent="0.2">
      <c r="A515" s="84" t="s">
        <v>413</v>
      </c>
      <c r="B515" s="54" t="s">
        <v>411</v>
      </c>
      <c r="C515" s="60" t="s">
        <v>108</v>
      </c>
      <c r="D515" s="60" t="s">
        <v>412</v>
      </c>
      <c r="E515" s="60" t="s">
        <v>320</v>
      </c>
      <c r="F515" s="52">
        <v>1</v>
      </c>
      <c r="G515" s="52">
        <v>1</v>
      </c>
      <c r="H515" s="315">
        <f t="shared" si="118"/>
        <v>0</v>
      </c>
      <c r="I515" s="52">
        <v>1</v>
      </c>
      <c r="J515" s="52">
        <v>1</v>
      </c>
      <c r="K515" s="315">
        <f t="shared" si="114"/>
        <v>0</v>
      </c>
      <c r="L515" s="52">
        <v>1</v>
      </c>
      <c r="M515" s="320">
        <f t="shared" si="119"/>
        <v>0</v>
      </c>
      <c r="N515" s="65">
        <v>1</v>
      </c>
      <c r="O515" s="52">
        <v>1</v>
      </c>
      <c r="P515" s="315">
        <f t="shared" si="117"/>
        <v>0</v>
      </c>
      <c r="Q515" s="39"/>
      <c r="R515" s="40"/>
      <c r="S515" s="40"/>
      <c r="T515" s="214"/>
      <c r="U515" s="214"/>
      <c r="V515" s="231"/>
      <c r="W515" s="231"/>
      <c r="X515" s="231"/>
      <c r="Y515" s="231"/>
      <c r="Z515" s="231"/>
      <c r="AA515" s="231"/>
      <c r="AB515" s="231"/>
      <c r="AC515" s="231"/>
      <c r="AD515" s="231"/>
      <c r="AE515" s="231"/>
      <c r="AF515" s="231"/>
      <c r="AG515" s="231"/>
      <c r="AH515" s="231"/>
      <c r="AI515" s="231"/>
      <c r="AJ515" s="231"/>
      <c r="AK515" s="231"/>
      <c r="AL515" s="231"/>
      <c r="AM515" s="231"/>
      <c r="AN515" s="231"/>
      <c r="AO515" s="231"/>
      <c r="AP515" s="231"/>
      <c r="AQ515" s="231"/>
      <c r="AR515" s="231"/>
    </row>
    <row r="516" spans="1:44" s="31" customFormat="1" ht="29.25" customHeight="1" x14ac:dyDescent="0.2">
      <c r="A516" s="232" t="s">
        <v>731</v>
      </c>
      <c r="B516" s="225" t="s">
        <v>125</v>
      </c>
      <c r="C516" s="226"/>
      <c r="D516" s="226"/>
      <c r="E516" s="226"/>
      <c r="F516" s="227">
        <f>F523+F536+F517</f>
        <v>16398.5</v>
      </c>
      <c r="G516" s="227">
        <f>G523+G536+G517</f>
        <v>16450.3</v>
      </c>
      <c r="H516" s="315">
        <f t="shared" si="118"/>
        <v>51.799999999999272</v>
      </c>
      <c r="I516" s="227">
        <f t="shared" ref="I516" si="120">I523+I536+I517</f>
        <v>15188.3</v>
      </c>
      <c r="J516" s="227">
        <f>J523+J536+J517</f>
        <v>8314.2999999999993</v>
      </c>
      <c r="K516" s="315">
        <f t="shared" si="114"/>
        <v>-8136</v>
      </c>
      <c r="L516" s="227">
        <f t="shared" ref="L516:O516" si="121">L523+L536+L517</f>
        <v>3261.3</v>
      </c>
      <c r="M516" s="320">
        <f t="shared" si="119"/>
        <v>-11927</v>
      </c>
      <c r="N516" s="227">
        <f t="shared" ref="N516" si="122">N523+N536+N517</f>
        <v>14388.3</v>
      </c>
      <c r="O516" s="227">
        <f t="shared" si="121"/>
        <v>2461.3000000000002</v>
      </c>
      <c r="P516" s="315">
        <f t="shared" si="117"/>
        <v>-11927</v>
      </c>
      <c r="Q516" s="39"/>
      <c r="R516" s="40"/>
      <c r="S516" s="40"/>
      <c r="T516" s="214"/>
      <c r="U516" s="214"/>
      <c r="V516" s="231"/>
      <c r="W516" s="231"/>
      <c r="X516" s="231"/>
      <c r="Y516" s="231"/>
      <c r="Z516" s="231"/>
      <c r="AA516" s="231"/>
      <c r="AB516" s="231"/>
      <c r="AC516" s="231"/>
      <c r="AD516" s="231"/>
      <c r="AE516" s="231"/>
      <c r="AF516" s="231"/>
      <c r="AG516" s="231"/>
      <c r="AH516" s="231"/>
      <c r="AI516" s="231"/>
      <c r="AJ516" s="231"/>
      <c r="AK516" s="231"/>
      <c r="AL516" s="231"/>
      <c r="AM516" s="231"/>
      <c r="AN516" s="231"/>
      <c r="AO516" s="231"/>
      <c r="AP516" s="231"/>
      <c r="AQ516" s="231"/>
      <c r="AR516" s="231"/>
    </row>
    <row r="517" spans="1:44" s="31" customFormat="1" ht="15.75" customHeight="1" x14ac:dyDescent="0.2">
      <c r="A517" s="56" t="s">
        <v>270</v>
      </c>
      <c r="B517" s="128" t="s">
        <v>402</v>
      </c>
      <c r="C517" s="127" t="s">
        <v>59</v>
      </c>
      <c r="D517" s="127" t="s">
        <v>45</v>
      </c>
      <c r="E517" s="127"/>
      <c r="F517" s="129">
        <f>F518</f>
        <v>8435.4</v>
      </c>
      <c r="G517" s="129">
        <f>G518</f>
        <v>8435.4</v>
      </c>
      <c r="H517" s="315">
        <f t="shared" si="118"/>
        <v>0</v>
      </c>
      <c r="I517" s="129">
        <f t="shared" ref="I517:O517" si="123">I518</f>
        <v>12295.8</v>
      </c>
      <c r="J517" s="129">
        <f>J518</f>
        <v>2.8421709430404007E-13</v>
      </c>
      <c r="K517" s="315">
        <f t="shared" si="114"/>
        <v>-8435.4</v>
      </c>
      <c r="L517" s="129">
        <f t="shared" si="123"/>
        <v>368.80000000000018</v>
      </c>
      <c r="M517" s="465">
        <f t="shared" si="119"/>
        <v>-11927</v>
      </c>
      <c r="N517" s="129">
        <f t="shared" si="123"/>
        <v>12295.8</v>
      </c>
      <c r="O517" s="129">
        <f t="shared" si="123"/>
        <v>368.80000000000018</v>
      </c>
      <c r="P517" s="315">
        <f t="shared" si="117"/>
        <v>-11927</v>
      </c>
      <c r="Q517" s="51"/>
      <c r="R517" s="40"/>
      <c r="S517" s="40"/>
      <c r="T517" s="214"/>
      <c r="U517" s="214"/>
      <c r="V517" s="231"/>
      <c r="W517" s="231"/>
      <c r="X517" s="231"/>
      <c r="Y517" s="231"/>
      <c r="Z517" s="231"/>
      <c r="AA517" s="231"/>
      <c r="AB517" s="231"/>
      <c r="AC517" s="231"/>
      <c r="AD517" s="231"/>
      <c r="AE517" s="231"/>
      <c r="AF517" s="231"/>
      <c r="AG517" s="231"/>
      <c r="AH517" s="231"/>
      <c r="AI517" s="231"/>
      <c r="AJ517" s="231"/>
      <c r="AK517" s="231"/>
      <c r="AL517" s="231"/>
      <c r="AM517" s="231"/>
      <c r="AN517" s="231"/>
      <c r="AO517" s="231"/>
      <c r="AP517" s="231"/>
      <c r="AQ517" s="231"/>
      <c r="AR517" s="231"/>
    </row>
    <row r="518" spans="1:44" s="31" customFormat="1" ht="13.5" customHeight="1" x14ac:dyDescent="0.2">
      <c r="A518" s="238" t="s">
        <v>401</v>
      </c>
      <c r="B518" s="128" t="s">
        <v>400</v>
      </c>
      <c r="C518" s="127" t="s">
        <v>59</v>
      </c>
      <c r="D518" s="127" t="s">
        <v>45</v>
      </c>
      <c r="E518" s="127"/>
      <c r="F518" s="129">
        <f>F519+F521</f>
        <v>8435.4</v>
      </c>
      <c r="G518" s="129">
        <f>G519+G521</f>
        <v>8435.4</v>
      </c>
      <c r="H518" s="315">
        <f t="shared" si="118"/>
        <v>0</v>
      </c>
      <c r="I518" s="129">
        <f t="shared" ref="I518" si="124">I519+I521</f>
        <v>12295.8</v>
      </c>
      <c r="J518" s="129">
        <f>J519+J521</f>
        <v>2.8421709430404007E-13</v>
      </c>
      <c r="K518" s="315">
        <f t="shared" si="114"/>
        <v>-8435.4</v>
      </c>
      <c r="L518" s="129">
        <f t="shared" ref="L518:O518" si="125">L519+L521</f>
        <v>368.80000000000018</v>
      </c>
      <c r="M518" s="465">
        <f t="shared" si="119"/>
        <v>-11927</v>
      </c>
      <c r="N518" s="129">
        <f t="shared" ref="N518" si="126">N519+N521</f>
        <v>12295.8</v>
      </c>
      <c r="O518" s="129">
        <f t="shared" si="125"/>
        <v>368.80000000000018</v>
      </c>
      <c r="P518" s="315">
        <f t="shared" si="117"/>
        <v>-11927</v>
      </c>
      <c r="Q518" s="39"/>
      <c r="R518" s="40"/>
      <c r="S518" s="40"/>
      <c r="T518" s="214"/>
      <c r="U518" s="214"/>
      <c r="V518" s="231"/>
      <c r="W518" s="231"/>
      <c r="X518" s="231"/>
      <c r="Y518" s="231"/>
      <c r="Z518" s="231"/>
      <c r="AA518" s="231"/>
      <c r="AB518" s="231"/>
      <c r="AC518" s="231"/>
      <c r="AD518" s="231"/>
      <c r="AE518" s="231"/>
      <c r="AF518" s="231"/>
      <c r="AG518" s="231"/>
      <c r="AH518" s="231"/>
      <c r="AI518" s="231"/>
      <c r="AJ518" s="231"/>
      <c r="AK518" s="231"/>
      <c r="AL518" s="231"/>
      <c r="AM518" s="231"/>
      <c r="AN518" s="231"/>
      <c r="AO518" s="231"/>
      <c r="AP518" s="231"/>
      <c r="AQ518" s="231"/>
      <c r="AR518" s="231"/>
    </row>
    <row r="519" spans="1:44" s="31" customFormat="1" ht="38.25" customHeight="1" x14ac:dyDescent="0.2">
      <c r="A519" s="238" t="s">
        <v>399</v>
      </c>
      <c r="B519" s="128" t="s">
        <v>398</v>
      </c>
      <c r="C519" s="127" t="s">
        <v>59</v>
      </c>
      <c r="D519" s="127" t="s">
        <v>45</v>
      </c>
      <c r="E519" s="127"/>
      <c r="F519" s="129">
        <f>F520</f>
        <v>3454.2999999999997</v>
      </c>
      <c r="G519" s="129">
        <f>G520</f>
        <v>3454.2999999999997</v>
      </c>
      <c r="H519" s="315">
        <f t="shared" si="118"/>
        <v>0</v>
      </c>
      <c r="I519" s="129">
        <f t="shared" ref="I519:O519" si="127">I520</f>
        <v>5035.1000000000004</v>
      </c>
      <c r="J519" s="129">
        <f>J520</f>
        <v>2.8421709430404007E-13</v>
      </c>
      <c r="K519" s="315">
        <f t="shared" si="114"/>
        <v>-3454.2999999999993</v>
      </c>
      <c r="L519" s="129">
        <f t="shared" si="127"/>
        <v>151</v>
      </c>
      <c r="M519" s="465">
        <f t="shared" si="119"/>
        <v>-4884.1000000000004</v>
      </c>
      <c r="N519" s="129">
        <f t="shared" si="127"/>
        <v>5035.1000000000004</v>
      </c>
      <c r="O519" s="129">
        <f t="shared" si="127"/>
        <v>151</v>
      </c>
      <c r="P519" s="315">
        <f t="shared" si="117"/>
        <v>-4884.1000000000004</v>
      </c>
      <c r="Q519" s="39"/>
      <c r="R519" s="40"/>
      <c r="S519" s="40"/>
      <c r="T519" s="214"/>
      <c r="U519" s="214"/>
      <c r="V519" s="231"/>
      <c r="W519" s="231"/>
      <c r="X519" s="231"/>
      <c r="Y519" s="231"/>
      <c r="Z519" s="231"/>
      <c r="AA519" s="231"/>
      <c r="AB519" s="231"/>
      <c r="AC519" s="231"/>
      <c r="AD519" s="231"/>
      <c r="AE519" s="231"/>
      <c r="AF519" s="231"/>
      <c r="AG519" s="231"/>
      <c r="AH519" s="231"/>
      <c r="AI519" s="231"/>
      <c r="AJ519" s="231"/>
      <c r="AK519" s="231"/>
      <c r="AL519" s="231"/>
      <c r="AM519" s="231"/>
      <c r="AN519" s="231"/>
      <c r="AO519" s="231"/>
      <c r="AP519" s="231"/>
      <c r="AQ519" s="231"/>
      <c r="AR519" s="231"/>
    </row>
    <row r="520" spans="1:44" s="31" customFormat="1" ht="13.5" customHeight="1" x14ac:dyDescent="0.2">
      <c r="A520" s="93" t="s">
        <v>167</v>
      </c>
      <c r="B520" s="128" t="s">
        <v>398</v>
      </c>
      <c r="C520" s="127" t="s">
        <v>59</v>
      </c>
      <c r="D520" s="127" t="s">
        <v>45</v>
      </c>
      <c r="E520" s="127" t="s">
        <v>164</v>
      </c>
      <c r="F520" s="129">
        <f>3350.6+103.7</f>
        <v>3454.2999999999997</v>
      </c>
      <c r="G520" s="129">
        <f>3350.6+103.7</f>
        <v>3454.2999999999997</v>
      </c>
      <c r="H520" s="315">
        <f t="shared" si="118"/>
        <v>0</v>
      </c>
      <c r="I520" s="129">
        <f>4884.1+151</f>
        <v>5035.1000000000004</v>
      </c>
      <c r="J520" s="129">
        <f>3454.3-3350.6-8.6-95.1</f>
        <v>2.8421709430404007E-13</v>
      </c>
      <c r="K520" s="315">
        <f t="shared" si="114"/>
        <v>-3454.2999999999993</v>
      </c>
      <c r="L520" s="129">
        <f>5035.1-4884.1</f>
        <v>151</v>
      </c>
      <c r="M520" s="465">
        <f t="shared" si="119"/>
        <v>-4884.1000000000004</v>
      </c>
      <c r="N520" s="129">
        <f>4884.1+151</f>
        <v>5035.1000000000004</v>
      </c>
      <c r="O520" s="129">
        <f>5035.1-4884.1</f>
        <v>151</v>
      </c>
      <c r="P520" s="315">
        <f t="shared" si="117"/>
        <v>-4884.1000000000004</v>
      </c>
      <c r="Q520" s="39"/>
      <c r="R520" s="40"/>
      <c r="S520" s="40"/>
      <c r="T520" s="214"/>
      <c r="U520" s="214"/>
      <c r="V520" s="231"/>
      <c r="W520" s="231"/>
      <c r="X520" s="231"/>
      <c r="Y520" s="231"/>
      <c r="Z520" s="231"/>
      <c r="AA520" s="231"/>
      <c r="AB520" s="231"/>
      <c r="AC520" s="231"/>
      <c r="AD520" s="231"/>
      <c r="AE520" s="231"/>
      <c r="AF520" s="231"/>
      <c r="AG520" s="231"/>
      <c r="AH520" s="231"/>
      <c r="AI520" s="231"/>
      <c r="AJ520" s="231"/>
      <c r="AK520" s="231"/>
      <c r="AL520" s="231"/>
      <c r="AM520" s="231"/>
      <c r="AN520" s="231"/>
      <c r="AO520" s="231"/>
      <c r="AP520" s="231"/>
      <c r="AQ520" s="231"/>
      <c r="AR520" s="231"/>
    </row>
    <row r="521" spans="1:44" s="31" customFormat="1" ht="27.75" customHeight="1" x14ac:dyDescent="0.2">
      <c r="A521" s="247" t="s">
        <v>397</v>
      </c>
      <c r="B521" s="128" t="s">
        <v>396</v>
      </c>
      <c r="C521" s="127" t="s">
        <v>59</v>
      </c>
      <c r="D521" s="127" t="s">
        <v>45</v>
      </c>
      <c r="E521" s="127"/>
      <c r="F521" s="52">
        <f>F522</f>
        <v>4981.1000000000004</v>
      </c>
      <c r="G521" s="52">
        <f>G522</f>
        <v>4981.1000000000004</v>
      </c>
      <c r="H521" s="315">
        <f t="shared" si="118"/>
        <v>0</v>
      </c>
      <c r="I521" s="52">
        <f t="shared" ref="I521:O521" si="128">I522</f>
        <v>7260.7</v>
      </c>
      <c r="J521" s="52">
        <f>J522</f>
        <v>0</v>
      </c>
      <c r="K521" s="315">
        <f t="shared" si="114"/>
        <v>-4981.1000000000004</v>
      </c>
      <c r="L521" s="52">
        <f t="shared" si="128"/>
        <v>217.80000000000018</v>
      </c>
      <c r="M521" s="465">
        <f t="shared" si="119"/>
        <v>-7042.9</v>
      </c>
      <c r="N521" s="52">
        <f t="shared" si="128"/>
        <v>7260.7</v>
      </c>
      <c r="O521" s="52">
        <f t="shared" si="128"/>
        <v>217.80000000000018</v>
      </c>
      <c r="P521" s="315">
        <f t="shared" si="117"/>
        <v>-7042.9</v>
      </c>
      <c r="Q521" s="39"/>
      <c r="R521" s="40"/>
      <c r="S521" s="40"/>
      <c r="T521" s="214"/>
      <c r="U521" s="214"/>
      <c r="V521" s="231"/>
      <c r="W521" s="231"/>
      <c r="X521" s="231"/>
      <c r="Y521" s="231"/>
      <c r="Z521" s="231"/>
      <c r="AA521" s="231"/>
      <c r="AB521" s="231"/>
      <c r="AC521" s="231"/>
      <c r="AD521" s="231"/>
      <c r="AE521" s="231"/>
      <c r="AF521" s="231"/>
      <c r="AG521" s="231"/>
      <c r="AH521" s="231"/>
      <c r="AI521" s="231"/>
      <c r="AJ521" s="231"/>
      <c r="AK521" s="231"/>
      <c r="AL521" s="231"/>
      <c r="AM521" s="231"/>
      <c r="AN521" s="231"/>
      <c r="AO521" s="231"/>
      <c r="AP521" s="231"/>
      <c r="AQ521" s="231"/>
      <c r="AR521" s="231"/>
    </row>
    <row r="522" spans="1:44" s="31" customFormat="1" ht="12.75" customHeight="1" x14ac:dyDescent="0.2">
      <c r="A522" s="93" t="s">
        <v>167</v>
      </c>
      <c r="B522" s="128" t="s">
        <v>396</v>
      </c>
      <c r="C522" s="127" t="s">
        <v>59</v>
      </c>
      <c r="D522" s="127" t="s">
        <v>45</v>
      </c>
      <c r="E522" s="127" t="s">
        <v>164</v>
      </c>
      <c r="F522" s="52">
        <f>4831.6+149.5</f>
        <v>4981.1000000000004</v>
      </c>
      <c r="G522" s="52">
        <f>4831.6+149.5</f>
        <v>4981.1000000000004</v>
      </c>
      <c r="H522" s="315">
        <f t="shared" si="118"/>
        <v>0</v>
      </c>
      <c r="I522" s="52">
        <f>7042.9+217.8</f>
        <v>7260.7</v>
      </c>
      <c r="J522" s="52">
        <f>4981.1-4831.6-149.5</f>
        <v>0</v>
      </c>
      <c r="K522" s="315">
        <f t="shared" si="114"/>
        <v>-4981.1000000000004</v>
      </c>
      <c r="L522" s="52">
        <f>7260.7-7042.9</f>
        <v>217.80000000000018</v>
      </c>
      <c r="M522" s="465">
        <f t="shared" si="119"/>
        <v>-7042.9</v>
      </c>
      <c r="N522" s="52">
        <f>7042.9+217.8</f>
        <v>7260.7</v>
      </c>
      <c r="O522" s="52">
        <f>7260.7-7042.9</f>
        <v>217.80000000000018</v>
      </c>
      <c r="P522" s="315">
        <f t="shared" si="117"/>
        <v>-7042.9</v>
      </c>
      <c r="Q522" s="39"/>
      <c r="R522" s="40"/>
      <c r="S522" s="40"/>
      <c r="T522" s="214"/>
      <c r="U522" s="214"/>
      <c r="V522" s="231"/>
      <c r="W522" s="231"/>
      <c r="X522" s="231"/>
      <c r="Y522" s="231"/>
      <c r="Z522" s="231"/>
      <c r="AA522" s="231"/>
      <c r="AB522" s="231"/>
      <c r="AC522" s="231"/>
      <c r="AD522" s="231"/>
      <c r="AE522" s="231"/>
      <c r="AF522" s="231"/>
      <c r="AG522" s="231"/>
      <c r="AH522" s="231"/>
      <c r="AI522" s="231"/>
      <c r="AJ522" s="231"/>
      <c r="AK522" s="231"/>
      <c r="AL522" s="231"/>
      <c r="AM522" s="231"/>
      <c r="AN522" s="231"/>
      <c r="AO522" s="231"/>
      <c r="AP522" s="231"/>
      <c r="AQ522" s="231"/>
      <c r="AR522" s="231"/>
    </row>
    <row r="523" spans="1:44" s="31" customFormat="1" x14ac:dyDescent="0.2">
      <c r="A523" s="84" t="s">
        <v>66</v>
      </c>
      <c r="B523" s="54" t="s">
        <v>124</v>
      </c>
      <c r="C523" s="94"/>
      <c r="D523" s="94"/>
      <c r="E523" s="94"/>
      <c r="F523" s="52">
        <f>F524+F527+F530+F533</f>
        <v>7963.0999999999995</v>
      </c>
      <c r="G523" s="52">
        <f>G524+G527+G530+G533</f>
        <v>8014.9</v>
      </c>
      <c r="H523" s="315">
        <f t="shared" si="118"/>
        <v>51.800000000000182</v>
      </c>
      <c r="I523" s="52">
        <f>I524+I527+I530+I533</f>
        <v>2892.5</v>
      </c>
      <c r="J523" s="52">
        <f>J524+J527+J530+J533</f>
        <v>8314.2999999999993</v>
      </c>
      <c r="K523" s="315">
        <f t="shared" si="114"/>
        <v>299.39999999999964</v>
      </c>
      <c r="L523" s="52">
        <f>L524+L527+L530+L533</f>
        <v>2892.5</v>
      </c>
      <c r="M523" s="320">
        <f t="shared" si="119"/>
        <v>0</v>
      </c>
      <c r="N523" s="65">
        <f>N524+N527+N530+N533</f>
        <v>2092.5</v>
      </c>
      <c r="O523" s="52">
        <f>O524+O527+O530+O533</f>
        <v>2092.5</v>
      </c>
      <c r="P523" s="315">
        <f t="shared" si="117"/>
        <v>0</v>
      </c>
      <c r="Q523" s="39"/>
      <c r="R523" s="40"/>
      <c r="S523" s="40"/>
      <c r="T523" s="214"/>
      <c r="U523" s="214"/>
      <c r="V523" s="231"/>
      <c r="W523" s="231"/>
      <c r="X523" s="231"/>
      <c r="Y523" s="231"/>
      <c r="Z523" s="231"/>
      <c r="AA523" s="231"/>
      <c r="AB523" s="231"/>
      <c r="AC523" s="231"/>
      <c r="AD523" s="231"/>
      <c r="AE523" s="231"/>
      <c r="AF523" s="231"/>
      <c r="AG523" s="231"/>
      <c r="AH523" s="231"/>
      <c r="AI523" s="231"/>
      <c r="AJ523" s="231"/>
      <c r="AK523" s="231"/>
      <c r="AL523" s="231"/>
      <c r="AM523" s="231"/>
      <c r="AN523" s="231"/>
      <c r="AO523" s="231"/>
      <c r="AP523" s="231"/>
      <c r="AQ523" s="231"/>
      <c r="AR523" s="231"/>
    </row>
    <row r="524" spans="1:44" s="31" customFormat="1" ht="25.5" x14ac:dyDescent="0.2">
      <c r="A524" s="84" t="s">
        <v>395</v>
      </c>
      <c r="B524" s="54" t="s">
        <v>394</v>
      </c>
      <c r="C524" s="60" t="s">
        <v>59</v>
      </c>
      <c r="D524" s="60" t="s">
        <v>45</v>
      </c>
      <c r="E524" s="60"/>
      <c r="F524" s="52">
        <f t="shared" ref="F524:O525" si="129">F525</f>
        <v>368.4</v>
      </c>
      <c r="G524" s="52">
        <f t="shared" si="129"/>
        <v>382.4</v>
      </c>
      <c r="H524" s="315">
        <f t="shared" si="118"/>
        <v>14</v>
      </c>
      <c r="I524" s="52">
        <f t="shared" si="129"/>
        <v>631.20000000000005</v>
      </c>
      <c r="J524" s="52">
        <f t="shared" si="129"/>
        <v>382.4</v>
      </c>
      <c r="K524" s="315">
        <f t="shared" si="114"/>
        <v>0</v>
      </c>
      <c r="L524" s="52">
        <f t="shared" si="129"/>
        <v>631.20000000000005</v>
      </c>
      <c r="M524" s="320">
        <f t="shared" si="119"/>
        <v>0</v>
      </c>
      <c r="N524" s="65">
        <f t="shared" si="129"/>
        <v>631.20000000000005</v>
      </c>
      <c r="O524" s="52">
        <f t="shared" si="129"/>
        <v>631.20000000000005</v>
      </c>
      <c r="P524" s="315">
        <f t="shared" si="117"/>
        <v>0</v>
      </c>
      <c r="Q524" s="39"/>
      <c r="R524" s="40"/>
      <c r="S524" s="40"/>
      <c r="T524" s="214"/>
      <c r="U524" s="214"/>
      <c r="V524" s="231"/>
      <c r="W524" s="231"/>
      <c r="X524" s="231"/>
      <c r="Y524" s="231"/>
      <c r="Z524" s="231"/>
      <c r="AA524" s="231"/>
      <c r="AB524" s="231"/>
      <c r="AC524" s="231"/>
      <c r="AD524" s="231"/>
      <c r="AE524" s="231"/>
      <c r="AF524" s="231"/>
      <c r="AG524" s="231"/>
      <c r="AH524" s="231"/>
      <c r="AI524" s="231"/>
      <c r="AJ524" s="231"/>
      <c r="AK524" s="231"/>
      <c r="AL524" s="231"/>
      <c r="AM524" s="231"/>
      <c r="AN524" s="231"/>
      <c r="AO524" s="231"/>
      <c r="AP524" s="231"/>
      <c r="AQ524" s="231"/>
      <c r="AR524" s="231"/>
    </row>
    <row r="525" spans="1:44" s="31" customFormat="1" ht="25.5" x14ac:dyDescent="0.2">
      <c r="A525" s="84" t="s">
        <v>393</v>
      </c>
      <c r="B525" s="54" t="s">
        <v>392</v>
      </c>
      <c r="C525" s="60" t="s">
        <v>59</v>
      </c>
      <c r="D525" s="60" t="s">
        <v>45</v>
      </c>
      <c r="E525" s="60"/>
      <c r="F525" s="52">
        <f t="shared" si="129"/>
        <v>368.4</v>
      </c>
      <c r="G525" s="52">
        <f t="shared" si="129"/>
        <v>382.4</v>
      </c>
      <c r="H525" s="315">
        <f t="shared" si="118"/>
        <v>14</v>
      </c>
      <c r="I525" s="52">
        <f t="shared" si="129"/>
        <v>631.20000000000005</v>
      </c>
      <c r="J525" s="52">
        <f t="shared" si="129"/>
        <v>382.4</v>
      </c>
      <c r="K525" s="315">
        <f t="shared" si="114"/>
        <v>0</v>
      </c>
      <c r="L525" s="52">
        <f t="shared" si="129"/>
        <v>631.20000000000005</v>
      </c>
      <c r="M525" s="320">
        <f t="shared" si="119"/>
        <v>0</v>
      </c>
      <c r="N525" s="65">
        <f t="shared" si="129"/>
        <v>631.20000000000005</v>
      </c>
      <c r="O525" s="52">
        <f t="shared" si="129"/>
        <v>631.20000000000005</v>
      </c>
      <c r="P525" s="315">
        <f t="shared" si="117"/>
        <v>0</v>
      </c>
      <c r="Q525" s="39"/>
      <c r="R525" s="40"/>
      <c r="S525" s="40"/>
      <c r="T525" s="214"/>
      <c r="U525" s="214"/>
      <c r="V525" s="231"/>
      <c r="W525" s="231"/>
      <c r="X525" s="231"/>
      <c r="Y525" s="231"/>
      <c r="Z525" s="231"/>
      <c r="AA525" s="231"/>
      <c r="AB525" s="231"/>
      <c r="AC525" s="231"/>
      <c r="AD525" s="231"/>
      <c r="AE525" s="231"/>
      <c r="AF525" s="231"/>
      <c r="AG525" s="231"/>
      <c r="AH525" s="231"/>
      <c r="AI525" s="231"/>
      <c r="AJ525" s="231"/>
      <c r="AK525" s="231"/>
      <c r="AL525" s="231"/>
      <c r="AM525" s="231"/>
      <c r="AN525" s="231"/>
      <c r="AO525" s="231"/>
      <c r="AP525" s="231"/>
      <c r="AQ525" s="231"/>
      <c r="AR525" s="231"/>
    </row>
    <row r="526" spans="1:44" s="31" customFormat="1" ht="26.25" customHeight="1" x14ac:dyDescent="0.2">
      <c r="A526" s="84" t="s">
        <v>73</v>
      </c>
      <c r="B526" s="54" t="s">
        <v>392</v>
      </c>
      <c r="C526" s="60" t="s">
        <v>59</v>
      </c>
      <c r="D526" s="60" t="s">
        <v>45</v>
      </c>
      <c r="E526" s="60" t="s">
        <v>70</v>
      </c>
      <c r="F526" s="52">
        <f>710.1+368.4-710.1</f>
        <v>368.4</v>
      </c>
      <c r="G526" s="52">
        <f>368.4+14</f>
        <v>382.4</v>
      </c>
      <c r="H526" s="315">
        <f t="shared" si="118"/>
        <v>14</v>
      </c>
      <c r="I526" s="52">
        <f>1000-368.8</f>
        <v>631.20000000000005</v>
      </c>
      <c r="J526" s="52">
        <f>368.4+14</f>
        <v>382.4</v>
      </c>
      <c r="K526" s="315">
        <f t="shared" si="114"/>
        <v>0</v>
      </c>
      <c r="L526" s="52">
        <f>1000-368.8</f>
        <v>631.20000000000005</v>
      </c>
      <c r="M526" s="320">
        <f t="shared" si="119"/>
        <v>0</v>
      </c>
      <c r="N526" s="65">
        <f>1000-368.8</f>
        <v>631.20000000000005</v>
      </c>
      <c r="O526" s="52">
        <f>1000-368.8</f>
        <v>631.20000000000005</v>
      </c>
      <c r="P526" s="315">
        <f t="shared" si="117"/>
        <v>0</v>
      </c>
      <c r="Q526" s="426"/>
      <c r="R526" s="426"/>
      <c r="S526" s="426"/>
      <c r="T526" s="426"/>
      <c r="U526" s="426"/>
      <c r="V526" s="231"/>
      <c r="W526" s="231"/>
      <c r="X526" s="231"/>
      <c r="Y526" s="231"/>
      <c r="Z526" s="231"/>
      <c r="AA526" s="231"/>
      <c r="AB526" s="231"/>
      <c r="AC526" s="231"/>
      <c r="AD526" s="231"/>
      <c r="AE526" s="231"/>
      <c r="AF526" s="231"/>
      <c r="AG526" s="231"/>
      <c r="AH526" s="231"/>
      <c r="AI526" s="231"/>
      <c r="AJ526" s="231"/>
      <c r="AK526" s="231"/>
      <c r="AL526" s="231"/>
      <c r="AM526" s="231"/>
      <c r="AN526" s="231"/>
      <c r="AO526" s="231"/>
      <c r="AP526" s="231"/>
      <c r="AQ526" s="231"/>
      <c r="AR526" s="231"/>
    </row>
    <row r="527" spans="1:44" s="31" customFormat="1" ht="25.5" x14ac:dyDescent="0.2">
      <c r="A527" s="93" t="s">
        <v>391</v>
      </c>
      <c r="B527" s="54" t="s">
        <v>390</v>
      </c>
      <c r="C527" s="60" t="s">
        <v>59</v>
      </c>
      <c r="D527" s="60" t="s">
        <v>45</v>
      </c>
      <c r="E527" s="60"/>
      <c r="F527" s="52">
        <f t="shared" ref="F527:O528" si="130">F528</f>
        <v>0</v>
      </c>
      <c r="G527" s="52">
        <f t="shared" si="130"/>
        <v>0</v>
      </c>
      <c r="H527" s="315">
        <f t="shared" si="118"/>
        <v>0</v>
      </c>
      <c r="I527" s="52">
        <f t="shared" si="130"/>
        <v>800</v>
      </c>
      <c r="J527" s="52">
        <f t="shared" si="130"/>
        <v>70.400000000000006</v>
      </c>
      <c r="K527" s="315">
        <f t="shared" si="114"/>
        <v>70.400000000000006</v>
      </c>
      <c r="L527" s="52">
        <f t="shared" si="130"/>
        <v>800</v>
      </c>
      <c r="M527" s="320">
        <f t="shared" si="119"/>
        <v>0</v>
      </c>
      <c r="N527" s="65">
        <f t="shared" si="130"/>
        <v>0</v>
      </c>
      <c r="O527" s="52">
        <f t="shared" si="130"/>
        <v>0</v>
      </c>
      <c r="P527" s="315">
        <f t="shared" si="117"/>
        <v>0</v>
      </c>
      <c r="Q527" s="39"/>
      <c r="R527" s="40"/>
      <c r="S527" s="40"/>
      <c r="T527" s="214"/>
      <c r="U527" s="214"/>
      <c r="V527" s="231"/>
      <c r="W527" s="231"/>
      <c r="X527" s="231"/>
      <c r="Y527" s="231"/>
      <c r="Z527" s="231"/>
      <c r="AA527" s="231"/>
      <c r="AB527" s="231"/>
      <c r="AC527" s="231"/>
      <c r="AD527" s="231"/>
      <c r="AE527" s="231"/>
      <c r="AF527" s="231"/>
      <c r="AG527" s="231"/>
      <c r="AH527" s="231"/>
      <c r="AI527" s="231"/>
      <c r="AJ527" s="231"/>
      <c r="AK527" s="231"/>
      <c r="AL527" s="231"/>
      <c r="AM527" s="231"/>
      <c r="AN527" s="231"/>
      <c r="AO527" s="231"/>
      <c r="AP527" s="231"/>
      <c r="AQ527" s="231"/>
      <c r="AR527" s="231"/>
    </row>
    <row r="528" spans="1:44" s="31" customFormat="1" ht="25.5" x14ac:dyDescent="0.2">
      <c r="A528" s="93" t="s">
        <v>389</v>
      </c>
      <c r="B528" s="54" t="s">
        <v>388</v>
      </c>
      <c r="C528" s="60" t="s">
        <v>59</v>
      </c>
      <c r="D528" s="60" t="s">
        <v>45</v>
      </c>
      <c r="E528" s="60"/>
      <c r="F528" s="52">
        <f t="shared" si="130"/>
        <v>0</v>
      </c>
      <c r="G528" s="52">
        <f t="shared" si="130"/>
        <v>0</v>
      </c>
      <c r="H528" s="315">
        <f t="shared" si="118"/>
        <v>0</v>
      </c>
      <c r="I528" s="52">
        <f t="shared" si="130"/>
        <v>800</v>
      </c>
      <c r="J528" s="52">
        <f t="shared" si="130"/>
        <v>70.400000000000006</v>
      </c>
      <c r="K528" s="315">
        <f t="shared" si="114"/>
        <v>70.400000000000006</v>
      </c>
      <c r="L528" s="52">
        <f t="shared" si="130"/>
        <v>800</v>
      </c>
      <c r="M528" s="320">
        <f t="shared" si="119"/>
        <v>0</v>
      </c>
      <c r="N528" s="65">
        <f t="shared" si="130"/>
        <v>0</v>
      </c>
      <c r="O528" s="52">
        <f t="shared" si="130"/>
        <v>0</v>
      </c>
      <c r="P528" s="315">
        <f t="shared" si="117"/>
        <v>0</v>
      </c>
      <c r="Q528" s="39"/>
      <c r="R528" s="40"/>
      <c r="S528" s="40"/>
      <c r="T528" s="214"/>
      <c r="U528" s="214"/>
      <c r="V528" s="231"/>
      <c r="W528" s="231"/>
      <c r="X528" s="231"/>
      <c r="Y528" s="231"/>
      <c r="Z528" s="231"/>
      <c r="AA528" s="231"/>
      <c r="AB528" s="231"/>
      <c r="AC528" s="231"/>
      <c r="AD528" s="231"/>
      <c r="AE528" s="231"/>
      <c r="AF528" s="231"/>
      <c r="AG528" s="231"/>
      <c r="AH528" s="231"/>
      <c r="AI528" s="231"/>
      <c r="AJ528" s="231"/>
      <c r="AK528" s="231"/>
      <c r="AL528" s="231"/>
      <c r="AM528" s="231"/>
      <c r="AN528" s="231"/>
      <c r="AO528" s="231"/>
      <c r="AP528" s="231"/>
      <c r="AQ528" s="231"/>
      <c r="AR528" s="231"/>
    </row>
    <row r="529" spans="1:44" s="31" customFormat="1" ht="25.5" x14ac:dyDescent="0.2">
      <c r="A529" s="84" t="s">
        <v>73</v>
      </c>
      <c r="B529" s="54" t="s">
        <v>388</v>
      </c>
      <c r="C529" s="60" t="s">
        <v>59</v>
      </c>
      <c r="D529" s="60" t="s">
        <v>45</v>
      </c>
      <c r="E529" s="60" t="s">
        <v>70</v>
      </c>
      <c r="F529" s="52">
        <f>1500-1500</f>
        <v>0</v>
      </c>
      <c r="G529" s="52">
        <f>1500-1500</f>
        <v>0</v>
      </c>
      <c r="H529" s="315">
        <f t="shared" si="118"/>
        <v>0</v>
      </c>
      <c r="I529" s="52">
        <v>800</v>
      </c>
      <c r="J529" s="52">
        <v>70.400000000000006</v>
      </c>
      <c r="K529" s="315">
        <f t="shared" si="114"/>
        <v>70.400000000000006</v>
      </c>
      <c r="L529" s="52">
        <v>800</v>
      </c>
      <c r="M529" s="320">
        <f t="shared" si="119"/>
        <v>0</v>
      </c>
      <c r="N529" s="65">
        <v>0</v>
      </c>
      <c r="O529" s="52">
        <v>0</v>
      </c>
      <c r="P529" s="315">
        <f t="shared" si="117"/>
        <v>0</v>
      </c>
      <c r="Q529" s="39"/>
      <c r="R529" s="40"/>
      <c r="S529" s="40"/>
      <c r="T529" s="214"/>
      <c r="U529" s="214"/>
      <c r="V529" s="231"/>
      <c r="W529" s="231"/>
      <c r="X529" s="231"/>
      <c r="Y529" s="231"/>
      <c r="Z529" s="231"/>
      <c r="AA529" s="231"/>
      <c r="AB529" s="231"/>
      <c r="AC529" s="231"/>
      <c r="AD529" s="231"/>
      <c r="AE529" s="231"/>
      <c r="AF529" s="231"/>
      <c r="AG529" s="231"/>
      <c r="AH529" s="231"/>
      <c r="AI529" s="231"/>
      <c r="AJ529" s="231"/>
      <c r="AK529" s="231"/>
      <c r="AL529" s="231"/>
      <c r="AM529" s="231"/>
      <c r="AN529" s="231"/>
      <c r="AO529" s="231"/>
      <c r="AP529" s="231"/>
      <c r="AQ529" s="231"/>
      <c r="AR529" s="231"/>
    </row>
    <row r="530" spans="1:44" s="31" customFormat="1" ht="25.5" customHeight="1" x14ac:dyDescent="0.2">
      <c r="A530" s="62" t="s">
        <v>123</v>
      </c>
      <c r="B530" s="54" t="s">
        <v>122</v>
      </c>
      <c r="C530" s="60" t="s">
        <v>97</v>
      </c>
      <c r="D530" s="60" t="s">
        <v>111</v>
      </c>
      <c r="E530" s="60"/>
      <c r="F530" s="52">
        <f t="shared" ref="F530:O531" si="131">F531</f>
        <v>567</v>
      </c>
      <c r="G530" s="52">
        <f t="shared" si="131"/>
        <v>604.79999999999995</v>
      </c>
      <c r="H530" s="315">
        <f t="shared" si="118"/>
        <v>37.799999999999955</v>
      </c>
      <c r="I530" s="52">
        <f t="shared" si="131"/>
        <v>1461.3</v>
      </c>
      <c r="J530" s="52">
        <f t="shared" si="131"/>
        <v>661.5</v>
      </c>
      <c r="K530" s="315">
        <f t="shared" ref="K530:K540" si="132">J530-G530</f>
        <v>56.700000000000045</v>
      </c>
      <c r="L530" s="52">
        <f t="shared" si="131"/>
        <v>1461.3</v>
      </c>
      <c r="M530" s="320">
        <f t="shared" si="119"/>
        <v>0</v>
      </c>
      <c r="N530" s="65">
        <f t="shared" si="131"/>
        <v>1461.3</v>
      </c>
      <c r="O530" s="52">
        <f t="shared" si="131"/>
        <v>1461.3</v>
      </c>
      <c r="P530" s="315">
        <f t="shared" si="117"/>
        <v>0</v>
      </c>
      <c r="Q530" s="39"/>
      <c r="R530" s="40"/>
      <c r="S530" s="40"/>
      <c r="T530" s="214"/>
      <c r="U530" s="214"/>
      <c r="V530" s="231"/>
      <c r="W530" s="231"/>
      <c r="X530" s="231"/>
      <c r="Y530" s="231"/>
      <c r="Z530" s="231"/>
      <c r="AA530" s="231"/>
      <c r="AB530" s="231"/>
      <c r="AC530" s="231"/>
      <c r="AD530" s="231"/>
      <c r="AE530" s="231"/>
      <c r="AF530" s="231"/>
      <c r="AG530" s="231"/>
      <c r="AH530" s="231"/>
      <c r="AI530" s="231"/>
      <c r="AJ530" s="231"/>
      <c r="AK530" s="231"/>
      <c r="AL530" s="231"/>
      <c r="AM530" s="231"/>
      <c r="AN530" s="231"/>
      <c r="AO530" s="231"/>
      <c r="AP530" s="231"/>
      <c r="AQ530" s="231"/>
      <c r="AR530" s="231"/>
    </row>
    <row r="531" spans="1:44" s="31" customFormat="1" x14ac:dyDescent="0.2">
      <c r="A531" s="247" t="s">
        <v>121</v>
      </c>
      <c r="B531" s="54" t="s">
        <v>120</v>
      </c>
      <c r="C531" s="60" t="s">
        <v>97</v>
      </c>
      <c r="D531" s="60" t="s">
        <v>111</v>
      </c>
      <c r="E531" s="60"/>
      <c r="F531" s="52">
        <f t="shared" si="131"/>
        <v>567</v>
      </c>
      <c r="G531" s="52">
        <f t="shared" si="131"/>
        <v>604.79999999999995</v>
      </c>
      <c r="H531" s="315">
        <f t="shared" si="118"/>
        <v>37.799999999999955</v>
      </c>
      <c r="I531" s="52">
        <f t="shared" si="131"/>
        <v>1461.3</v>
      </c>
      <c r="J531" s="52">
        <f t="shared" si="131"/>
        <v>661.5</v>
      </c>
      <c r="K531" s="315">
        <f t="shared" si="132"/>
        <v>56.700000000000045</v>
      </c>
      <c r="L531" s="52">
        <f t="shared" si="131"/>
        <v>1461.3</v>
      </c>
      <c r="M531" s="320">
        <f t="shared" si="119"/>
        <v>0</v>
      </c>
      <c r="N531" s="65">
        <f t="shared" si="131"/>
        <v>1461.3</v>
      </c>
      <c r="O531" s="52">
        <f t="shared" si="131"/>
        <v>1461.3</v>
      </c>
      <c r="P531" s="315">
        <f t="shared" si="117"/>
        <v>0</v>
      </c>
      <c r="Q531" s="32"/>
      <c r="R531" s="40"/>
      <c r="S531" s="40"/>
      <c r="T531" s="214"/>
      <c r="U531" s="214"/>
      <c r="V531" s="231"/>
      <c r="W531" s="231"/>
      <c r="X531" s="231"/>
      <c r="Y531" s="231"/>
      <c r="Z531" s="231"/>
      <c r="AA531" s="231"/>
      <c r="AB531" s="231"/>
      <c r="AC531" s="231"/>
      <c r="AD531" s="231"/>
      <c r="AE531" s="231"/>
      <c r="AF531" s="231"/>
      <c r="AG531" s="231"/>
      <c r="AH531" s="231"/>
      <c r="AI531" s="231"/>
      <c r="AJ531" s="231"/>
      <c r="AK531" s="231"/>
      <c r="AL531" s="231"/>
      <c r="AM531" s="231"/>
      <c r="AN531" s="231"/>
      <c r="AO531" s="231"/>
      <c r="AP531" s="231"/>
      <c r="AQ531" s="231"/>
      <c r="AR531" s="231"/>
    </row>
    <row r="532" spans="1:44" s="31" customFormat="1" ht="25.5" x14ac:dyDescent="0.2">
      <c r="A532" s="95" t="s">
        <v>100</v>
      </c>
      <c r="B532" s="54" t="s">
        <v>120</v>
      </c>
      <c r="C532" s="60" t="s">
        <v>97</v>
      </c>
      <c r="D532" s="60" t="s">
        <v>111</v>
      </c>
      <c r="E532" s="60" t="s">
        <v>99</v>
      </c>
      <c r="F532" s="52">
        <f>174+566.8+166.2-340</f>
        <v>567</v>
      </c>
      <c r="G532" s="52">
        <f>567+37.8</f>
        <v>604.79999999999995</v>
      </c>
      <c r="H532" s="315">
        <f t="shared" si="118"/>
        <v>37.799999999999955</v>
      </c>
      <c r="I532" s="52">
        <f>519.6+566.5+375.2</f>
        <v>1461.3</v>
      </c>
      <c r="J532" s="52">
        <f>604.8+56.7</f>
        <v>661.5</v>
      </c>
      <c r="K532" s="315">
        <f t="shared" si="132"/>
        <v>56.700000000000045</v>
      </c>
      <c r="L532" s="52">
        <f>519.6+566.5+375.2</f>
        <v>1461.3</v>
      </c>
      <c r="M532" s="320">
        <f t="shared" si="119"/>
        <v>0</v>
      </c>
      <c r="N532" s="65">
        <f>519.6+566.5+375.2</f>
        <v>1461.3</v>
      </c>
      <c r="O532" s="52">
        <f>519.6+566.5+375.2</f>
        <v>1461.3</v>
      </c>
      <c r="P532" s="315">
        <f t="shared" si="117"/>
        <v>0</v>
      </c>
      <c r="Q532" s="39"/>
      <c r="R532" s="40"/>
      <c r="S532" s="40"/>
      <c r="T532" s="214"/>
      <c r="U532" s="214"/>
      <c r="V532" s="231"/>
      <c r="W532" s="231"/>
      <c r="X532" s="231"/>
      <c r="Y532" s="231"/>
      <c r="Z532" s="231"/>
      <c r="AA532" s="231"/>
      <c r="AB532" s="231"/>
      <c r="AC532" s="231"/>
      <c r="AD532" s="231"/>
      <c r="AE532" s="231"/>
      <c r="AF532" s="231"/>
      <c r="AG532" s="231"/>
      <c r="AH532" s="231"/>
      <c r="AI532" s="231"/>
      <c r="AJ532" s="231"/>
      <c r="AK532" s="231"/>
      <c r="AL532" s="231"/>
      <c r="AM532" s="231"/>
      <c r="AN532" s="231"/>
      <c r="AO532" s="231"/>
      <c r="AP532" s="231"/>
      <c r="AQ532" s="231"/>
      <c r="AR532" s="231"/>
    </row>
    <row r="533" spans="1:44" s="31" customFormat="1" ht="25.5" x14ac:dyDescent="0.2">
      <c r="A533" s="93" t="s">
        <v>119</v>
      </c>
      <c r="B533" s="54" t="s">
        <v>118</v>
      </c>
      <c r="C533" s="60"/>
      <c r="D533" s="60"/>
      <c r="E533" s="60"/>
      <c r="F533" s="52">
        <f t="shared" ref="F533:O534" si="133">F534</f>
        <v>7027.7</v>
      </c>
      <c r="G533" s="52">
        <f t="shared" si="133"/>
        <v>7027.7</v>
      </c>
      <c r="H533" s="315">
        <f t="shared" si="118"/>
        <v>0</v>
      </c>
      <c r="I533" s="52">
        <f t="shared" si="133"/>
        <v>0</v>
      </c>
      <c r="J533" s="52">
        <f t="shared" si="133"/>
        <v>7200</v>
      </c>
      <c r="K533" s="315">
        <f t="shared" si="132"/>
        <v>172.30000000000018</v>
      </c>
      <c r="L533" s="52">
        <f t="shared" si="133"/>
        <v>0</v>
      </c>
      <c r="M533" s="320">
        <f t="shared" si="119"/>
        <v>0</v>
      </c>
      <c r="N533" s="65">
        <f t="shared" si="133"/>
        <v>0</v>
      </c>
      <c r="O533" s="52">
        <f t="shared" si="133"/>
        <v>0</v>
      </c>
      <c r="P533" s="315">
        <f t="shared" si="117"/>
        <v>0</v>
      </c>
      <c r="Q533" s="39"/>
      <c r="R533" s="40"/>
      <c r="S533" s="40"/>
      <c r="T533" s="214"/>
      <c r="U533" s="214"/>
      <c r="V533" s="231"/>
      <c r="W533" s="231"/>
      <c r="X533" s="231"/>
      <c r="Y533" s="231"/>
      <c r="Z533" s="231"/>
      <c r="AA533" s="231"/>
      <c r="AB533" s="231"/>
      <c r="AC533" s="231"/>
      <c r="AD533" s="231"/>
      <c r="AE533" s="231"/>
      <c r="AF533" s="231"/>
      <c r="AG533" s="231"/>
      <c r="AH533" s="231"/>
      <c r="AI533" s="231"/>
      <c r="AJ533" s="231"/>
      <c r="AK533" s="231"/>
      <c r="AL533" s="231"/>
      <c r="AM533" s="231"/>
      <c r="AN533" s="231"/>
      <c r="AO533" s="231"/>
      <c r="AP533" s="231"/>
      <c r="AQ533" s="231"/>
      <c r="AR533" s="231"/>
    </row>
    <row r="534" spans="1:44" s="31" customFormat="1" ht="25.5" x14ac:dyDescent="0.2">
      <c r="A534" s="67" t="s">
        <v>117</v>
      </c>
      <c r="B534" s="54" t="s">
        <v>116</v>
      </c>
      <c r="C534" s="60" t="s">
        <v>97</v>
      </c>
      <c r="D534" s="60" t="s">
        <v>111</v>
      </c>
      <c r="E534" s="60"/>
      <c r="F534" s="52">
        <f t="shared" si="133"/>
        <v>7027.7</v>
      </c>
      <c r="G534" s="52">
        <f t="shared" si="133"/>
        <v>7027.7</v>
      </c>
      <c r="H534" s="315">
        <f t="shared" si="118"/>
        <v>0</v>
      </c>
      <c r="I534" s="52">
        <f t="shared" si="133"/>
        <v>0</v>
      </c>
      <c r="J534" s="52">
        <f t="shared" si="133"/>
        <v>7200</v>
      </c>
      <c r="K534" s="315">
        <f t="shared" si="132"/>
        <v>172.30000000000018</v>
      </c>
      <c r="L534" s="52">
        <f t="shared" si="133"/>
        <v>0</v>
      </c>
      <c r="M534" s="320">
        <f t="shared" si="119"/>
        <v>0</v>
      </c>
      <c r="N534" s="65">
        <f t="shared" si="133"/>
        <v>0</v>
      </c>
      <c r="O534" s="52">
        <f t="shared" si="133"/>
        <v>0</v>
      </c>
      <c r="P534" s="315">
        <f t="shared" si="117"/>
        <v>0</v>
      </c>
      <c r="Q534" s="39"/>
      <c r="R534" s="40"/>
      <c r="S534" s="40"/>
      <c r="T534" s="214"/>
      <c r="U534" s="214"/>
      <c r="V534" s="231"/>
      <c r="W534" s="231"/>
      <c r="X534" s="231"/>
      <c r="Y534" s="231"/>
      <c r="Z534" s="231"/>
      <c r="AA534" s="231"/>
      <c r="AB534" s="231"/>
      <c r="AC534" s="231"/>
      <c r="AD534" s="231"/>
      <c r="AE534" s="231"/>
      <c r="AF534" s="231"/>
      <c r="AG534" s="231"/>
      <c r="AH534" s="231"/>
      <c r="AI534" s="231"/>
      <c r="AJ534" s="231"/>
      <c r="AK534" s="231"/>
      <c r="AL534" s="231"/>
      <c r="AM534" s="231"/>
      <c r="AN534" s="231"/>
      <c r="AO534" s="231"/>
      <c r="AP534" s="231"/>
      <c r="AQ534" s="231"/>
      <c r="AR534" s="231"/>
    </row>
    <row r="535" spans="1:44" s="31" customFormat="1" ht="25.5" x14ac:dyDescent="0.2">
      <c r="A535" s="95" t="s">
        <v>100</v>
      </c>
      <c r="B535" s="54" t="s">
        <v>116</v>
      </c>
      <c r="C535" s="60" t="s">
        <v>97</v>
      </c>
      <c r="D535" s="60" t="s">
        <v>111</v>
      </c>
      <c r="E535" s="60" t="s">
        <v>99</v>
      </c>
      <c r="F535" s="52">
        <f>6676.3+351.4</f>
        <v>7027.7</v>
      </c>
      <c r="G535" s="52">
        <f>6676.3+351.4</f>
        <v>7027.7</v>
      </c>
      <c r="H535" s="315">
        <f t="shared" si="118"/>
        <v>0</v>
      </c>
      <c r="I535" s="52">
        <v>0</v>
      </c>
      <c r="J535" s="52">
        <f>7027.7+163.7+8.6</f>
        <v>7200</v>
      </c>
      <c r="K535" s="315">
        <f t="shared" si="132"/>
        <v>172.30000000000018</v>
      </c>
      <c r="L535" s="52">
        <v>0</v>
      </c>
      <c r="M535" s="320">
        <f t="shared" si="119"/>
        <v>0</v>
      </c>
      <c r="N535" s="65">
        <v>0</v>
      </c>
      <c r="O535" s="52">
        <v>0</v>
      </c>
      <c r="P535" s="315">
        <f t="shared" si="117"/>
        <v>0</v>
      </c>
      <c r="Q535" s="39"/>
      <c r="R535" s="40"/>
      <c r="S535" s="40"/>
      <c r="T535" s="214"/>
      <c r="U535" s="214"/>
      <c r="V535" s="231"/>
      <c r="W535" s="231"/>
      <c r="X535" s="231"/>
      <c r="Y535" s="231"/>
      <c r="Z535" s="231"/>
      <c r="AA535" s="231"/>
      <c r="AB535" s="231"/>
      <c r="AC535" s="231"/>
      <c r="AD535" s="231"/>
      <c r="AE535" s="231"/>
      <c r="AF535" s="231"/>
      <c r="AG535" s="231"/>
      <c r="AH535" s="231"/>
      <c r="AI535" s="231"/>
      <c r="AJ535" s="231"/>
      <c r="AK535" s="231"/>
      <c r="AL535" s="231"/>
      <c r="AM535" s="231"/>
      <c r="AN535" s="231"/>
      <c r="AO535" s="231"/>
      <c r="AP535" s="231"/>
      <c r="AQ535" s="231"/>
      <c r="AR535" s="231"/>
    </row>
    <row r="536" spans="1:44" s="31" customFormat="1" hidden="1" x14ac:dyDescent="0.2">
      <c r="A536" s="93" t="s">
        <v>52</v>
      </c>
      <c r="B536" s="54" t="s">
        <v>115</v>
      </c>
      <c r="C536" s="60"/>
      <c r="D536" s="60"/>
      <c r="E536" s="60"/>
      <c r="F536" s="52">
        <f t="shared" ref="F536:O538" si="134">F537</f>
        <v>0</v>
      </c>
      <c r="G536" s="52">
        <f t="shared" si="134"/>
        <v>0</v>
      </c>
      <c r="H536" s="315">
        <f t="shared" si="118"/>
        <v>0</v>
      </c>
      <c r="I536" s="52">
        <f t="shared" si="134"/>
        <v>0</v>
      </c>
      <c r="J536" s="52">
        <f t="shared" si="134"/>
        <v>0</v>
      </c>
      <c r="K536" s="315">
        <f t="shared" si="132"/>
        <v>0</v>
      </c>
      <c r="L536" s="52">
        <f t="shared" si="134"/>
        <v>0</v>
      </c>
      <c r="M536" s="320">
        <f t="shared" si="119"/>
        <v>0</v>
      </c>
      <c r="N536" s="65">
        <f t="shared" si="134"/>
        <v>0</v>
      </c>
      <c r="O536" s="134">
        <f t="shared" si="134"/>
        <v>0</v>
      </c>
      <c r="P536" s="327">
        <f t="shared" si="117"/>
        <v>0</v>
      </c>
      <c r="Q536" s="39"/>
      <c r="R536" s="40"/>
      <c r="S536" s="40"/>
      <c r="T536" s="214"/>
      <c r="U536" s="214"/>
      <c r="V536" s="231"/>
      <c r="W536" s="231"/>
      <c r="X536" s="231"/>
      <c r="Y536" s="231"/>
      <c r="Z536" s="231"/>
      <c r="AA536" s="231"/>
      <c r="AB536" s="231"/>
      <c r="AC536" s="231"/>
      <c r="AD536" s="231"/>
      <c r="AE536" s="231"/>
      <c r="AF536" s="231"/>
      <c r="AG536" s="231"/>
      <c r="AH536" s="231"/>
      <c r="AI536" s="231"/>
      <c r="AJ536" s="231"/>
      <c r="AK536" s="231"/>
      <c r="AL536" s="231"/>
      <c r="AM536" s="231"/>
      <c r="AN536" s="231"/>
      <c r="AO536" s="231"/>
      <c r="AP536" s="231"/>
      <c r="AQ536" s="231"/>
      <c r="AR536" s="231"/>
    </row>
    <row r="537" spans="1:44" s="31" customFormat="1" ht="38.25" hidden="1" x14ac:dyDescent="0.2">
      <c r="A537" s="93" t="s">
        <v>114</v>
      </c>
      <c r="B537" s="54" t="s">
        <v>113</v>
      </c>
      <c r="C537" s="60"/>
      <c r="D537" s="60"/>
      <c r="E537" s="60"/>
      <c r="F537" s="52">
        <f t="shared" si="134"/>
        <v>0</v>
      </c>
      <c r="G537" s="52">
        <f t="shared" si="134"/>
        <v>0</v>
      </c>
      <c r="H537" s="315">
        <f t="shared" si="118"/>
        <v>0</v>
      </c>
      <c r="I537" s="52">
        <f t="shared" si="134"/>
        <v>0</v>
      </c>
      <c r="J537" s="52">
        <f t="shared" si="134"/>
        <v>0</v>
      </c>
      <c r="K537" s="315">
        <f t="shared" si="132"/>
        <v>0</v>
      </c>
      <c r="L537" s="52">
        <f t="shared" si="134"/>
        <v>0</v>
      </c>
      <c r="M537" s="320">
        <f t="shared" si="119"/>
        <v>0</v>
      </c>
      <c r="N537" s="65">
        <f t="shared" si="134"/>
        <v>0</v>
      </c>
      <c r="O537" s="65">
        <f t="shared" si="134"/>
        <v>0</v>
      </c>
      <c r="P537" s="327">
        <f t="shared" si="117"/>
        <v>0</v>
      </c>
      <c r="Q537" s="39"/>
      <c r="R537" s="40"/>
      <c r="S537" s="40"/>
      <c r="T537" s="214"/>
      <c r="U537" s="214"/>
      <c r="V537" s="231"/>
      <c r="W537" s="231"/>
      <c r="X537" s="231"/>
      <c r="Y537" s="231"/>
      <c r="Z537" s="231"/>
      <c r="AA537" s="231"/>
      <c r="AB537" s="231"/>
      <c r="AC537" s="231"/>
      <c r="AD537" s="231"/>
      <c r="AE537" s="231"/>
      <c r="AF537" s="231"/>
      <c r="AG537" s="231"/>
      <c r="AH537" s="231"/>
      <c r="AI537" s="231"/>
      <c r="AJ537" s="231"/>
      <c r="AK537" s="231"/>
      <c r="AL537" s="231"/>
      <c r="AM537" s="231"/>
      <c r="AN537" s="231"/>
      <c r="AO537" s="231"/>
      <c r="AP537" s="231"/>
      <c r="AQ537" s="231"/>
      <c r="AR537" s="231"/>
    </row>
    <row r="538" spans="1:44" s="31" customFormat="1" ht="38.25" hidden="1" x14ac:dyDescent="0.2">
      <c r="A538" s="84" t="s">
        <v>112</v>
      </c>
      <c r="B538" s="54" t="s">
        <v>110</v>
      </c>
      <c r="C538" s="60" t="s">
        <v>97</v>
      </c>
      <c r="D538" s="60" t="s">
        <v>111</v>
      </c>
      <c r="E538" s="60"/>
      <c r="F538" s="52">
        <f t="shared" si="134"/>
        <v>0</v>
      </c>
      <c r="G538" s="52">
        <f t="shared" si="134"/>
        <v>0</v>
      </c>
      <c r="H538" s="315">
        <f t="shared" si="118"/>
        <v>0</v>
      </c>
      <c r="I538" s="52">
        <f t="shared" si="134"/>
        <v>0</v>
      </c>
      <c r="J538" s="52">
        <f t="shared" si="134"/>
        <v>0</v>
      </c>
      <c r="K538" s="315">
        <f t="shared" si="132"/>
        <v>0</v>
      </c>
      <c r="L538" s="52">
        <f t="shared" si="134"/>
        <v>0</v>
      </c>
      <c r="M538" s="320">
        <f t="shared" si="119"/>
        <v>0</v>
      </c>
      <c r="N538" s="65">
        <f t="shared" si="134"/>
        <v>0</v>
      </c>
      <c r="O538" s="65">
        <f t="shared" si="134"/>
        <v>0</v>
      </c>
      <c r="P538" s="327">
        <f t="shared" si="117"/>
        <v>0</v>
      </c>
      <c r="Q538" s="39"/>
      <c r="R538" s="40"/>
      <c r="S538" s="40"/>
      <c r="T538" s="214"/>
      <c r="U538" s="214"/>
      <c r="V538" s="231"/>
      <c r="W538" s="231"/>
      <c r="X538" s="231"/>
      <c r="Y538" s="231"/>
      <c r="Z538" s="231"/>
      <c r="AA538" s="231"/>
      <c r="AB538" s="231"/>
      <c r="AC538" s="231"/>
      <c r="AD538" s="231"/>
      <c r="AE538" s="231"/>
      <c r="AF538" s="231"/>
      <c r="AG538" s="231"/>
      <c r="AH538" s="231"/>
      <c r="AI538" s="231"/>
      <c r="AJ538" s="231"/>
      <c r="AK538" s="231"/>
      <c r="AL538" s="231"/>
      <c r="AM538" s="231"/>
      <c r="AN538" s="231"/>
      <c r="AO538" s="231"/>
      <c r="AP538" s="231"/>
      <c r="AQ538" s="231"/>
      <c r="AR538" s="231"/>
    </row>
    <row r="539" spans="1:44" s="31" customFormat="1" ht="25.5" hidden="1" x14ac:dyDescent="0.2">
      <c r="A539" s="95" t="s">
        <v>100</v>
      </c>
      <c r="B539" s="54" t="s">
        <v>110</v>
      </c>
      <c r="C539" s="60" t="s">
        <v>97</v>
      </c>
      <c r="D539" s="60" t="s">
        <v>111</v>
      </c>
      <c r="E539" s="60" t="s">
        <v>99</v>
      </c>
      <c r="F539" s="52">
        <v>0</v>
      </c>
      <c r="G539" s="52">
        <v>0</v>
      </c>
      <c r="H539" s="315">
        <f t="shared" si="118"/>
        <v>0</v>
      </c>
      <c r="I539" s="52">
        <v>0</v>
      </c>
      <c r="J539" s="52">
        <v>0</v>
      </c>
      <c r="K539" s="315">
        <f t="shared" si="132"/>
        <v>0</v>
      </c>
      <c r="L539" s="52">
        <v>0</v>
      </c>
      <c r="M539" s="320">
        <f t="shared" si="119"/>
        <v>0</v>
      </c>
      <c r="N539" s="65">
        <v>0</v>
      </c>
      <c r="O539" s="65">
        <v>0</v>
      </c>
      <c r="P539" s="327">
        <f t="shared" si="117"/>
        <v>0</v>
      </c>
      <c r="Q539" s="39"/>
      <c r="R539" s="40"/>
      <c r="S539" s="40"/>
      <c r="T539" s="214"/>
      <c r="U539" s="214"/>
      <c r="V539" s="231"/>
      <c r="W539" s="231"/>
      <c r="X539" s="231"/>
      <c r="Y539" s="231"/>
      <c r="Z539" s="231"/>
      <c r="AA539" s="231"/>
      <c r="AB539" s="231"/>
      <c r="AC539" s="231"/>
      <c r="AD539" s="231"/>
      <c r="AE539" s="231"/>
      <c r="AF539" s="231"/>
      <c r="AG539" s="231"/>
      <c r="AH539" s="231"/>
      <c r="AI539" s="231"/>
      <c r="AJ539" s="231"/>
      <c r="AK539" s="231"/>
      <c r="AL539" s="231"/>
      <c r="AM539" s="231"/>
      <c r="AN539" s="231"/>
      <c r="AO539" s="231"/>
      <c r="AP539" s="231"/>
      <c r="AQ539" s="231"/>
      <c r="AR539" s="231"/>
    </row>
    <row r="540" spans="1:44" ht="16.5" customHeight="1" x14ac:dyDescent="0.2">
      <c r="A540" s="276" t="s">
        <v>38</v>
      </c>
      <c r="B540" s="189"/>
      <c r="C540" s="48"/>
      <c r="D540" s="48"/>
      <c r="E540" s="48"/>
      <c r="F540" s="44">
        <f>F70+F9+F112+F155+F243+F337+F383+F47+F412+F448+F465+F516+F490</f>
        <v>957144.3</v>
      </c>
      <c r="G540" s="44">
        <f>G70+G9+G112+G155+G243+G337+G383+G47+G412+G448+G465+G516+G490</f>
        <v>1230310.2000000002</v>
      </c>
      <c r="H540" s="315">
        <f t="shared" si="118"/>
        <v>273165.90000000014</v>
      </c>
      <c r="I540" s="44">
        <f>I70+I9+I112+I155+I243+I337+I383+I47+I412+I448+I465+I516+I490</f>
        <v>663798.39999999991</v>
      </c>
      <c r="J540" s="44">
        <f>J70+J9+J112+J155+J243+J337+J383+J47+J412+J448+J465+J516+J490</f>
        <v>1274530.4000000004</v>
      </c>
      <c r="K540" s="315">
        <f t="shared" si="132"/>
        <v>44220.200000000186</v>
      </c>
      <c r="L540" s="44">
        <f>L70+L9+L112+L155+L243+L337+L383+L47+L412+L448+L465+L516+L490</f>
        <v>650970.39999999991</v>
      </c>
      <c r="M540" s="320">
        <f t="shared" si="119"/>
        <v>-12828</v>
      </c>
      <c r="N540" s="44">
        <f>N70+N9+N112+N155+N243+N337+N383+N47+N412+N448+N465+N516+N490</f>
        <v>736540.1</v>
      </c>
      <c r="O540" s="44">
        <f>O70+O9+O112+O155+O243+O337+O383+O47+O412+O448+O465+O516+O490</f>
        <v>723670.1</v>
      </c>
      <c r="P540" s="327">
        <f t="shared" si="117"/>
        <v>-12870</v>
      </c>
    </row>
    <row r="542" spans="1:44" x14ac:dyDescent="0.2">
      <c r="B542" s="277"/>
      <c r="H542" s="301">
        <v>-247.9</v>
      </c>
      <c r="I542" s="38" t="s">
        <v>1101</v>
      </c>
      <c r="L542" s="38"/>
      <c r="M542" s="301"/>
      <c r="N542" s="38"/>
      <c r="O542" s="38"/>
      <c r="P542" s="301"/>
    </row>
    <row r="543" spans="1:44" x14ac:dyDescent="0.2">
      <c r="F543" s="278"/>
      <c r="G543" s="278"/>
      <c r="H543" s="316"/>
      <c r="I543" s="279"/>
      <c r="J543" s="278"/>
      <c r="K543" s="316"/>
      <c r="L543" s="279"/>
      <c r="M543" s="321"/>
      <c r="N543" s="279"/>
      <c r="O543" s="279"/>
      <c r="P543" s="321"/>
    </row>
    <row r="544" spans="1:44" x14ac:dyDescent="0.2">
      <c r="E544" s="428"/>
      <c r="F544" s="428"/>
      <c r="G544" s="428"/>
      <c r="H544" s="428"/>
      <c r="I544" s="428"/>
      <c r="J544" s="428"/>
      <c r="K544" s="316"/>
      <c r="L544" s="278"/>
      <c r="M544" s="316"/>
      <c r="N544" s="278"/>
      <c r="O544" s="278"/>
      <c r="P544" s="316"/>
    </row>
    <row r="545" spans="1:21" s="214" customFormat="1" ht="16.5" customHeight="1" x14ac:dyDescent="0.2">
      <c r="A545" s="32"/>
      <c r="B545" s="33"/>
      <c r="C545" s="33"/>
      <c r="D545" s="33"/>
      <c r="E545" s="38"/>
      <c r="F545" s="38"/>
      <c r="G545" s="38"/>
      <c r="H545" s="301"/>
      <c r="I545" s="38"/>
      <c r="J545" s="38"/>
      <c r="K545" s="301"/>
      <c r="L545" s="38"/>
      <c r="M545" s="301"/>
      <c r="N545" s="38"/>
      <c r="O545" s="38"/>
      <c r="P545" s="301"/>
      <c r="Q545" s="280"/>
      <c r="R545" s="280"/>
      <c r="S545" s="280"/>
      <c r="T545" s="281"/>
      <c r="U545" s="281"/>
    </row>
    <row r="546" spans="1:21" s="214" customFormat="1" x14ac:dyDescent="0.2">
      <c r="A546" s="32"/>
      <c r="B546" s="33"/>
      <c r="C546" s="33"/>
      <c r="D546" s="33"/>
      <c r="E546" s="429"/>
      <c r="F546" s="429"/>
      <c r="G546" s="429"/>
      <c r="H546" s="429"/>
      <c r="I546" s="429"/>
      <c r="J546" s="429"/>
      <c r="K546" s="317"/>
      <c r="L546" s="283"/>
      <c r="M546" s="322"/>
      <c r="N546" s="282"/>
      <c r="O546" s="282"/>
      <c r="P546" s="317"/>
      <c r="Q546" s="39"/>
      <c r="R546" s="40"/>
      <c r="S546" s="284"/>
      <c r="T546" s="285"/>
      <c r="U546" s="285"/>
    </row>
    <row r="547" spans="1:21" s="214" customFormat="1" x14ac:dyDescent="0.2">
      <c r="A547" s="32"/>
      <c r="B547" s="33"/>
      <c r="C547" s="33"/>
      <c r="D547" s="33"/>
      <c r="E547" s="429"/>
      <c r="F547" s="429"/>
      <c r="G547" s="429"/>
      <c r="H547" s="429"/>
      <c r="I547" s="429"/>
      <c r="J547" s="429"/>
      <c r="K547" s="301"/>
      <c r="L547" s="286"/>
      <c r="M547" s="323"/>
      <c r="N547" s="33"/>
      <c r="O547" s="33"/>
      <c r="P547" s="297"/>
      <c r="Q547" s="284"/>
      <c r="R547" s="284"/>
      <c r="S547" s="284"/>
      <c r="T547" s="285"/>
      <c r="U547" s="285"/>
    </row>
    <row r="548" spans="1:21" s="214" customFormat="1" x14ac:dyDescent="0.2">
      <c r="A548" s="32"/>
      <c r="B548" s="33"/>
      <c r="C548" s="33"/>
      <c r="D548" s="33"/>
      <c r="E548" s="33"/>
      <c r="F548" s="38"/>
      <c r="G548" s="38"/>
      <c r="H548" s="301"/>
      <c r="I548" s="286"/>
      <c r="J548" s="38"/>
      <c r="K548" s="301"/>
      <c r="L548" s="286"/>
      <c r="M548" s="323"/>
      <c r="N548" s="33"/>
      <c r="O548" s="33"/>
      <c r="P548" s="297"/>
      <c r="Q548" s="284"/>
      <c r="R548" s="284"/>
      <c r="S548" s="284"/>
      <c r="T548" s="285"/>
      <c r="U548" s="285"/>
    </row>
    <row r="549" spans="1:21" s="214" customFormat="1" x14ac:dyDescent="0.2">
      <c r="A549" s="32"/>
      <c r="B549" s="33"/>
      <c r="C549" s="33"/>
      <c r="D549" s="33"/>
      <c r="E549" s="33"/>
      <c r="F549" s="38"/>
      <c r="G549" s="38"/>
      <c r="H549" s="301"/>
      <c r="I549" s="33"/>
      <c r="J549" s="38"/>
      <c r="K549" s="301"/>
      <c r="L549" s="33"/>
      <c r="M549" s="297"/>
      <c r="N549" s="33"/>
      <c r="O549" s="33"/>
      <c r="P549" s="297"/>
      <c r="Q549" s="287"/>
      <c r="R549" s="288"/>
      <c r="S549" s="288"/>
      <c r="T549" s="289"/>
      <c r="U549" s="289"/>
    </row>
    <row r="550" spans="1:21" s="214" customFormat="1" x14ac:dyDescent="0.2">
      <c r="A550" s="32"/>
      <c r="B550" s="33"/>
      <c r="C550" s="33"/>
      <c r="D550" s="33"/>
      <c r="E550" s="33"/>
      <c r="F550" s="38"/>
      <c r="G550" s="38"/>
      <c r="H550" s="301"/>
      <c r="I550" s="33"/>
      <c r="J550" s="38"/>
      <c r="K550" s="301"/>
      <c r="L550" s="33"/>
      <c r="M550" s="297"/>
      <c r="N550" s="33"/>
      <c r="O550" s="33"/>
      <c r="P550" s="297"/>
      <c r="Q550" s="39"/>
      <c r="R550" s="40"/>
      <c r="S550" s="40"/>
    </row>
    <row r="551" spans="1:21" s="214" customFormat="1" x14ac:dyDescent="0.2">
      <c r="A551" s="32"/>
      <c r="B551" s="33"/>
      <c r="C551" s="33"/>
      <c r="D551" s="33"/>
      <c r="E551" s="33"/>
      <c r="F551" s="38"/>
      <c r="G551" s="38"/>
      <c r="H551" s="301"/>
      <c r="I551" s="279"/>
      <c r="J551" s="38"/>
      <c r="K551" s="301"/>
      <c r="L551" s="279"/>
      <c r="M551" s="321"/>
      <c r="N551" s="279"/>
      <c r="O551" s="279"/>
      <c r="P551" s="321"/>
      <c r="Q551" s="39"/>
      <c r="R551" s="40"/>
      <c r="S551" s="40"/>
    </row>
    <row r="552" spans="1:21" s="214" customFormat="1" x14ac:dyDescent="0.2">
      <c r="A552" s="32"/>
      <c r="B552" s="33"/>
      <c r="C552" s="33"/>
      <c r="D552" s="33"/>
      <c r="E552" s="33"/>
      <c r="F552" s="38"/>
      <c r="G552" s="427"/>
      <c r="H552" s="427"/>
      <c r="I552" s="427"/>
      <c r="J552" s="427"/>
      <c r="K552" s="301"/>
      <c r="L552" s="38"/>
      <c r="M552" s="301"/>
      <c r="N552" s="38"/>
      <c r="O552" s="38"/>
      <c r="P552" s="301"/>
      <c r="Q552" s="39"/>
      <c r="R552" s="40"/>
      <c r="S552" s="40"/>
    </row>
    <row r="553" spans="1:21" s="214" customFormat="1" x14ac:dyDescent="0.2">
      <c r="A553" s="32"/>
      <c r="B553" s="33"/>
      <c r="C553" s="33"/>
      <c r="D553" s="33"/>
      <c r="E553" s="33"/>
      <c r="F553" s="38"/>
      <c r="G553" s="38"/>
      <c r="H553" s="301"/>
      <c r="I553" s="33"/>
      <c r="J553" s="38"/>
      <c r="K553" s="301"/>
      <c r="L553" s="33"/>
      <c r="M553" s="297"/>
      <c r="N553" s="33"/>
      <c r="O553" s="33"/>
      <c r="P553" s="297"/>
      <c r="Q553" s="39"/>
      <c r="R553" s="40"/>
      <c r="S553" s="40"/>
    </row>
    <row r="555" spans="1:21" s="214" customFormat="1" x14ac:dyDescent="0.2">
      <c r="A555" s="32"/>
      <c r="B555" s="33"/>
      <c r="C555" s="33"/>
      <c r="D555" s="33"/>
      <c r="E555" s="33"/>
      <c r="F555" s="38"/>
      <c r="G555" s="38"/>
      <c r="H555" s="301"/>
      <c r="I555" s="33"/>
      <c r="J555" s="38"/>
      <c r="K555" s="301"/>
      <c r="L555" s="33"/>
      <c r="M555" s="297"/>
      <c r="N555" s="33"/>
      <c r="O555" s="33"/>
      <c r="P555" s="297"/>
      <c r="Q555" s="270"/>
      <c r="R555" s="270"/>
      <c r="S555" s="270"/>
    </row>
    <row r="560" spans="1:21" s="214" customFormat="1" x14ac:dyDescent="0.2">
      <c r="A560" s="32"/>
      <c r="B560" s="32"/>
      <c r="C560" s="32"/>
      <c r="D560" s="32"/>
      <c r="E560" s="32"/>
      <c r="F560" s="38" t="s">
        <v>732</v>
      </c>
      <c r="G560" s="38" t="s">
        <v>732</v>
      </c>
      <c r="H560" s="301"/>
      <c r="I560" s="33"/>
      <c r="J560" s="38" t="s">
        <v>732</v>
      </c>
      <c r="K560" s="301"/>
      <c r="L560" s="33"/>
      <c r="M560" s="297"/>
      <c r="N560" s="33"/>
      <c r="O560" s="33"/>
      <c r="P560" s="297"/>
      <c r="Q560" s="39"/>
      <c r="R560" s="40"/>
      <c r="S560" s="40"/>
    </row>
    <row r="564" spans="1:19" s="214" customFormat="1" x14ac:dyDescent="0.2">
      <c r="A564" s="32"/>
      <c r="B564" s="32"/>
      <c r="C564" s="32"/>
      <c r="D564" s="32"/>
      <c r="E564" s="32"/>
      <c r="F564" s="38"/>
      <c r="G564" s="38"/>
      <c r="H564" s="301"/>
      <c r="I564" s="33"/>
      <c r="J564" s="38"/>
      <c r="K564" s="301"/>
      <c r="L564" s="33"/>
      <c r="M564" s="297"/>
      <c r="N564" s="33"/>
      <c r="O564" s="33"/>
      <c r="P564" s="297"/>
      <c r="Q564" s="233"/>
      <c r="R564" s="234"/>
      <c r="S564" s="234"/>
    </row>
    <row r="567" spans="1:19" s="214" customFormat="1" x14ac:dyDescent="0.2">
      <c r="A567" s="32"/>
      <c r="B567" s="32"/>
      <c r="C567" s="32"/>
      <c r="D567" s="32"/>
      <c r="E567" s="32"/>
      <c r="F567" s="38"/>
      <c r="G567" s="38"/>
      <c r="H567" s="301"/>
      <c r="I567" s="33"/>
      <c r="J567" s="38"/>
      <c r="K567" s="301"/>
      <c r="L567" s="33"/>
      <c r="M567" s="297"/>
      <c r="N567" s="33"/>
      <c r="O567" s="33"/>
      <c r="P567" s="297"/>
      <c r="Q567" s="233"/>
      <c r="R567" s="234"/>
      <c r="S567" s="234"/>
    </row>
  </sheetData>
  <sheetProtection password="C281" sheet="1" formatCells="0" formatColumns="0" formatRows="0" insertColumns="0" insertRows="0" insertHyperlinks="0" deleteColumns="0" deleteRows="0" sort="0" autoFilter="0" pivotTables="0"/>
  <mergeCells count="26">
    <mergeCell ref="A1:O1"/>
    <mergeCell ref="A3:O3"/>
    <mergeCell ref="A4:O4"/>
    <mergeCell ref="A6:A7"/>
    <mergeCell ref="B6:B7"/>
    <mergeCell ref="C6:C7"/>
    <mergeCell ref="D6:D7"/>
    <mergeCell ref="E6:E7"/>
    <mergeCell ref="F6:F7"/>
    <mergeCell ref="G6:G7"/>
    <mergeCell ref="O6:O7"/>
    <mergeCell ref="P6:P7"/>
    <mergeCell ref="Q363:V363"/>
    <mergeCell ref="Q367:U367"/>
    <mergeCell ref="Q526:U526"/>
    <mergeCell ref="G552:J552"/>
    <mergeCell ref="E544:J544"/>
    <mergeCell ref="E546:J546"/>
    <mergeCell ref="E547:J547"/>
    <mergeCell ref="N6:N7"/>
    <mergeCell ref="H6:H7"/>
    <mergeCell ref="I6:I7"/>
    <mergeCell ref="J6:J7"/>
    <mergeCell ref="K6:K7"/>
    <mergeCell ref="L6:L7"/>
    <mergeCell ref="M6:M7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blackAndWhite="1" r:id="rId1"/>
  <rowBreaks count="2" manualBreakCount="2">
    <brk id="192" max="13" man="1"/>
    <brk id="25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Прил 1</vt:lpstr>
      <vt:lpstr>Прил 2</vt:lpstr>
      <vt:lpstr>Приложение 3</vt:lpstr>
      <vt:lpstr>Приложение 4</vt:lpstr>
      <vt:lpstr>Приложение 5</vt:lpstr>
      <vt:lpstr>'Прил 2'!А</vt:lpstr>
      <vt:lpstr>'Прил 2'!Заголовки_для_печати</vt:lpstr>
      <vt:lpstr>'Приложение 4'!Заголовки_для_печати</vt:lpstr>
      <vt:lpstr>'Прил 1'!Область_печати</vt:lpstr>
      <vt:lpstr>'Прил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Филинская</cp:lastModifiedBy>
  <cp:lastPrinted>2025-04-29T17:26:48Z</cp:lastPrinted>
  <dcterms:created xsi:type="dcterms:W3CDTF">2024-12-15T15:10:36Z</dcterms:created>
  <dcterms:modified xsi:type="dcterms:W3CDTF">2025-05-01T09:06:46Z</dcterms:modified>
</cp:coreProperties>
</file>