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!ОТДЕЛ ФОРМИРОВАНИЯ И ИСПОЛНЕНИЯ БЮДЖЕТА\БЮДЖЕТЫ ВСЕ\Бюджет 2025\ПС Утвержденное решение о бюджете\"/>
    </mc:Choice>
  </mc:AlternateContent>
  <bookViews>
    <workbookView xWindow="0" yWindow="0" windowWidth="28800" windowHeight="11925"/>
  </bookViews>
  <sheets>
    <sheet name="Приложение 4" sheetId="1" r:id="rId1"/>
  </sheets>
  <definedNames>
    <definedName name="_xlnm._FilterDatabase" localSheetId="0" hidden="1">'Приложение 4'!$B$1:$B$803</definedName>
    <definedName name="А" localSheetId="0">#REF!</definedName>
    <definedName name="А">#REF!</definedName>
    <definedName name="_xlnm.Print_Titles" localSheetId="0">'Приложение 4'!$5:$5</definedName>
    <definedName name="_xlnm.Print_Area" localSheetId="0">'Приложение 4'!$A$1:$J$783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1" i="1" l="1"/>
  <c r="H364" i="1"/>
  <c r="H644" i="1" l="1"/>
  <c r="H630" i="1"/>
  <c r="J778" i="1" l="1"/>
  <c r="J777" i="1" s="1"/>
  <c r="J776" i="1" s="1"/>
  <c r="I778" i="1"/>
  <c r="I777" i="1" s="1"/>
  <c r="I776" i="1" s="1"/>
  <c r="H778" i="1"/>
  <c r="H777" i="1" s="1"/>
  <c r="H776" i="1" s="1"/>
  <c r="H775" i="1"/>
  <c r="H774" i="1" s="1"/>
  <c r="J774" i="1"/>
  <c r="I774" i="1"/>
  <c r="I773" i="1"/>
  <c r="I772" i="1" s="1"/>
  <c r="H773" i="1"/>
  <c r="H772" i="1" s="1"/>
  <c r="J772" i="1"/>
  <c r="I771" i="1"/>
  <c r="I770" i="1" s="1"/>
  <c r="H771" i="1"/>
  <c r="H770" i="1" s="1"/>
  <c r="J770" i="1"/>
  <c r="J763" i="1"/>
  <c r="J762" i="1" s="1"/>
  <c r="I763" i="1"/>
  <c r="I762" i="1" s="1"/>
  <c r="H763" i="1"/>
  <c r="H762" i="1" s="1"/>
  <c r="J761" i="1"/>
  <c r="J760" i="1" s="1"/>
  <c r="J759" i="1" s="1"/>
  <c r="I761" i="1"/>
  <c r="I760" i="1" s="1"/>
  <c r="I759" i="1" s="1"/>
  <c r="H761" i="1"/>
  <c r="H760" i="1" s="1"/>
  <c r="H759" i="1" s="1"/>
  <c r="J757" i="1"/>
  <c r="J756" i="1" s="1"/>
  <c r="I757" i="1"/>
  <c r="I756" i="1" s="1"/>
  <c r="H757" i="1"/>
  <c r="H756" i="1" s="1"/>
  <c r="J750" i="1"/>
  <c r="J749" i="1" s="1"/>
  <c r="J748" i="1" s="1"/>
  <c r="I750" i="1"/>
  <c r="I749" i="1" s="1"/>
  <c r="I748" i="1" s="1"/>
  <c r="H750" i="1"/>
  <c r="H749" i="1" s="1"/>
  <c r="H748" i="1" s="1"/>
  <c r="J746" i="1"/>
  <c r="I746" i="1"/>
  <c r="H746" i="1"/>
  <c r="I745" i="1"/>
  <c r="I744" i="1" s="1"/>
  <c r="H745" i="1"/>
  <c r="H744" i="1" s="1"/>
  <c r="J744" i="1"/>
  <c r="J743" i="1" s="1"/>
  <c r="J742" i="1" s="1"/>
  <c r="J738" i="1"/>
  <c r="J737" i="1" s="1"/>
  <c r="J736" i="1" s="1"/>
  <c r="J735" i="1" s="1"/>
  <c r="J734" i="1" s="1"/>
  <c r="J733" i="1" s="1"/>
  <c r="J732" i="1" s="1"/>
  <c r="I738" i="1"/>
  <c r="I737" i="1" s="1"/>
  <c r="I736" i="1" s="1"/>
  <c r="I735" i="1" s="1"/>
  <c r="I734" i="1" s="1"/>
  <c r="I733" i="1" s="1"/>
  <c r="I732" i="1" s="1"/>
  <c r="H738" i="1"/>
  <c r="H737" i="1" s="1"/>
  <c r="H736" i="1" s="1"/>
  <c r="H735" i="1" s="1"/>
  <c r="H734" i="1" s="1"/>
  <c r="H733" i="1" s="1"/>
  <c r="H732" i="1" s="1"/>
  <c r="H731" i="1"/>
  <c r="H730" i="1" s="1"/>
  <c r="J730" i="1"/>
  <c r="I730" i="1"/>
  <c r="J727" i="1"/>
  <c r="J726" i="1" s="1"/>
  <c r="I727" i="1"/>
  <c r="I726" i="1" s="1"/>
  <c r="H727" i="1"/>
  <c r="H726" i="1" s="1"/>
  <c r="J718" i="1"/>
  <c r="J717" i="1" s="1"/>
  <c r="J716" i="1" s="1"/>
  <c r="J715" i="1" s="1"/>
  <c r="J714" i="1" s="1"/>
  <c r="J713" i="1" s="1"/>
  <c r="I718" i="1"/>
  <c r="I717" i="1" s="1"/>
  <c r="I716" i="1" s="1"/>
  <c r="I715" i="1" s="1"/>
  <c r="I714" i="1" s="1"/>
  <c r="I713" i="1" s="1"/>
  <c r="H718" i="1"/>
  <c r="H717" i="1" s="1"/>
  <c r="H716" i="1" s="1"/>
  <c r="H715" i="1" s="1"/>
  <c r="H714" i="1" s="1"/>
  <c r="H713" i="1" s="1"/>
  <c r="J711" i="1"/>
  <c r="I711" i="1"/>
  <c r="I710" i="1" s="1"/>
  <c r="I709" i="1" s="1"/>
  <c r="I708" i="1" s="1"/>
  <c r="I707" i="1" s="1"/>
  <c r="H711" i="1"/>
  <c r="H710" i="1" s="1"/>
  <c r="H709" i="1" s="1"/>
  <c r="H708" i="1" s="1"/>
  <c r="H707" i="1" s="1"/>
  <c r="J710" i="1"/>
  <c r="J709" i="1" s="1"/>
  <c r="J708" i="1" s="1"/>
  <c r="J707" i="1" s="1"/>
  <c r="J705" i="1"/>
  <c r="J704" i="1" s="1"/>
  <c r="J703" i="1" s="1"/>
  <c r="J702" i="1" s="1"/>
  <c r="J701" i="1" s="1"/>
  <c r="J700" i="1" s="1"/>
  <c r="I705" i="1"/>
  <c r="I704" i="1" s="1"/>
  <c r="I703" i="1" s="1"/>
  <c r="I702" i="1" s="1"/>
  <c r="I701" i="1" s="1"/>
  <c r="I700" i="1" s="1"/>
  <c r="H705" i="1"/>
  <c r="H704" i="1" s="1"/>
  <c r="H703" i="1" s="1"/>
  <c r="H702" i="1" s="1"/>
  <c r="H701" i="1" s="1"/>
  <c r="H700" i="1" s="1"/>
  <c r="J698" i="1"/>
  <c r="J697" i="1" s="1"/>
  <c r="J696" i="1" s="1"/>
  <c r="J695" i="1" s="1"/>
  <c r="J694" i="1" s="1"/>
  <c r="I698" i="1"/>
  <c r="I697" i="1" s="1"/>
  <c r="I696" i="1" s="1"/>
  <c r="I695" i="1" s="1"/>
  <c r="I694" i="1" s="1"/>
  <c r="H698" i="1"/>
  <c r="H697" i="1" s="1"/>
  <c r="H696" i="1" s="1"/>
  <c r="H695" i="1" s="1"/>
  <c r="H694" i="1" s="1"/>
  <c r="H692" i="1"/>
  <c r="H691" i="1" s="1"/>
  <c r="J691" i="1"/>
  <c r="I691" i="1"/>
  <c r="J689" i="1"/>
  <c r="J688" i="1" s="1"/>
  <c r="I689" i="1"/>
  <c r="I688" i="1" s="1"/>
  <c r="H689" i="1"/>
  <c r="H688" i="1" s="1"/>
  <c r="J685" i="1"/>
  <c r="I685" i="1"/>
  <c r="H685" i="1"/>
  <c r="J682" i="1"/>
  <c r="I682" i="1"/>
  <c r="I681" i="1" s="1"/>
  <c r="H682" i="1"/>
  <c r="J677" i="1"/>
  <c r="J676" i="1" s="1"/>
  <c r="J675" i="1" s="1"/>
  <c r="J674" i="1" s="1"/>
  <c r="I677" i="1"/>
  <c r="I676" i="1" s="1"/>
  <c r="I675" i="1" s="1"/>
  <c r="I674" i="1" s="1"/>
  <c r="H677" i="1"/>
  <c r="H676" i="1" s="1"/>
  <c r="H675" i="1" s="1"/>
  <c r="H674" i="1" s="1"/>
  <c r="J671" i="1"/>
  <c r="J670" i="1" s="1"/>
  <c r="J669" i="1" s="1"/>
  <c r="I671" i="1"/>
  <c r="I670" i="1" s="1"/>
  <c r="I669" i="1" s="1"/>
  <c r="H671" i="1"/>
  <c r="H670" i="1" s="1"/>
  <c r="H669" i="1" s="1"/>
  <c r="J666" i="1"/>
  <c r="J665" i="1" s="1"/>
  <c r="I666" i="1"/>
  <c r="I665" i="1" s="1"/>
  <c r="H666" i="1"/>
  <c r="H665" i="1" s="1"/>
  <c r="J663" i="1"/>
  <c r="I663" i="1"/>
  <c r="H663" i="1"/>
  <c r="J662" i="1"/>
  <c r="J661" i="1" s="1"/>
  <c r="I662" i="1"/>
  <c r="I661" i="1" s="1"/>
  <c r="I660" i="1" s="1"/>
  <c r="H662" i="1"/>
  <c r="H661" i="1" s="1"/>
  <c r="J658" i="1"/>
  <c r="J657" i="1" s="1"/>
  <c r="J656" i="1" s="1"/>
  <c r="J655" i="1" s="1"/>
  <c r="I658" i="1"/>
  <c r="I657" i="1" s="1"/>
  <c r="I656" i="1" s="1"/>
  <c r="I655" i="1" s="1"/>
  <c r="H658" i="1"/>
  <c r="H657" i="1" s="1"/>
  <c r="H656" i="1" s="1"/>
  <c r="H655" i="1" s="1"/>
  <c r="J651" i="1"/>
  <c r="J650" i="1" s="1"/>
  <c r="I651" i="1"/>
  <c r="I650" i="1" s="1"/>
  <c r="H651" i="1"/>
  <c r="H650" i="1" s="1"/>
  <c r="J648" i="1"/>
  <c r="J647" i="1" s="1"/>
  <c r="I648" i="1"/>
  <c r="I647" i="1" s="1"/>
  <c r="H648" i="1"/>
  <c r="H647" i="1" s="1"/>
  <c r="J645" i="1"/>
  <c r="I645" i="1"/>
  <c r="H645" i="1"/>
  <c r="J644" i="1"/>
  <c r="J643" i="1" s="1"/>
  <c r="I644" i="1"/>
  <c r="I643" i="1" s="1"/>
  <c r="H643" i="1"/>
  <c r="J642" i="1"/>
  <c r="J641" i="1" s="1"/>
  <c r="I642" i="1"/>
  <c r="H642" i="1"/>
  <c r="H641" i="1" s="1"/>
  <c r="I641" i="1"/>
  <c r="J638" i="1"/>
  <c r="J637" i="1" s="1"/>
  <c r="I638" i="1"/>
  <c r="I637" i="1" s="1"/>
  <c r="H638" i="1"/>
  <c r="H637" i="1" s="1"/>
  <c r="H636" i="1"/>
  <c r="H635" i="1" s="1"/>
  <c r="J635" i="1"/>
  <c r="I635" i="1"/>
  <c r="J634" i="1"/>
  <c r="J633" i="1" s="1"/>
  <c r="I634" i="1"/>
  <c r="I633" i="1" s="1"/>
  <c r="H634" i="1"/>
  <c r="H633" i="1" s="1"/>
  <c r="H632" i="1"/>
  <c r="H631" i="1" s="1"/>
  <c r="J631" i="1"/>
  <c r="I631" i="1"/>
  <c r="H629" i="1"/>
  <c r="J629" i="1"/>
  <c r="I629" i="1"/>
  <c r="J628" i="1"/>
  <c r="J627" i="1" s="1"/>
  <c r="I628" i="1"/>
  <c r="I627" i="1" s="1"/>
  <c r="H628" i="1"/>
  <c r="H627" i="1" s="1"/>
  <c r="H626" i="1"/>
  <c r="H625" i="1" s="1"/>
  <c r="J625" i="1"/>
  <c r="I625" i="1"/>
  <c r="H622" i="1"/>
  <c r="H621" i="1" s="1"/>
  <c r="J621" i="1"/>
  <c r="I621" i="1"/>
  <c r="J620" i="1"/>
  <c r="J619" i="1" s="1"/>
  <c r="I620" i="1"/>
  <c r="I619" i="1" s="1"/>
  <c r="H620" i="1"/>
  <c r="H619" i="1" s="1"/>
  <c r="J617" i="1"/>
  <c r="I617" i="1"/>
  <c r="H617" i="1"/>
  <c r="H615" i="1"/>
  <c r="H614" i="1" s="1"/>
  <c r="J614" i="1"/>
  <c r="I614" i="1"/>
  <c r="J613" i="1"/>
  <c r="J612" i="1" s="1"/>
  <c r="I613" i="1"/>
  <c r="I612" i="1" s="1"/>
  <c r="H612" i="1"/>
  <c r="J611" i="1"/>
  <c r="J610" i="1" s="1"/>
  <c r="I611" i="1"/>
  <c r="I610" i="1" s="1"/>
  <c r="H611" i="1"/>
  <c r="H610" i="1" s="1"/>
  <c r="I609" i="1"/>
  <c r="I608" i="1" s="1"/>
  <c r="H609" i="1"/>
  <c r="H608" i="1" s="1"/>
  <c r="J608" i="1"/>
  <c r="H607" i="1"/>
  <c r="J606" i="1"/>
  <c r="I606" i="1"/>
  <c r="H606" i="1"/>
  <c r="J600" i="1"/>
  <c r="J599" i="1" s="1"/>
  <c r="I600" i="1"/>
  <c r="I599" i="1" s="1"/>
  <c r="H600" i="1"/>
  <c r="H599" i="1" s="1"/>
  <c r="J598" i="1"/>
  <c r="J597" i="1" s="1"/>
  <c r="I598" i="1"/>
  <c r="I597" i="1" s="1"/>
  <c r="H598" i="1"/>
  <c r="H597" i="1"/>
  <c r="J596" i="1"/>
  <c r="J595" i="1" s="1"/>
  <c r="I596" i="1"/>
  <c r="H596" i="1"/>
  <c r="H595" i="1" s="1"/>
  <c r="I595" i="1"/>
  <c r="J592" i="1"/>
  <c r="J591" i="1" s="1"/>
  <c r="I592" i="1"/>
  <c r="H592" i="1"/>
  <c r="H591" i="1" s="1"/>
  <c r="I591" i="1"/>
  <c r="I588" i="1" s="1"/>
  <c r="I587" i="1" s="1"/>
  <c r="H590" i="1"/>
  <c r="H589" i="1" s="1"/>
  <c r="J589" i="1"/>
  <c r="I589" i="1"/>
  <c r="J582" i="1"/>
  <c r="J581" i="1" s="1"/>
  <c r="J580" i="1" s="1"/>
  <c r="J579" i="1" s="1"/>
  <c r="J578" i="1" s="1"/>
  <c r="J577" i="1" s="1"/>
  <c r="I582" i="1"/>
  <c r="I581" i="1" s="1"/>
  <c r="I580" i="1" s="1"/>
  <c r="I579" i="1" s="1"/>
  <c r="I578" i="1" s="1"/>
  <c r="I577" i="1" s="1"/>
  <c r="H582" i="1"/>
  <c r="H581" i="1" s="1"/>
  <c r="H580" i="1" s="1"/>
  <c r="H579" i="1" s="1"/>
  <c r="H578" i="1" s="1"/>
  <c r="H577" i="1" s="1"/>
  <c r="J575" i="1"/>
  <c r="J574" i="1" s="1"/>
  <c r="J573" i="1" s="1"/>
  <c r="J572" i="1" s="1"/>
  <c r="J571" i="1" s="1"/>
  <c r="J570" i="1" s="1"/>
  <c r="I575" i="1"/>
  <c r="I574" i="1" s="1"/>
  <c r="I573" i="1" s="1"/>
  <c r="I572" i="1" s="1"/>
  <c r="I571" i="1" s="1"/>
  <c r="I570" i="1" s="1"/>
  <c r="H575" i="1"/>
  <c r="H574" i="1" s="1"/>
  <c r="H573" i="1" s="1"/>
  <c r="H572" i="1" s="1"/>
  <c r="H571" i="1" s="1"/>
  <c r="H570" i="1" s="1"/>
  <c r="J567" i="1"/>
  <c r="J566" i="1" s="1"/>
  <c r="J565" i="1" s="1"/>
  <c r="J564" i="1" s="1"/>
  <c r="J563" i="1" s="1"/>
  <c r="J562" i="1" s="1"/>
  <c r="I567" i="1"/>
  <c r="I566" i="1" s="1"/>
  <c r="I565" i="1" s="1"/>
  <c r="I564" i="1" s="1"/>
  <c r="I563" i="1" s="1"/>
  <c r="I562" i="1" s="1"/>
  <c r="H567" i="1"/>
  <c r="H566" i="1" s="1"/>
  <c r="H565" i="1" s="1"/>
  <c r="H564" i="1" s="1"/>
  <c r="H563" i="1" s="1"/>
  <c r="H562" i="1" s="1"/>
  <c r="J560" i="1"/>
  <c r="J559" i="1" s="1"/>
  <c r="J558" i="1" s="1"/>
  <c r="J557" i="1" s="1"/>
  <c r="J556" i="1" s="1"/>
  <c r="J555" i="1" s="1"/>
  <c r="I560" i="1"/>
  <c r="I559" i="1" s="1"/>
  <c r="I558" i="1" s="1"/>
  <c r="I557" i="1" s="1"/>
  <c r="I556" i="1" s="1"/>
  <c r="I555" i="1" s="1"/>
  <c r="H560" i="1"/>
  <c r="H559" i="1" s="1"/>
  <c r="H558" i="1" s="1"/>
  <c r="H557" i="1" s="1"/>
  <c r="H556" i="1" s="1"/>
  <c r="H555" i="1" s="1"/>
  <c r="H553" i="1"/>
  <c r="J552" i="1"/>
  <c r="J551" i="1" s="1"/>
  <c r="J550" i="1" s="1"/>
  <c r="I552" i="1"/>
  <c r="I551" i="1" s="1"/>
  <c r="I550" i="1" s="1"/>
  <c r="H552" i="1"/>
  <c r="H551" i="1" s="1"/>
  <c r="H550" i="1" s="1"/>
  <c r="J548" i="1"/>
  <c r="J547" i="1" s="1"/>
  <c r="I548" i="1"/>
  <c r="I547" i="1" s="1"/>
  <c r="H548" i="1"/>
  <c r="H547" i="1" s="1"/>
  <c r="J543" i="1"/>
  <c r="I543" i="1"/>
  <c r="H543" i="1"/>
  <c r="H542" i="1"/>
  <c r="H541" i="1" s="1"/>
  <c r="J541" i="1"/>
  <c r="I541" i="1"/>
  <c r="J534" i="1"/>
  <c r="J533" i="1" s="1"/>
  <c r="J532" i="1" s="1"/>
  <c r="J531" i="1" s="1"/>
  <c r="J530" i="1" s="1"/>
  <c r="I534" i="1"/>
  <c r="I533" i="1" s="1"/>
  <c r="I532" i="1" s="1"/>
  <c r="I531" i="1" s="1"/>
  <c r="I530" i="1" s="1"/>
  <c r="H534" i="1"/>
  <c r="H533" i="1" s="1"/>
  <c r="H532" i="1" s="1"/>
  <c r="H531" i="1" s="1"/>
  <c r="H530" i="1" s="1"/>
  <c r="J528" i="1"/>
  <c r="J527" i="1" s="1"/>
  <c r="I528" i="1"/>
  <c r="I527" i="1" s="1"/>
  <c r="H528" i="1"/>
  <c r="H527" i="1" s="1"/>
  <c r="J522" i="1"/>
  <c r="J521" i="1" s="1"/>
  <c r="J520" i="1" s="1"/>
  <c r="J519" i="1" s="1"/>
  <c r="J518" i="1" s="1"/>
  <c r="J517" i="1" s="1"/>
  <c r="I522" i="1"/>
  <c r="I521" i="1" s="1"/>
  <c r="I520" i="1" s="1"/>
  <c r="I519" i="1" s="1"/>
  <c r="I518" i="1" s="1"/>
  <c r="I517" i="1" s="1"/>
  <c r="H522" i="1"/>
  <c r="H521" i="1" s="1"/>
  <c r="H520" i="1" s="1"/>
  <c r="H519" i="1" s="1"/>
  <c r="H518" i="1" s="1"/>
  <c r="H517" i="1" s="1"/>
  <c r="J515" i="1"/>
  <c r="I515" i="1"/>
  <c r="H515" i="1"/>
  <c r="J513" i="1"/>
  <c r="I513" i="1"/>
  <c r="H513" i="1"/>
  <c r="J507" i="1"/>
  <c r="J506" i="1" s="1"/>
  <c r="I507" i="1"/>
  <c r="I506" i="1" s="1"/>
  <c r="H507" i="1"/>
  <c r="H506" i="1" s="1"/>
  <c r="J502" i="1"/>
  <c r="I502" i="1"/>
  <c r="H502" i="1"/>
  <c r="J500" i="1"/>
  <c r="I500" i="1"/>
  <c r="H500" i="1"/>
  <c r="J494" i="1"/>
  <c r="I494" i="1"/>
  <c r="H494" i="1"/>
  <c r="J492" i="1"/>
  <c r="J491" i="1"/>
  <c r="I491" i="1"/>
  <c r="I490" i="1" s="1"/>
  <c r="H491" i="1"/>
  <c r="H490" i="1" s="1"/>
  <c r="J485" i="1"/>
  <c r="J484" i="1" s="1"/>
  <c r="I485" i="1"/>
  <c r="I484" i="1" s="1"/>
  <c r="H485" i="1"/>
  <c r="H484" i="1" s="1"/>
  <c r="J478" i="1"/>
  <c r="J477" i="1" s="1"/>
  <c r="J476" i="1" s="1"/>
  <c r="J475" i="1" s="1"/>
  <c r="J474" i="1" s="1"/>
  <c r="J473" i="1" s="1"/>
  <c r="I478" i="1"/>
  <c r="I477" i="1" s="1"/>
  <c r="I476" i="1" s="1"/>
  <c r="I475" i="1" s="1"/>
  <c r="I474" i="1" s="1"/>
  <c r="I473" i="1" s="1"/>
  <c r="H478" i="1"/>
  <c r="H477" i="1" s="1"/>
  <c r="H476" i="1" s="1"/>
  <c r="H475" i="1" s="1"/>
  <c r="H474" i="1" s="1"/>
  <c r="H473" i="1" s="1"/>
  <c r="H471" i="1"/>
  <c r="H470" i="1" s="1"/>
  <c r="H469" i="1" s="1"/>
  <c r="H468" i="1" s="1"/>
  <c r="H467" i="1" s="1"/>
  <c r="H466" i="1" s="1"/>
  <c r="J470" i="1"/>
  <c r="J469" i="1" s="1"/>
  <c r="J468" i="1" s="1"/>
  <c r="J467" i="1" s="1"/>
  <c r="J466" i="1" s="1"/>
  <c r="I470" i="1"/>
  <c r="I469" i="1" s="1"/>
  <c r="I468" i="1" s="1"/>
  <c r="I467" i="1" s="1"/>
  <c r="I466" i="1" s="1"/>
  <c r="J465" i="1"/>
  <c r="J462" i="1" s="1"/>
  <c r="J461" i="1" s="1"/>
  <c r="I465" i="1"/>
  <c r="I462" i="1" s="1"/>
  <c r="I461" i="1" s="1"/>
  <c r="I459" i="1" s="1"/>
  <c r="I458" i="1" s="1"/>
  <c r="H465" i="1"/>
  <c r="H462" i="1" s="1"/>
  <c r="H461" i="1" s="1"/>
  <c r="J457" i="1"/>
  <c r="J456" i="1" s="1"/>
  <c r="I457" i="1"/>
  <c r="I456" i="1" s="1"/>
  <c r="H457" i="1"/>
  <c r="H456" i="1" s="1"/>
  <c r="J455" i="1"/>
  <c r="J454" i="1" s="1"/>
  <c r="I455" i="1"/>
  <c r="I454" i="1" s="1"/>
  <c r="H455" i="1"/>
  <c r="H454" i="1" s="1"/>
  <c r="J445" i="1"/>
  <c r="I445" i="1"/>
  <c r="H445" i="1"/>
  <c r="J444" i="1"/>
  <c r="J443" i="1" s="1"/>
  <c r="I444" i="1"/>
  <c r="I443" i="1" s="1"/>
  <c r="H444" i="1"/>
  <c r="H443" i="1" s="1"/>
  <c r="J441" i="1"/>
  <c r="I441" i="1"/>
  <c r="H441" i="1"/>
  <c r="J433" i="1"/>
  <c r="J432" i="1" s="1"/>
  <c r="J431" i="1" s="1"/>
  <c r="J430" i="1" s="1"/>
  <c r="J429" i="1" s="1"/>
  <c r="I433" i="1"/>
  <c r="I432" i="1" s="1"/>
  <c r="I431" i="1" s="1"/>
  <c r="I430" i="1" s="1"/>
  <c r="I429" i="1" s="1"/>
  <c r="H433" i="1"/>
  <c r="H432" i="1" s="1"/>
  <c r="H431" i="1" s="1"/>
  <c r="H430" i="1" s="1"/>
  <c r="H429" i="1" s="1"/>
  <c r="J427" i="1"/>
  <c r="J426" i="1" s="1"/>
  <c r="J425" i="1" s="1"/>
  <c r="I427" i="1"/>
  <c r="I426" i="1" s="1"/>
  <c r="I425" i="1" s="1"/>
  <c r="H427" i="1"/>
  <c r="H426" i="1" s="1"/>
  <c r="H425" i="1" s="1"/>
  <c r="H424" i="1"/>
  <c r="H423" i="1" s="1"/>
  <c r="H422" i="1" s="1"/>
  <c r="J423" i="1"/>
  <c r="J422" i="1" s="1"/>
  <c r="I423" i="1"/>
  <c r="I422" i="1" s="1"/>
  <c r="J421" i="1"/>
  <c r="J420" i="1" s="1"/>
  <c r="J419" i="1" s="1"/>
  <c r="I421" i="1"/>
  <c r="I420" i="1" s="1"/>
  <c r="I419" i="1" s="1"/>
  <c r="H421" i="1"/>
  <c r="H420" i="1" s="1"/>
  <c r="H419" i="1" s="1"/>
  <c r="J415" i="1"/>
  <c r="I415" i="1"/>
  <c r="H415" i="1"/>
  <c r="J409" i="1"/>
  <c r="I409" i="1"/>
  <c r="H409" i="1"/>
  <c r="J402" i="1"/>
  <c r="J401" i="1" s="1"/>
  <c r="J400" i="1" s="1"/>
  <c r="J399" i="1" s="1"/>
  <c r="J398" i="1" s="1"/>
  <c r="I402" i="1"/>
  <c r="I401" i="1" s="1"/>
  <c r="I400" i="1" s="1"/>
  <c r="I399" i="1" s="1"/>
  <c r="I398" i="1" s="1"/>
  <c r="H402" i="1"/>
  <c r="H401" i="1" s="1"/>
  <c r="H400" i="1" s="1"/>
  <c r="H399" i="1" s="1"/>
  <c r="H398" i="1" s="1"/>
  <c r="J395" i="1"/>
  <c r="J394" i="1" s="1"/>
  <c r="J393" i="1" s="1"/>
  <c r="J392" i="1" s="1"/>
  <c r="I395" i="1"/>
  <c r="I394" i="1" s="1"/>
  <c r="I393" i="1" s="1"/>
  <c r="I392" i="1" s="1"/>
  <c r="H395" i="1"/>
  <c r="H394" i="1" s="1"/>
  <c r="H393" i="1" s="1"/>
  <c r="H392" i="1" s="1"/>
  <c r="H391" i="1"/>
  <c r="H390" i="1" s="1"/>
  <c r="H389" i="1" s="1"/>
  <c r="H388" i="1" s="1"/>
  <c r="H387" i="1" s="1"/>
  <c r="H386" i="1" s="1"/>
  <c r="J390" i="1"/>
  <c r="J389" i="1" s="1"/>
  <c r="J388" i="1" s="1"/>
  <c r="J387" i="1" s="1"/>
  <c r="J386" i="1" s="1"/>
  <c r="I390" i="1"/>
  <c r="I389" i="1" s="1"/>
  <c r="I388" i="1" s="1"/>
  <c r="I387" i="1" s="1"/>
  <c r="I386" i="1" s="1"/>
  <c r="J384" i="1"/>
  <c r="J382" i="1" s="1"/>
  <c r="I384" i="1"/>
  <c r="I382" i="1" s="1"/>
  <c r="H384" i="1"/>
  <c r="H383" i="1"/>
  <c r="J381" i="1"/>
  <c r="I381" i="1"/>
  <c r="J380" i="1"/>
  <c r="I380" i="1"/>
  <c r="H380" i="1"/>
  <c r="H377" i="1" s="1"/>
  <c r="J372" i="1"/>
  <c r="J371" i="1" s="1"/>
  <c r="I372" i="1"/>
  <c r="I371" i="1" s="1"/>
  <c r="H372" i="1"/>
  <c r="H371" i="1" s="1"/>
  <c r="H369" i="1"/>
  <c r="H368" i="1" s="1"/>
  <c r="H367" i="1" s="1"/>
  <c r="J368" i="1"/>
  <c r="J367" i="1" s="1"/>
  <c r="I368" i="1"/>
  <c r="I367" i="1" s="1"/>
  <c r="J363" i="1"/>
  <c r="I363" i="1"/>
  <c r="H363" i="1"/>
  <c r="H362" i="1"/>
  <c r="I361" i="1"/>
  <c r="H361" i="1"/>
  <c r="H360" i="1"/>
  <c r="H359" i="1" s="1"/>
  <c r="J359" i="1"/>
  <c r="I359" i="1"/>
  <c r="J356" i="1"/>
  <c r="I356" i="1"/>
  <c r="H356" i="1"/>
  <c r="J348" i="1"/>
  <c r="J347" i="1" s="1"/>
  <c r="J346" i="1" s="1"/>
  <c r="I348" i="1"/>
  <c r="I347" i="1" s="1"/>
  <c r="I346" i="1" s="1"/>
  <c r="H348" i="1"/>
  <c r="H347" i="1" s="1"/>
  <c r="H346" i="1" s="1"/>
  <c r="J344" i="1"/>
  <c r="J343" i="1" s="1"/>
  <c r="J342" i="1" s="1"/>
  <c r="I344" i="1"/>
  <c r="I343" i="1" s="1"/>
  <c r="I342" i="1" s="1"/>
  <c r="H344" i="1"/>
  <c r="H343" i="1" s="1"/>
  <c r="H342" i="1" s="1"/>
  <c r="J338" i="1"/>
  <c r="J337" i="1" s="1"/>
  <c r="J336" i="1" s="1"/>
  <c r="J335" i="1" s="1"/>
  <c r="J334" i="1" s="1"/>
  <c r="I338" i="1"/>
  <c r="I337" i="1" s="1"/>
  <c r="I336" i="1" s="1"/>
  <c r="I335" i="1" s="1"/>
  <c r="I334" i="1" s="1"/>
  <c r="H338" i="1"/>
  <c r="H337" i="1" s="1"/>
  <c r="H336" i="1" s="1"/>
  <c r="H335" i="1" s="1"/>
  <c r="H334" i="1" s="1"/>
  <c r="H333" i="1"/>
  <c r="H332" i="1" s="1"/>
  <c r="H331" i="1" s="1"/>
  <c r="H330" i="1" s="1"/>
  <c r="H329" i="1" s="1"/>
  <c r="H328" i="1" s="1"/>
  <c r="J332" i="1"/>
  <c r="J331" i="1" s="1"/>
  <c r="J330" i="1" s="1"/>
  <c r="J329" i="1" s="1"/>
  <c r="J328" i="1" s="1"/>
  <c r="I332" i="1"/>
  <c r="I331" i="1" s="1"/>
  <c r="I330" i="1" s="1"/>
  <c r="I329" i="1" s="1"/>
  <c r="I328" i="1" s="1"/>
  <c r="J325" i="1"/>
  <c r="J323" i="1" s="1"/>
  <c r="J322" i="1" s="1"/>
  <c r="J321" i="1" s="1"/>
  <c r="I325" i="1"/>
  <c r="I323" i="1" s="1"/>
  <c r="I322" i="1" s="1"/>
  <c r="I321" i="1" s="1"/>
  <c r="H325" i="1"/>
  <c r="H323" i="1" s="1"/>
  <c r="H322" i="1" s="1"/>
  <c r="H321" i="1" s="1"/>
  <c r="H320" i="1"/>
  <c r="H319" i="1" s="1"/>
  <c r="H318" i="1" s="1"/>
  <c r="J319" i="1"/>
  <c r="J318" i="1" s="1"/>
  <c r="I319" i="1"/>
  <c r="I318" i="1" s="1"/>
  <c r="H317" i="1"/>
  <c r="H316" i="1" s="1"/>
  <c r="H315" i="1" s="1"/>
  <c r="J316" i="1"/>
  <c r="J315" i="1" s="1"/>
  <c r="I316" i="1"/>
  <c r="I315" i="1" s="1"/>
  <c r="J309" i="1"/>
  <c r="I309" i="1"/>
  <c r="H309" i="1"/>
  <c r="J308" i="1"/>
  <c r="J307" i="1" s="1"/>
  <c r="I307" i="1"/>
  <c r="H307" i="1"/>
  <c r="J302" i="1"/>
  <c r="J301" i="1" s="1"/>
  <c r="J300" i="1" s="1"/>
  <c r="J299" i="1" s="1"/>
  <c r="I302" i="1"/>
  <c r="I301" i="1" s="1"/>
  <c r="I300" i="1" s="1"/>
  <c r="I299" i="1" s="1"/>
  <c r="H302" i="1"/>
  <c r="H301" i="1" s="1"/>
  <c r="H300" i="1" s="1"/>
  <c r="H299" i="1" s="1"/>
  <c r="J298" i="1"/>
  <c r="J297" i="1" s="1"/>
  <c r="I298" i="1"/>
  <c r="I297" i="1" s="1"/>
  <c r="H298" i="1"/>
  <c r="H297" i="1" s="1"/>
  <c r="J295" i="1"/>
  <c r="I295" i="1"/>
  <c r="H295" i="1"/>
  <c r="H293" i="1"/>
  <c r="H292" i="1" s="1"/>
  <c r="H291" i="1" s="1"/>
  <c r="J292" i="1"/>
  <c r="J291" i="1" s="1"/>
  <c r="I292" i="1"/>
  <c r="I291" i="1" s="1"/>
  <c r="H290" i="1"/>
  <c r="H289" i="1" s="1"/>
  <c r="J289" i="1"/>
  <c r="J286" i="1" s="1"/>
  <c r="I289" i="1"/>
  <c r="I286" i="1" s="1"/>
  <c r="H288" i="1"/>
  <c r="H287" i="1" s="1"/>
  <c r="J287" i="1"/>
  <c r="I287" i="1"/>
  <c r="H284" i="1"/>
  <c r="J283" i="1"/>
  <c r="I283" i="1"/>
  <c r="H283" i="1"/>
  <c r="J282" i="1"/>
  <c r="J281" i="1" s="1"/>
  <c r="I282" i="1"/>
  <c r="I281" i="1" s="1"/>
  <c r="H282" i="1"/>
  <c r="H281" i="1" s="1"/>
  <c r="H276" i="1"/>
  <c r="H275" i="1" s="1"/>
  <c r="H274" i="1" s="1"/>
  <c r="H273" i="1" s="1"/>
  <c r="H272" i="1" s="1"/>
  <c r="J275" i="1"/>
  <c r="J274" i="1" s="1"/>
  <c r="J273" i="1" s="1"/>
  <c r="J272" i="1" s="1"/>
  <c r="I275" i="1"/>
  <c r="I274" i="1" s="1"/>
  <c r="I273" i="1" s="1"/>
  <c r="I272" i="1" s="1"/>
  <c r="J270" i="1"/>
  <c r="I270" i="1"/>
  <c r="H270" i="1"/>
  <c r="H269" i="1"/>
  <c r="H268" i="1" s="1"/>
  <c r="J268" i="1"/>
  <c r="I268" i="1"/>
  <c r="J266" i="1"/>
  <c r="J265" i="1" s="1"/>
  <c r="I266" i="1"/>
  <c r="I265" i="1" s="1"/>
  <c r="H266" i="1"/>
  <c r="H265" i="1" s="1"/>
  <c r="J262" i="1"/>
  <c r="J261" i="1" s="1"/>
  <c r="J260" i="1" s="1"/>
  <c r="I262" i="1"/>
  <c r="I261" i="1" s="1"/>
  <c r="I260" i="1" s="1"/>
  <c r="H262" i="1"/>
  <c r="H261" i="1" s="1"/>
  <c r="H260" i="1" s="1"/>
  <c r="J258" i="1"/>
  <c r="J257" i="1" s="1"/>
  <c r="I258" i="1"/>
  <c r="I257" i="1" s="1"/>
  <c r="H258" i="1"/>
  <c r="H257" i="1" s="1"/>
  <c r="J255" i="1"/>
  <c r="J254" i="1" s="1"/>
  <c r="I255" i="1"/>
  <c r="I254" i="1" s="1"/>
  <c r="H255" i="1"/>
  <c r="H254" i="1" s="1"/>
  <c r="H253" i="1"/>
  <c r="H251" i="1" s="1"/>
  <c r="J251" i="1"/>
  <c r="I251" i="1"/>
  <c r="H250" i="1"/>
  <c r="J248" i="1"/>
  <c r="I248" i="1"/>
  <c r="H248" i="1"/>
  <c r="H243" i="1"/>
  <c r="H242" i="1" s="1"/>
  <c r="H241" i="1" s="1"/>
  <c r="J242" i="1"/>
  <c r="J241" i="1" s="1"/>
  <c r="I242" i="1"/>
  <c r="I241" i="1" s="1"/>
  <c r="J240" i="1"/>
  <c r="J239" i="1" s="1"/>
  <c r="J238" i="1" s="1"/>
  <c r="I240" i="1"/>
  <c r="I239" i="1" s="1"/>
  <c r="I238" i="1" s="1"/>
  <c r="H240" i="1"/>
  <c r="H239" i="1" s="1"/>
  <c r="H238" i="1" s="1"/>
  <c r="J236" i="1"/>
  <c r="J235" i="1" s="1"/>
  <c r="I236" i="1"/>
  <c r="I235" i="1" s="1"/>
  <c r="H236" i="1"/>
  <c r="H235" i="1" s="1"/>
  <c r="J234" i="1"/>
  <c r="J233" i="1" s="1"/>
  <c r="I234" i="1"/>
  <c r="H234" i="1"/>
  <c r="H233" i="1" s="1"/>
  <c r="I233" i="1"/>
  <c r="J228" i="1"/>
  <c r="J227" i="1" s="1"/>
  <c r="J226" i="1" s="1"/>
  <c r="I228" i="1"/>
  <c r="I227" i="1" s="1"/>
  <c r="I226" i="1" s="1"/>
  <c r="H228" i="1"/>
  <c r="H227" i="1" s="1"/>
  <c r="H226" i="1" s="1"/>
  <c r="J223" i="1"/>
  <c r="J222" i="1" s="1"/>
  <c r="I223" i="1"/>
  <c r="I222" i="1" s="1"/>
  <c r="H223" i="1"/>
  <c r="H222" i="1" s="1"/>
  <c r="J221" i="1"/>
  <c r="J220" i="1" s="1"/>
  <c r="I221" i="1"/>
  <c r="I220" i="1" s="1"/>
  <c r="H221" i="1"/>
  <c r="H220" i="1" s="1"/>
  <c r="J216" i="1"/>
  <c r="I216" i="1"/>
  <c r="H216" i="1"/>
  <c r="J214" i="1"/>
  <c r="I214" i="1"/>
  <c r="H214" i="1"/>
  <c r="H209" i="1"/>
  <c r="H208" i="1" s="1"/>
  <c r="H207" i="1" s="1"/>
  <c r="H206" i="1" s="1"/>
  <c r="H205" i="1" s="1"/>
  <c r="J208" i="1"/>
  <c r="J207" i="1" s="1"/>
  <c r="J206" i="1" s="1"/>
  <c r="J205" i="1" s="1"/>
  <c r="I208" i="1"/>
  <c r="I207" i="1" s="1"/>
  <c r="I206" i="1" s="1"/>
  <c r="I205" i="1" s="1"/>
  <c r="J203" i="1"/>
  <c r="J202" i="1" s="1"/>
  <c r="I203" i="1"/>
  <c r="I202" i="1" s="1"/>
  <c r="H203" i="1"/>
  <c r="H202" i="1" s="1"/>
  <c r="H201" i="1"/>
  <c r="H200" i="1" s="1"/>
  <c r="H199" i="1" s="1"/>
  <c r="J200" i="1"/>
  <c r="J199" i="1" s="1"/>
  <c r="I200" i="1"/>
  <c r="I199" i="1" s="1"/>
  <c r="J196" i="1"/>
  <c r="I196" i="1"/>
  <c r="H196" i="1"/>
  <c r="J195" i="1"/>
  <c r="J194" i="1" s="1"/>
  <c r="I195" i="1"/>
  <c r="I194" i="1" s="1"/>
  <c r="H195" i="1"/>
  <c r="H194" i="1" s="1"/>
  <c r="J189" i="1"/>
  <c r="J188" i="1" s="1"/>
  <c r="J187" i="1" s="1"/>
  <c r="I189" i="1"/>
  <c r="I188" i="1" s="1"/>
  <c r="I187" i="1" s="1"/>
  <c r="H189" i="1"/>
  <c r="H188" i="1" s="1"/>
  <c r="H187" i="1" s="1"/>
  <c r="J186" i="1"/>
  <c r="J185" i="1" s="1"/>
  <c r="J184" i="1" s="1"/>
  <c r="I186" i="1"/>
  <c r="I185" i="1" s="1"/>
  <c r="I184" i="1" s="1"/>
  <c r="H186" i="1"/>
  <c r="H185" i="1" s="1"/>
  <c r="H184" i="1" s="1"/>
  <c r="J179" i="1"/>
  <c r="J178" i="1" s="1"/>
  <c r="J177" i="1" s="1"/>
  <c r="J176" i="1" s="1"/>
  <c r="J175" i="1" s="1"/>
  <c r="I179" i="1"/>
  <c r="I178" i="1" s="1"/>
  <c r="I177" i="1" s="1"/>
  <c r="I176" i="1" s="1"/>
  <c r="I175" i="1" s="1"/>
  <c r="H179" i="1"/>
  <c r="H178" i="1" s="1"/>
  <c r="H177" i="1" s="1"/>
  <c r="H176" i="1" s="1"/>
  <c r="H175" i="1" s="1"/>
  <c r="J173" i="1"/>
  <c r="I173" i="1"/>
  <c r="I171" i="1" s="1"/>
  <c r="H173" i="1"/>
  <c r="H171" i="1" s="1"/>
  <c r="J171" i="1"/>
  <c r="J169" i="1"/>
  <c r="I169" i="1"/>
  <c r="H169" i="1"/>
  <c r="J167" i="1"/>
  <c r="I167" i="1"/>
  <c r="H167" i="1"/>
  <c r="J163" i="1"/>
  <c r="J162" i="1" s="1"/>
  <c r="I163" i="1"/>
  <c r="I162" i="1" s="1"/>
  <c r="H163" i="1"/>
  <c r="H162" i="1" s="1"/>
  <c r="J159" i="1"/>
  <c r="I159" i="1"/>
  <c r="H159" i="1"/>
  <c r="H158" i="1"/>
  <c r="H157" i="1" s="1"/>
  <c r="J157" i="1"/>
  <c r="I157" i="1"/>
  <c r="J156" i="1"/>
  <c r="J155" i="1" s="1"/>
  <c r="I156" i="1"/>
  <c r="I155" i="1" s="1"/>
  <c r="H156" i="1"/>
  <c r="H155" i="1" s="1"/>
  <c r="J149" i="1"/>
  <c r="J148" i="1" s="1"/>
  <c r="J147" i="1" s="1"/>
  <c r="I149" i="1"/>
  <c r="I148" i="1" s="1"/>
  <c r="I147" i="1" s="1"/>
  <c r="H149" i="1"/>
  <c r="H148" i="1" s="1"/>
  <c r="H147" i="1" s="1"/>
  <c r="J145" i="1"/>
  <c r="I145" i="1"/>
  <c r="H145" i="1"/>
  <c r="J143" i="1"/>
  <c r="I143" i="1"/>
  <c r="H143" i="1"/>
  <c r="J141" i="1"/>
  <c r="I141" i="1"/>
  <c r="H141" i="1"/>
  <c r="J139" i="1"/>
  <c r="I139" i="1"/>
  <c r="H139" i="1"/>
  <c r="J137" i="1"/>
  <c r="I137" i="1"/>
  <c r="H137" i="1"/>
  <c r="J130" i="1"/>
  <c r="J129" i="1" s="1"/>
  <c r="J128" i="1" s="1"/>
  <c r="J127" i="1" s="1"/>
  <c r="J126" i="1" s="1"/>
  <c r="J125" i="1" s="1"/>
  <c r="I130" i="1"/>
  <c r="I129" i="1" s="1"/>
  <c r="I128" i="1" s="1"/>
  <c r="I127" i="1" s="1"/>
  <c r="I126" i="1" s="1"/>
  <c r="I125" i="1" s="1"/>
  <c r="H130" i="1"/>
  <c r="H129" i="1" s="1"/>
  <c r="H128" i="1" s="1"/>
  <c r="H127" i="1" s="1"/>
  <c r="H126" i="1" s="1"/>
  <c r="H125" i="1" s="1"/>
  <c r="J124" i="1"/>
  <c r="J123" i="1" s="1"/>
  <c r="J122" i="1" s="1"/>
  <c r="J121" i="1" s="1"/>
  <c r="J120" i="1" s="1"/>
  <c r="I124" i="1"/>
  <c r="I123" i="1" s="1"/>
  <c r="I122" i="1" s="1"/>
  <c r="I121" i="1" s="1"/>
  <c r="I120" i="1" s="1"/>
  <c r="H124" i="1"/>
  <c r="H123" i="1" s="1"/>
  <c r="H122" i="1" s="1"/>
  <c r="H121" i="1" s="1"/>
  <c r="H120" i="1" s="1"/>
  <c r="H119" i="1"/>
  <c r="H118" i="1"/>
  <c r="J117" i="1"/>
  <c r="J116" i="1" s="1"/>
  <c r="I117" i="1"/>
  <c r="I116" i="1" s="1"/>
  <c r="J114" i="1"/>
  <c r="J113" i="1" s="1"/>
  <c r="I114" i="1"/>
  <c r="I113" i="1" s="1"/>
  <c r="H114" i="1"/>
  <c r="H113" i="1" s="1"/>
  <c r="J108" i="1"/>
  <c r="J107" i="1" s="1"/>
  <c r="J106" i="1" s="1"/>
  <c r="I108" i="1"/>
  <c r="I107" i="1" s="1"/>
  <c r="I106" i="1" s="1"/>
  <c r="H108" i="1"/>
  <c r="H107" i="1" s="1"/>
  <c r="H106" i="1" s="1"/>
  <c r="J103" i="1"/>
  <c r="J102" i="1" s="1"/>
  <c r="I103" i="1"/>
  <c r="I102" i="1" s="1"/>
  <c r="H103" i="1"/>
  <c r="H102" i="1" s="1"/>
  <c r="J100" i="1"/>
  <c r="I100" i="1"/>
  <c r="H100" i="1"/>
  <c r="J98" i="1"/>
  <c r="I98" i="1"/>
  <c r="H98" i="1"/>
  <c r="J94" i="1"/>
  <c r="J93" i="1" s="1"/>
  <c r="I94" i="1"/>
  <c r="I93" i="1" s="1"/>
  <c r="H94" i="1"/>
  <c r="H93" i="1" s="1"/>
  <c r="J91" i="1"/>
  <c r="J90" i="1" s="1"/>
  <c r="I91" i="1"/>
  <c r="I90" i="1" s="1"/>
  <c r="H91" i="1"/>
  <c r="H90" i="1" s="1"/>
  <c r="J88" i="1"/>
  <c r="J87" i="1" s="1"/>
  <c r="I88" i="1"/>
  <c r="I87" i="1" s="1"/>
  <c r="H88" i="1"/>
  <c r="H87" i="1" s="1"/>
  <c r="J85" i="1"/>
  <c r="J84" i="1" s="1"/>
  <c r="I85" i="1"/>
  <c r="I84" i="1" s="1"/>
  <c r="H85" i="1"/>
  <c r="H84" i="1" s="1"/>
  <c r="J80" i="1"/>
  <c r="J79" i="1" s="1"/>
  <c r="J78" i="1" s="1"/>
  <c r="I80" i="1"/>
  <c r="I79" i="1" s="1"/>
  <c r="I78" i="1" s="1"/>
  <c r="H80" i="1"/>
  <c r="H79" i="1" s="1"/>
  <c r="H78" i="1" s="1"/>
  <c r="J76" i="1"/>
  <c r="J75" i="1" s="1"/>
  <c r="I76" i="1"/>
  <c r="I75" i="1" s="1"/>
  <c r="H76" i="1"/>
  <c r="H75" i="1" s="1"/>
  <c r="J72" i="1"/>
  <c r="I72" i="1"/>
  <c r="H72" i="1"/>
  <c r="J69" i="1"/>
  <c r="J68" i="1" s="1"/>
  <c r="I69" i="1"/>
  <c r="I68" i="1" s="1"/>
  <c r="H69" i="1"/>
  <c r="H68" i="1" s="1"/>
  <c r="J64" i="1"/>
  <c r="I64" i="1"/>
  <c r="H64" i="1"/>
  <c r="J62" i="1"/>
  <c r="I62" i="1"/>
  <c r="H62" i="1"/>
  <c r="J58" i="1"/>
  <c r="J57" i="1" s="1"/>
  <c r="J56" i="1" s="1"/>
  <c r="I58" i="1"/>
  <c r="I57" i="1" s="1"/>
  <c r="I56" i="1" s="1"/>
  <c r="H58" i="1"/>
  <c r="H57" i="1" s="1"/>
  <c r="H56" i="1" s="1"/>
  <c r="J54" i="1"/>
  <c r="J53" i="1" s="1"/>
  <c r="J52" i="1" s="1"/>
  <c r="I54" i="1"/>
  <c r="I53" i="1" s="1"/>
  <c r="I52" i="1" s="1"/>
  <c r="H54" i="1"/>
  <c r="H53" i="1" s="1"/>
  <c r="H52" i="1" s="1"/>
  <c r="J49" i="1"/>
  <c r="J48" i="1" s="1"/>
  <c r="J47" i="1" s="1"/>
  <c r="J46" i="1" s="1"/>
  <c r="I49" i="1"/>
  <c r="I48" i="1" s="1"/>
  <c r="I47" i="1" s="1"/>
  <c r="I46" i="1" s="1"/>
  <c r="H49" i="1"/>
  <c r="H48" i="1" s="1"/>
  <c r="H47" i="1" s="1"/>
  <c r="H46" i="1" s="1"/>
  <c r="J45" i="1"/>
  <c r="J43" i="1" s="1"/>
  <c r="J42" i="1" s="1"/>
  <c r="J41" i="1" s="1"/>
  <c r="J40" i="1" s="1"/>
  <c r="I45" i="1"/>
  <c r="I43" i="1" s="1"/>
  <c r="I42" i="1" s="1"/>
  <c r="I41" i="1" s="1"/>
  <c r="I40" i="1" s="1"/>
  <c r="H45" i="1"/>
  <c r="H43" i="1" s="1"/>
  <c r="H42" i="1" s="1"/>
  <c r="H41" i="1" s="1"/>
  <c r="H40" i="1" s="1"/>
  <c r="H39" i="1"/>
  <c r="H38" i="1" s="1"/>
  <c r="H37" i="1" s="1"/>
  <c r="H36" i="1" s="1"/>
  <c r="J38" i="1"/>
  <c r="J37" i="1" s="1"/>
  <c r="J36" i="1" s="1"/>
  <c r="I38" i="1"/>
  <c r="I37" i="1" s="1"/>
  <c r="I36" i="1" s="1"/>
  <c r="J34" i="1"/>
  <c r="J33" i="1" s="1"/>
  <c r="I34" i="1"/>
  <c r="I33" i="1" s="1"/>
  <c r="H34" i="1"/>
  <c r="H33" i="1" s="1"/>
  <c r="J31" i="1"/>
  <c r="I31" i="1"/>
  <c r="H31" i="1"/>
  <c r="J30" i="1"/>
  <c r="J29" i="1" s="1"/>
  <c r="I30" i="1"/>
  <c r="I29" i="1" s="1"/>
  <c r="H30" i="1"/>
  <c r="H29" i="1" s="1"/>
  <c r="J28" i="1"/>
  <c r="I28" i="1"/>
  <c r="H28" i="1"/>
  <c r="H27" i="1"/>
  <c r="J26" i="1"/>
  <c r="I26" i="1"/>
  <c r="I25" i="1" s="1"/>
  <c r="H26" i="1"/>
  <c r="J19" i="1"/>
  <c r="J18" i="1" s="1"/>
  <c r="J17" i="1" s="1"/>
  <c r="J16" i="1" s="1"/>
  <c r="I19" i="1"/>
  <c r="I18" i="1" s="1"/>
  <c r="I17" i="1" s="1"/>
  <c r="I16" i="1" s="1"/>
  <c r="H19" i="1"/>
  <c r="H18" i="1" s="1"/>
  <c r="H17" i="1" s="1"/>
  <c r="H16" i="1" s="1"/>
  <c r="J14" i="1"/>
  <c r="J13" i="1" s="1"/>
  <c r="J12" i="1" s="1"/>
  <c r="J11" i="1" s="1"/>
  <c r="J10" i="1" s="1"/>
  <c r="J9" i="1" s="1"/>
  <c r="I14" i="1"/>
  <c r="I13" i="1" s="1"/>
  <c r="I12" i="1" s="1"/>
  <c r="I11" i="1" s="1"/>
  <c r="I10" i="1" s="1"/>
  <c r="I9" i="1" s="1"/>
  <c r="H14" i="1"/>
  <c r="H13" i="1" s="1"/>
  <c r="H12" i="1" s="1"/>
  <c r="H11" i="1" s="1"/>
  <c r="H10" i="1" s="1"/>
  <c r="H9" i="1" s="1"/>
  <c r="J660" i="1" l="1"/>
  <c r="H213" i="1"/>
  <c r="H212" i="1" s="1"/>
  <c r="I314" i="1"/>
  <c r="J588" i="1"/>
  <c r="J587" i="1" s="1"/>
  <c r="J61" i="1"/>
  <c r="I725" i="1"/>
  <c r="I724" i="1" s="1"/>
  <c r="I723" i="1" s="1"/>
  <c r="I722" i="1" s="1"/>
  <c r="I721" i="1" s="1"/>
  <c r="H489" i="1"/>
  <c r="H488" i="1" s="1"/>
  <c r="H487" i="1" s="1"/>
  <c r="H483" i="1" s="1"/>
  <c r="J232" i="1"/>
  <c r="J231" i="1" s="1"/>
  <c r="J154" i="1"/>
  <c r="J153" i="1" s="1"/>
  <c r="H355" i="1"/>
  <c r="H354" i="1" s="1"/>
  <c r="I489" i="1"/>
  <c r="I488" i="1" s="1"/>
  <c r="I487" i="1" s="1"/>
  <c r="J306" i="1"/>
  <c r="J305" i="1" s="1"/>
  <c r="J304" i="1" s="1"/>
  <c r="H97" i="1"/>
  <c r="H83" i="1" s="1"/>
  <c r="H82" i="1" s="1"/>
  <c r="H408" i="1"/>
  <c r="H407" i="1" s="1"/>
  <c r="J418" i="1"/>
  <c r="J417" i="1" s="1"/>
  <c r="H687" i="1"/>
  <c r="I306" i="1"/>
  <c r="I305" i="1" s="1"/>
  <c r="I304" i="1" s="1"/>
  <c r="H341" i="1"/>
  <c r="H340" i="1" s="1"/>
  <c r="H327" i="1" s="1"/>
  <c r="H219" i="1"/>
  <c r="H218" i="1" s="1"/>
  <c r="I616" i="1"/>
  <c r="H769" i="1"/>
  <c r="H768" i="1" s="1"/>
  <c r="H767" i="1" s="1"/>
  <c r="H766" i="1" s="1"/>
  <c r="H765" i="1" s="1"/>
  <c r="J183" i="1"/>
  <c r="J182" i="1" s="1"/>
  <c r="J181" i="1" s="1"/>
  <c r="H193" i="1"/>
  <c r="H192" i="1" s="1"/>
  <c r="I237" i="1"/>
  <c r="H306" i="1"/>
  <c r="H305" i="1" s="1"/>
  <c r="H304" i="1" s="1"/>
  <c r="I687" i="1"/>
  <c r="I680" i="1" s="1"/>
  <c r="I679" i="1" s="1"/>
  <c r="I668" i="1" s="1"/>
  <c r="H743" i="1"/>
  <c r="H742" i="1" s="1"/>
  <c r="H741" i="1" s="1"/>
  <c r="H740" i="1" s="1"/>
  <c r="H739" i="1" s="1"/>
  <c r="J97" i="1"/>
  <c r="J83" i="1" s="1"/>
  <c r="J82" i="1" s="1"/>
  <c r="J166" i="1"/>
  <c r="J165" i="1" s="1"/>
  <c r="J264" i="1"/>
  <c r="J263" i="1" s="1"/>
  <c r="J408" i="1"/>
  <c r="J407" i="1" s="1"/>
  <c r="H25" i="1"/>
  <c r="H24" i="1" s="1"/>
  <c r="H23" i="1" s="1"/>
  <c r="H22" i="1" s="1"/>
  <c r="H15" i="1" s="1"/>
  <c r="I24" i="1"/>
  <c r="I23" i="1" s="1"/>
  <c r="I22" i="1" s="1"/>
  <c r="I15" i="1" s="1"/>
  <c r="H61" i="1"/>
  <c r="J112" i="1"/>
  <c r="J105" i="1" s="1"/>
  <c r="I61" i="1"/>
  <c r="H117" i="1"/>
  <c r="H116" i="1" s="1"/>
  <c r="H112" i="1" s="1"/>
  <c r="H105" i="1" s="1"/>
  <c r="I193" i="1"/>
  <c r="I192" i="1" s="1"/>
  <c r="I213" i="1"/>
  <c r="I212" i="1" s="1"/>
  <c r="H237" i="1"/>
  <c r="J247" i="1"/>
  <c r="J246" i="1" s="1"/>
  <c r="H540" i="1"/>
  <c r="H539" i="1" s="1"/>
  <c r="H546" i="1"/>
  <c r="H725" i="1"/>
  <c r="H724" i="1" s="1"/>
  <c r="H723" i="1" s="1"/>
  <c r="H722" i="1" s="1"/>
  <c r="H721" i="1" s="1"/>
  <c r="I71" i="1"/>
  <c r="I67" i="1" s="1"/>
  <c r="I66" i="1" s="1"/>
  <c r="H136" i="1"/>
  <c r="H135" i="1" s="1"/>
  <c r="H134" i="1" s="1"/>
  <c r="H133" i="1" s="1"/>
  <c r="I264" i="1"/>
  <c r="I263" i="1" s="1"/>
  <c r="J377" i="1"/>
  <c r="J376" i="1" s="1"/>
  <c r="J370" i="1" s="1"/>
  <c r="H382" i="1"/>
  <c r="H376" i="1" s="1"/>
  <c r="H370" i="1" s="1"/>
  <c r="I453" i="1"/>
  <c r="I452" i="1" s="1"/>
  <c r="I451" i="1" s="1"/>
  <c r="I450" i="1" s="1"/>
  <c r="I483" i="1"/>
  <c r="J490" i="1"/>
  <c r="J489" i="1" s="1"/>
  <c r="J488" i="1" s="1"/>
  <c r="J487" i="1" s="1"/>
  <c r="J483" i="1" s="1"/>
  <c r="J512" i="1"/>
  <c r="J511" i="1" s="1"/>
  <c r="J510" i="1" s="1"/>
  <c r="J509" i="1" s="1"/>
  <c r="J508" i="1" s="1"/>
  <c r="H605" i="1"/>
  <c r="J769" i="1"/>
  <c r="J768" i="1" s="1"/>
  <c r="J767" i="1" s="1"/>
  <c r="J766" i="1" s="1"/>
  <c r="J765" i="1" s="1"/>
  <c r="I232" i="1"/>
  <c r="I231" i="1" s="1"/>
  <c r="I230" i="1" s="1"/>
  <c r="I225" i="1" s="1"/>
  <c r="I294" i="1"/>
  <c r="I285" i="1" s="1"/>
  <c r="J341" i="1"/>
  <c r="J340" i="1" s="1"/>
  <c r="J327" i="1" s="1"/>
  <c r="H588" i="1"/>
  <c r="H587" i="1" s="1"/>
  <c r="I659" i="1"/>
  <c r="I654" i="1" s="1"/>
  <c r="I653" i="1" s="1"/>
  <c r="J681" i="1"/>
  <c r="J687" i="1"/>
  <c r="I743" i="1"/>
  <c r="I742" i="1" s="1"/>
  <c r="I741" i="1" s="1"/>
  <c r="I740" i="1" s="1"/>
  <c r="I739" i="1" s="1"/>
  <c r="H440" i="1"/>
  <c r="H439" i="1" s="1"/>
  <c r="H438" i="1" s="1"/>
  <c r="H437" i="1" s="1"/>
  <c r="J219" i="1"/>
  <c r="J218" i="1" s="1"/>
  <c r="J605" i="1"/>
  <c r="H154" i="1"/>
  <c r="H153" i="1" s="1"/>
  <c r="I166" i="1"/>
  <c r="I165" i="1" s="1"/>
  <c r="I440" i="1"/>
  <c r="I439" i="1" s="1"/>
  <c r="I438" i="1" s="1"/>
  <c r="I437" i="1" s="1"/>
  <c r="J616" i="1"/>
  <c r="H640" i="1"/>
  <c r="H639" i="1" s="1"/>
  <c r="H681" i="1"/>
  <c r="J25" i="1"/>
  <c r="J24" i="1" s="1"/>
  <c r="J23" i="1" s="1"/>
  <c r="J22" i="1" s="1"/>
  <c r="J15" i="1" s="1"/>
  <c r="H264" i="1"/>
  <c r="H263" i="1" s="1"/>
  <c r="I313" i="1"/>
  <c r="I312" i="1" s="1"/>
  <c r="I311" i="1" s="1"/>
  <c r="J440" i="1"/>
  <c r="J439" i="1" s="1"/>
  <c r="J438" i="1" s="1"/>
  <c r="J437" i="1" s="1"/>
  <c r="I640" i="1"/>
  <c r="I639" i="1" s="1"/>
  <c r="I97" i="1"/>
  <c r="I83" i="1" s="1"/>
  <c r="I82" i="1" s="1"/>
  <c r="H166" i="1"/>
  <c r="H165" i="1" s="1"/>
  <c r="J213" i="1"/>
  <c r="J212" i="1" s="1"/>
  <c r="J211" i="1" s="1"/>
  <c r="J210" i="1" s="1"/>
  <c r="I377" i="1"/>
  <c r="I376" i="1" s="1"/>
  <c r="I370" i="1" s="1"/>
  <c r="H512" i="1"/>
  <c r="H511" i="1" s="1"/>
  <c r="H510" i="1" s="1"/>
  <c r="H509" i="1" s="1"/>
  <c r="H508" i="1" s="1"/>
  <c r="I183" i="1"/>
  <c r="I182" i="1" s="1"/>
  <c r="I181" i="1" s="1"/>
  <c r="I341" i="1"/>
  <c r="I340" i="1" s="1"/>
  <c r="I327" i="1" s="1"/>
  <c r="I499" i="1"/>
  <c r="I498" i="1" s="1"/>
  <c r="I497" i="1" s="1"/>
  <c r="I496" i="1" s="1"/>
  <c r="H693" i="1"/>
  <c r="I769" i="1"/>
  <c r="I768" i="1" s="1"/>
  <c r="I767" i="1" s="1"/>
  <c r="I766" i="1" s="1"/>
  <c r="I765" i="1" s="1"/>
  <c r="H71" i="1"/>
  <c r="H67" i="1" s="1"/>
  <c r="H66" i="1" s="1"/>
  <c r="J198" i="1"/>
  <c r="I546" i="1"/>
  <c r="J71" i="1"/>
  <c r="J67" i="1" s="1"/>
  <c r="J66" i="1" s="1"/>
  <c r="H280" i="1"/>
  <c r="H279" i="1" s="1"/>
  <c r="I512" i="1"/>
  <c r="I511" i="1" s="1"/>
  <c r="I510" i="1" s="1"/>
  <c r="I509" i="1" s="1"/>
  <c r="I508" i="1" s="1"/>
  <c r="J136" i="1"/>
  <c r="J135" i="1" s="1"/>
  <c r="J134" i="1" s="1"/>
  <c r="J133" i="1" s="1"/>
  <c r="I280" i="1"/>
  <c r="I279" i="1" s="1"/>
  <c r="I408" i="1"/>
  <c r="I406" i="1" s="1"/>
  <c r="I526" i="1"/>
  <c r="I525" i="1" s="1"/>
  <c r="J193" i="1"/>
  <c r="J192" i="1" s="1"/>
  <c r="J280" i="1"/>
  <c r="J279" i="1" s="1"/>
  <c r="J453" i="1"/>
  <c r="J452" i="1" s="1"/>
  <c r="J451" i="1" s="1"/>
  <c r="J450" i="1" s="1"/>
  <c r="I594" i="1"/>
  <c r="I593" i="1" s="1"/>
  <c r="I586" i="1" s="1"/>
  <c r="I585" i="1" s="1"/>
  <c r="I136" i="1"/>
  <c r="I135" i="1" s="1"/>
  <c r="I134" i="1" s="1"/>
  <c r="I133" i="1" s="1"/>
  <c r="H232" i="1"/>
  <c r="H231" i="1" s="1"/>
  <c r="H286" i="1"/>
  <c r="H594" i="1"/>
  <c r="H593" i="1" s="1"/>
  <c r="H755" i="1"/>
  <c r="H754" i="1" s="1"/>
  <c r="H753" i="1" s="1"/>
  <c r="H752" i="1" s="1"/>
  <c r="I154" i="1"/>
  <c r="I153" i="1" s="1"/>
  <c r="I198" i="1"/>
  <c r="H499" i="1"/>
  <c r="H498" i="1" s="1"/>
  <c r="H497" i="1" s="1"/>
  <c r="H496" i="1" s="1"/>
  <c r="J540" i="1"/>
  <c r="J539" i="1" s="1"/>
  <c r="H616" i="1"/>
  <c r="J237" i="1"/>
  <c r="I418" i="1"/>
  <c r="I417" i="1" s="1"/>
  <c r="J594" i="1"/>
  <c r="J593" i="1" s="1"/>
  <c r="J640" i="1"/>
  <c r="J639" i="1" s="1"/>
  <c r="J755" i="1"/>
  <c r="J754" i="1" s="1"/>
  <c r="J753" i="1" s="1"/>
  <c r="J752" i="1" s="1"/>
  <c r="H198" i="1"/>
  <c r="H183" i="1"/>
  <c r="H182" i="1" s="1"/>
  <c r="H181" i="1" s="1"/>
  <c r="I112" i="1"/>
  <c r="I105" i="1" s="1"/>
  <c r="I219" i="1"/>
  <c r="I218" i="1" s="1"/>
  <c r="H418" i="1"/>
  <c r="H417" i="1" s="1"/>
  <c r="J499" i="1"/>
  <c r="J498" i="1" s="1"/>
  <c r="J497" i="1" s="1"/>
  <c r="J496" i="1" s="1"/>
  <c r="H660" i="1"/>
  <c r="H659" i="1" s="1"/>
  <c r="H654" i="1" s="1"/>
  <c r="H653" i="1" s="1"/>
  <c r="J624" i="1"/>
  <c r="J623" i="1" s="1"/>
  <c r="J526" i="1"/>
  <c r="J525" i="1" s="1"/>
  <c r="H624" i="1"/>
  <c r="H623" i="1" s="1"/>
  <c r="H526" i="1"/>
  <c r="H525" i="1" s="1"/>
  <c r="J546" i="1"/>
  <c r="I355" i="1"/>
  <c r="I354" i="1" s="1"/>
  <c r="J693" i="1"/>
  <c r="H247" i="1"/>
  <c r="H246" i="1" s="1"/>
  <c r="J355" i="1"/>
  <c r="J354" i="1" s="1"/>
  <c r="I693" i="1"/>
  <c r="J725" i="1"/>
  <c r="J724" i="1" s="1"/>
  <c r="J723" i="1" s="1"/>
  <c r="J722" i="1" s="1"/>
  <c r="J721" i="1" s="1"/>
  <c r="J741" i="1"/>
  <c r="J740" i="1" s="1"/>
  <c r="J739" i="1" s="1"/>
  <c r="I247" i="1"/>
  <c r="I246" i="1" s="1"/>
  <c r="H294" i="1"/>
  <c r="H314" i="1"/>
  <c r="H313" i="1" s="1"/>
  <c r="H312" i="1" s="1"/>
  <c r="H311" i="1" s="1"/>
  <c r="I460" i="1"/>
  <c r="I605" i="1"/>
  <c r="I755" i="1"/>
  <c r="I754" i="1" s="1"/>
  <c r="I753" i="1" s="1"/>
  <c r="I752" i="1" s="1"/>
  <c r="H460" i="1"/>
  <c r="H459" i="1"/>
  <c r="H458" i="1" s="1"/>
  <c r="I540" i="1"/>
  <c r="I539" i="1" s="1"/>
  <c r="J294" i="1"/>
  <c r="J285" i="1" s="1"/>
  <c r="J314" i="1"/>
  <c r="J313" i="1" s="1"/>
  <c r="J312" i="1" s="1"/>
  <c r="J311" i="1" s="1"/>
  <c r="J459" i="1"/>
  <c r="J458" i="1" s="1"/>
  <c r="J460" i="1"/>
  <c r="H453" i="1"/>
  <c r="H452" i="1" s="1"/>
  <c r="H451" i="1" s="1"/>
  <c r="H450" i="1" s="1"/>
  <c r="I624" i="1"/>
  <c r="I623" i="1" s="1"/>
  <c r="J659" i="1"/>
  <c r="J654" i="1" s="1"/>
  <c r="J653" i="1" s="1"/>
  <c r="J586" i="1" l="1"/>
  <c r="J585" i="1" s="1"/>
  <c r="H211" i="1"/>
  <c r="H210" i="1" s="1"/>
  <c r="I152" i="1"/>
  <c r="I151" i="1" s="1"/>
  <c r="I132" i="1" s="1"/>
  <c r="H406" i="1"/>
  <c r="H152" i="1"/>
  <c r="H151" i="1" s="1"/>
  <c r="H132" i="1" s="1"/>
  <c r="I482" i="1"/>
  <c r="I481" i="1" s="1"/>
  <c r="J230" i="1"/>
  <c r="J225" i="1" s="1"/>
  <c r="H230" i="1"/>
  <c r="H225" i="1" s="1"/>
  <c r="I604" i="1"/>
  <c r="I603" i="1" s="1"/>
  <c r="I602" i="1" s="1"/>
  <c r="I584" i="1" s="1"/>
  <c r="I569" i="1" s="1"/>
  <c r="H720" i="1"/>
  <c r="I191" i="1"/>
  <c r="I190" i="1" s="1"/>
  <c r="I278" i="1"/>
  <c r="I277" i="1" s="1"/>
  <c r="I407" i="1"/>
  <c r="J60" i="1"/>
  <c r="J8" i="1" s="1"/>
  <c r="H680" i="1"/>
  <c r="H679" i="1" s="1"/>
  <c r="H668" i="1" s="1"/>
  <c r="H191" i="1"/>
  <c r="H190" i="1" s="1"/>
  <c r="H174" i="1" s="1"/>
  <c r="I245" i="1"/>
  <c r="I244" i="1" s="1"/>
  <c r="J406" i="1"/>
  <c r="J405" i="1" s="1"/>
  <c r="J397" i="1" s="1"/>
  <c r="J538" i="1"/>
  <c r="J537" i="1" s="1"/>
  <c r="J536" i="1" s="1"/>
  <c r="J524" i="1" s="1"/>
  <c r="H405" i="1"/>
  <c r="H397" i="1" s="1"/>
  <c r="H353" i="1"/>
  <c r="H352" i="1" s="1"/>
  <c r="H351" i="1" s="1"/>
  <c r="J245" i="1"/>
  <c r="J244" i="1" s="1"/>
  <c r="I211" i="1"/>
  <c r="I210" i="1" s="1"/>
  <c r="H482" i="1"/>
  <c r="H481" i="1" s="1"/>
  <c r="J680" i="1"/>
  <c r="J679" i="1" s="1"/>
  <c r="J668" i="1" s="1"/>
  <c r="J482" i="1"/>
  <c r="J481" i="1" s="1"/>
  <c r="I436" i="1"/>
  <c r="H538" i="1"/>
  <c r="H537" i="1" s="1"/>
  <c r="H536" i="1" s="1"/>
  <c r="H524" i="1" s="1"/>
  <c r="J152" i="1"/>
  <c r="J151" i="1" s="1"/>
  <c r="J132" i="1" s="1"/>
  <c r="I538" i="1"/>
  <c r="I537" i="1" s="1"/>
  <c r="I536" i="1" s="1"/>
  <c r="I524" i="1" s="1"/>
  <c r="H586" i="1"/>
  <c r="H585" i="1" s="1"/>
  <c r="J720" i="1"/>
  <c r="I60" i="1"/>
  <c r="I8" i="1" s="1"/>
  <c r="H604" i="1"/>
  <c r="H603" i="1" s="1"/>
  <c r="H602" i="1" s="1"/>
  <c r="H436" i="1"/>
  <c r="I720" i="1"/>
  <c r="H245" i="1"/>
  <c r="H244" i="1" s="1"/>
  <c r="H60" i="1"/>
  <c r="H8" i="1" s="1"/>
  <c r="J191" i="1"/>
  <c r="J190" i="1" s="1"/>
  <c r="J174" i="1" s="1"/>
  <c r="J436" i="1"/>
  <c r="I405" i="1"/>
  <c r="I397" i="1" s="1"/>
  <c r="J604" i="1"/>
  <c r="J603" i="1" s="1"/>
  <c r="J602" i="1" s="1"/>
  <c r="J278" i="1"/>
  <c r="J277" i="1" s="1"/>
  <c r="H285" i="1"/>
  <c r="H278" i="1" s="1"/>
  <c r="H277" i="1" s="1"/>
  <c r="I353" i="1"/>
  <c r="I352" i="1" s="1"/>
  <c r="I351" i="1" s="1"/>
  <c r="J353" i="1"/>
  <c r="J352" i="1" s="1"/>
  <c r="J351" i="1" s="1"/>
  <c r="I174" i="1" l="1"/>
  <c r="J224" i="1"/>
  <c r="J7" i="1" s="1"/>
  <c r="J584" i="1"/>
  <c r="J569" i="1" s="1"/>
  <c r="H224" i="1"/>
  <c r="H7" i="1" s="1"/>
  <c r="I224" i="1"/>
  <c r="I7" i="1" s="1"/>
  <c r="I780" i="1" s="1"/>
  <c r="I782" i="1" s="1"/>
  <c r="H584" i="1"/>
  <c r="H569" i="1" s="1"/>
  <c r="H780" i="1" l="1"/>
  <c r="H782" i="1" s="1"/>
  <c r="J780" i="1"/>
  <c r="J782" i="1" s="1"/>
</calcChain>
</file>

<file path=xl/sharedStrings.xml><?xml version="1.0" encoding="utf-8"?>
<sst xmlns="http://schemas.openxmlformats.org/spreadsheetml/2006/main" count="3948" uniqueCount="665">
  <si>
    <t>Ведомственная структура расходов бюджета муниципального округа по главным распорядителям бюджетных средств, разделам, подразделам и (или) целевым статьям (государственным программам и непрограммным направлениям деятельности), группам (группам и подгруппам) видов расходов классификации расходов бюджетов на 2025 год и плановый период 2026 и 2027 годов</t>
  </si>
  <si>
    <t>(тыс.руб.)</t>
  </si>
  <si>
    <t>Наименование</t>
  </si>
  <si>
    <t>ГРБС</t>
  </si>
  <si>
    <t>РЗ</t>
  </si>
  <si>
    <t>ПР</t>
  </si>
  <si>
    <t>КЦСР</t>
  </si>
  <si>
    <t>КВР</t>
  </si>
  <si>
    <t>Администрация Нюксенского муниципального округа</t>
  </si>
  <si>
    <t>158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</si>
  <si>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</si>
  <si>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</si>
  <si>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</si>
  <si>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</si>
  <si>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Муниципальная программа "Совершенствование муниципального управления в Нюксенском муниципальном округе"</t>
  </si>
  <si>
    <t>04 0 00 00000</t>
  </si>
  <si>
    <t>Комплекс процессных мероприятий</t>
  </si>
  <si>
    <t>04 4 00 00000</t>
  </si>
  <si>
    <t>Комплекс процессных мероприятий "Обеспечение деятельности администрации округа"</t>
  </si>
  <si>
    <t>04 4 05 00000</t>
  </si>
  <si>
    <t>Глава муниципального округа</t>
  </si>
  <si>
    <t>04 4 05 00191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</si>
  <si>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</si>
  <si>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</si>
  <si>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</si>
  <si>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01 </t>
  </si>
  <si>
    <t>04</t>
  </si>
  <si>
    <t>Муниципальная программа "Социальная поддержка населения Нюксенского муниципального округа"</t>
  </si>
  <si>
    <t>01 0 00 00000</t>
  </si>
  <si>
    <t>01 4 00 00000</t>
  </si>
  <si>
    <t>Комплекс процессных мероприятий "Обеспечение организации и осуществления органами местного самоуправления деятельности по опеке и попечительству"</t>
  </si>
  <si>
    <t>01 4 02 00000</t>
  </si>
  <si>
    <t>Выполнение отдельных государственных полномочий по закону области от 17 декабря 2007 года №1720-ОЗ "О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детей-сирот и детей, оставшихся без попечения родителей (за исключением детей обучающихся в федеральных образовательных учреждениях), лиц из числа детей указанных категорий"</t>
  </si>
  <si>
    <t>01 4 02 72310</t>
  </si>
  <si>
    <t>Иные закупки товаров, работ и услуг для обеспечения государственных (муниципальных) нужд</t>
  </si>
  <si>
    <t>240</t>
  </si>
  <si>
    <t>Расходы на обеспечение функций муниципальных органов</t>
  </si>
  <si>
    <t>04 4 05 00190</t>
  </si>
  <si>
    <t>Уплата налогов, сборов и иных платежей</t>
  </si>
  <si>
    <t>850</t>
  </si>
  <si>
    <t>Реализация расходных обязательств в части обеспечения выплаты заработной платы работникам муниципальных учреждений</t>
  </si>
  <si>
    <t>04 4 05 70030</t>
  </si>
  <si>
    <t>Субвенция на осуществление отдельных государственных полномочий в соответствии с законом области от 28 апреля 2006 года № 1443-ОЗ "О наделении органов местного самоуправления муниципальных районов, муниципальных округов и городских округов Вологодской области отдельными полномочиями в сфере архивного дела"</t>
  </si>
  <si>
    <t>04 4 05 72190</t>
  </si>
  <si>
    <t>Комплекс процессных мероприятий "Повышение открытости и доступности информации о деятельности органов местного самоуправления, предоставляемых государственные и муниципальные услуги"</t>
  </si>
  <si>
    <t>04 4 06 00000</t>
  </si>
  <si>
    <t>Реализация мероприятий по развитию информационного общества</t>
  </si>
  <si>
    <t>04 4 06 20320</t>
  </si>
  <si>
    <t>Муниципальный проект, не связанный с национальным проектом</t>
  </si>
  <si>
    <t>04 2 00 00000</t>
  </si>
  <si>
    <t>Муниципальный проект "Развитие сетевой и серверной инфраструктуры, систем и средств конфиденциального характера в администрации округа"</t>
  </si>
  <si>
    <t>04 2 01 00000</t>
  </si>
  <si>
    <t>Реализация мероприятий, направленных на развитие сетевой и серверной инфраструктуры органов исполнительной муниципальной власти округа</t>
  </si>
  <si>
    <t>04 2 01 20330</t>
  </si>
  <si>
    <t>Муниципальная программа "Обеспечение профилактики правонарушений, безопасности населения и территории Нюксенского муниципального округа"</t>
  </si>
  <si>
    <t>07 0 00 00000</t>
  </si>
  <si>
    <t>07 4 00 00000</t>
  </si>
  <si>
    <t>Комплекс процессных мероприятий "Осуществление отдельных государственных полномочий в сфере административных отношений"</t>
  </si>
  <si>
    <t>07 4 01 00000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</si>
  <si>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№1369-ОЗ "О наделении органов местного самоуправления отдельными государственными полномочиями в сфере административных отношений"</t>
  </si>
  <si>
    <t>07 4 01 72310</t>
  </si>
  <si>
    <t>Муниципальная программа "Охрана окружающей среды и обеспечение экологической безопасности Нюксенского муниципального округа "</t>
  </si>
  <si>
    <t>08 0 00 00000</t>
  </si>
  <si>
    <t>08 4 00 00000</t>
  </si>
  <si>
    <t>Комплекс процессных мероприятий "Осуществление отдельных государственных полномочий в сфере охраны окружающей среды"</t>
  </si>
  <si>
    <t>08 4 01 00000</t>
  </si>
  <si>
    <t>Осуществление отдельных государственных полномочий в соответствии с законом области от 28 июня 2006 года № 1465-ОЗ "О наделении органов местного самоуправления отдельными государственными полномочиями в сфере охраны окружающей среды"</t>
  </si>
  <si>
    <t>08 4 01 72310</t>
  </si>
  <si>
    <t>Судебная система</t>
  </si>
  <si>
    <t>05</t>
  </si>
  <si>
    <t>Осуществление отдельных государственных полномочий</t>
  </si>
  <si>
    <t>78 0 00 00000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</si>
  <si>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</si>
  <si>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78 0 00 51200</t>
  </si>
  <si>
    <t>Резервные фонды</t>
  </si>
  <si>
    <t>11</t>
  </si>
  <si>
    <t>70 0 00 00000</t>
  </si>
  <si>
    <t>Резервные фонды местных администраций</t>
  </si>
  <si>
    <t>70 5 00 00000</t>
  </si>
  <si>
    <t>Резервные средства</t>
  </si>
  <si>
    <t>870</t>
  </si>
  <si>
    <t>Другие общегосударственные вопросы</t>
  </si>
  <si>
    <t>13</t>
  </si>
  <si>
    <t>Реализация муниципальных функций, связанных с решением вопросов местного значения</t>
  </si>
  <si>
    <t>97 0 00 00000</t>
  </si>
  <si>
    <t>Мероприятия, связанные с градостроительной деятельностью муниципального округа</t>
  </si>
  <si>
    <t>97 0 00 21140</t>
  </si>
  <si>
    <t>Мероприятия, связанные с выполнением работ по мобилизационной подготовке</t>
  </si>
  <si>
    <t>97 0 00 21170</t>
  </si>
  <si>
    <t>01 2 00 00000</t>
  </si>
  <si>
    <t>Муниципальный проект "Предоставление финансовой и имущественной поддержки социально ориентированным некоммерческим организациям"</t>
  </si>
  <si>
    <t>01 2 01 00000</t>
  </si>
  <si>
    <t xml:space="preserve">Предоставление субсидий социально ориентированным некоммерческим организациям </t>
  </si>
  <si>
    <t>01 2 01 25150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</si>
  <si>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</si>
  <si>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</si>
  <si>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Муниципальный проект "Здоровье нюксян"</t>
  </si>
  <si>
    <t>01 2 02 00000</t>
  </si>
  <si>
    <t>Мероприятия, направленные на формирование здорового образа жизни населения</t>
  </si>
  <si>
    <t>01 2 02 29070</t>
  </si>
  <si>
    <t xml:space="preserve">Субсидии бюджетным учреждениям </t>
  </si>
  <si>
    <t>610</t>
  </si>
  <si>
    <t>Мероприятия, направленных на развитие кадрового потенциала в области здравоохранения</t>
  </si>
  <si>
    <t>01 2 02 29030</t>
  </si>
  <si>
    <t>Создание условия для развития кадрового потенциала</t>
  </si>
  <si>
    <t>Комплекс процессных мероприятий "Предоставление мер социальной поддержки отдельным категориям граждан и иных социальных выплат"</t>
  </si>
  <si>
    <t>01 4 01 00000</t>
  </si>
  <si>
    <t>Ежемесячное денежное вознаграждение лицам, удостоенным звания "Почетный гражданин Нюксенского муниципального округа"</t>
  </si>
  <si>
    <t>01 4 01 80020</t>
  </si>
  <si>
    <t xml:space="preserve">Публичные нормативные выплаты гражданам несоциального характера
</t>
  </si>
  <si>
    <t>330</t>
  </si>
  <si>
    <t>Муниципальная программа  "Совершенствование муниципального управления в Нюксенском муниципальном округе"</t>
  </si>
  <si>
    <t>Комплекс процессных мероприятий "Привлечение квалифицированных специалистов на территорию муниципального округа"</t>
  </si>
  <si>
    <t>04 4 01 00000</t>
  </si>
  <si>
    <t>Ежемесячная денежная выплата студентам, заключившим договора с администрацией округа</t>
  </si>
  <si>
    <t>04 4 01 80800</t>
  </si>
  <si>
    <t>Комплекс процессных мероприятий "Совершенствование и повышение профессионального уровня кадров"</t>
  </si>
  <si>
    <t>04 4 02 00000</t>
  </si>
  <si>
    <t xml:space="preserve">Мероприятия, направленные на повышение квалификационного уровня </t>
  </si>
  <si>
    <t>04 4 02 20800</t>
  </si>
  <si>
    <t>Комплекс процессных мероприятий "Реализация и развитие механизмов противодействия коррупции в сфере муниципальной службы"</t>
  </si>
  <si>
    <t>04 4 03 00000</t>
  </si>
  <si>
    <t>Организация правового просвещения и правового информирования граждан по вопросам противодействия коррупции</t>
  </si>
  <si>
    <t>04 4 03 20240</t>
  </si>
  <si>
    <t>Комплекс процессных мероприятий "Организация деятельности по оказанию государственных и муниципальных услуг (выполнению работ) муниципальным учреждением  "МФЦ Нюксенского муниципального округа"</t>
  </si>
  <si>
    <t>04 4 04 00000</t>
  </si>
  <si>
    <t>Осуществление отдельных государственных полномочий в соответствии с законом области от 10 декабря 2014 года №3526-ОЗ "О наделении органов местного самоуправления отдельными государственными полномочиями в сфере организации деятельности многофункциональных центров предоставления государственных и муниципальных услуг"</t>
  </si>
  <si>
    <t>04 4 04 72250</t>
  </si>
  <si>
    <t>Расходы на выплаты персоналу казенных учреждений</t>
  </si>
  <si>
    <t>110</t>
  </si>
  <si>
    <t>Членский взнос в ассоциацию муниципальных образований</t>
  </si>
  <si>
    <t>04 4 05 21010</t>
  </si>
  <si>
    <t>Членский взнос в ассоциацию "Здоровые города, районы и поселки"</t>
  </si>
  <si>
    <t>04 4 05 21020</t>
  </si>
  <si>
    <t>Комплекс процессных мероприятий «Содействие развитию связи и информационно – телекоммуникационной сферы»</t>
  </si>
  <si>
    <t>04 4 07 00000</t>
  </si>
  <si>
    <t>Создание условий для обеспечения населения услугами сети  «Интернет»</t>
  </si>
  <si>
    <t>04 4 07 20340</t>
  </si>
  <si>
    <t>Муниципальная программа "Развитие культуры, туризма, молодежной политики, физической культуры и спорта  Нюксенского муниципального округа"</t>
  </si>
  <si>
    <t>05 0 00 00000</t>
  </si>
  <si>
    <t>05 2 00 00000</t>
  </si>
  <si>
    <t>Муниципальный проект "Инвестиции в инфраструктуру туризма округа"</t>
  </si>
  <si>
    <t>05 2 02 00000</t>
  </si>
  <si>
    <t>Развитие туристического потенциала в Нюксенском муниципальном округе</t>
  </si>
  <si>
    <t>05 2 02 01590</t>
  </si>
  <si>
    <t>Субсидии бюджетным учреждениям</t>
  </si>
  <si>
    <t xml:space="preserve">Субсидии автономным учреждениям
</t>
  </si>
  <si>
    <t>620</t>
  </si>
  <si>
    <t>05 4 00 00000</t>
  </si>
  <si>
    <t>Комплекс процессных мероприятий "Организация и проведение культурных проектов, мероприятий, посвященных праздничным и памятным датам"</t>
  </si>
  <si>
    <t>05 4 01 00000</t>
  </si>
  <si>
    <t>Мероприятия в сфере культуры</t>
  </si>
  <si>
    <t>05 4 01 28010</t>
  </si>
  <si>
    <t>Комплекс процессных мероприятий "Обеспечение деятельности в сфере туризма"</t>
  </si>
  <si>
    <t>05 4 03 00000</t>
  </si>
  <si>
    <t>Комплекс процессных мероприятий "Обеспечение общественной безопасности на территории Нюксенского муниципального округа"</t>
  </si>
  <si>
    <t>07 4 02 00000</t>
  </si>
  <si>
    <t>Мероприятия, направленные на повышение качества и результативности противодействия преступности, охраны общественного порядка, обеспечения общественной безопасности, снижение количества зарегистрированных преступлений</t>
  </si>
  <si>
    <t>07 4 02 23090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</si>
  <si>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</si>
  <si>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</si>
  <si>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</si>
  <si>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</si>
  <si>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04 4 05 51180</t>
  </si>
  <si>
    <t>Национальная безопасность и правоохранительная деятельность</t>
  </si>
  <si>
    <t>Гражданская оборона</t>
  </si>
  <si>
    <t>09</t>
  </si>
  <si>
    <t>Обеспечение прогнозных данных для принятия предупредительных мер</t>
  </si>
  <si>
    <t>07 4 02 23040</t>
  </si>
  <si>
    <t>Обеспечение безопасности граждан труднодоступных населенных пунктов</t>
  </si>
  <si>
    <t>07 4 02 23041</t>
  </si>
  <si>
    <t>Предупреждение возникновения и развития чрезвычайных ситуаций (происшествий) на территории Нюксенского муниципального округа, снижение размеров ущерба и потерь от чрезвычайных ситуаций</t>
  </si>
  <si>
    <t>07 4 02 23050</t>
  </si>
  <si>
    <t>Мероприятия по поддержанию в готовности и совершенствованию системы оповещения населения</t>
  </si>
  <si>
    <t>07 4 02 23120</t>
  </si>
  <si>
    <t>Комплекс процессных мероприятий "Обеспечение деятельности ЕДДС"</t>
  </si>
  <si>
    <t>07 4 04 00000</t>
  </si>
  <si>
    <t>Мероприятия по снижению  рисков и смягчению последствий чрезвычайных ситуаций природного и техногенного характера</t>
  </si>
  <si>
    <t>07 4 04 23040</t>
  </si>
  <si>
    <t>Другие вопросы в области национальной безопасности и правоохранительной деятельности</t>
  </si>
  <si>
    <t>14</t>
  </si>
  <si>
    <t>07 2 00 00000</t>
  </si>
  <si>
    <t>Муниципальный проект "Обеспечение общественной безопасности на территории Нюксенского муниципального округа"</t>
  </si>
  <si>
    <t>07 2 01 00000</t>
  </si>
  <si>
    <t>Внедрение и (или) эксплуатация аппаратно-программного комплекса "Безопасный город"</t>
  </si>
  <si>
    <t>07 2 01 S1060</t>
  </si>
  <si>
    <t>Мероприятия, направленные на антитеррористическую защищенность мест массового пребывания людей</t>
  </si>
  <si>
    <t>07 2 01 S1130</t>
  </si>
  <si>
    <t>Мероприятия по профилактики преступлений и иных правонарушений</t>
  </si>
  <si>
    <t>07 2 01 23060</t>
  </si>
  <si>
    <t>Иные выплаты населению</t>
  </si>
  <si>
    <t>360</t>
  </si>
  <si>
    <t>Муниципальный проект "Обеспечение сохранности материальных ценностей на территории Нюксенского муниципального округа"</t>
  </si>
  <si>
    <t>07 2 03 00000</t>
  </si>
  <si>
    <t>Мероприятия по разработке проектно-сметной документации</t>
  </si>
  <si>
    <t>07 2 03 23140</t>
  </si>
  <si>
    <t>Мероприятия, направленные на повышение эффективности системы профилактики безнадзорности, правонарушений и преступлений, совершенных несовершеннолетними, а также защиты их прав и снижение количества преступлений, совершенных несовершеннолетними</t>
  </si>
  <si>
    <t>07 4 02 23060</t>
  </si>
  <si>
    <t>Снижение числа дорожно-транспортных происшествий с пострадавшими, в том числе несовершеннолетними</t>
  </si>
  <si>
    <t>07 4 02 23080</t>
  </si>
  <si>
    <t>Национальная экономика</t>
  </si>
  <si>
    <t>Общеэкономические вопросы</t>
  </si>
  <si>
    <t>Муниципальная программа "Развитие образования Нюксенского муниципального округа"</t>
  </si>
  <si>
    <t>06 0 00 00000</t>
  </si>
  <si>
    <t>06 4 00 00000</t>
  </si>
  <si>
    <t>Комплекс процессных мероприятий "Создание условий временного трудоустройства несовершеннолетних граждан"</t>
  </si>
  <si>
    <t>06 4 04 00000</t>
  </si>
  <si>
    <t xml:space="preserve">Мероприятия по содействию занятости населения </t>
  </si>
  <si>
    <t>06 4 04 24010</t>
  </si>
  <si>
    <t>Транспорт</t>
  </si>
  <si>
    <t>08</t>
  </si>
  <si>
    <t>Муниципальная программа "Дорожная сеть и транспортное обслуживание"</t>
  </si>
  <si>
    <t>02 0 00 00000</t>
  </si>
  <si>
    <t>02 4 00 00000</t>
  </si>
  <si>
    <t>Комплекс процессных мероприятий "Транспортное обслуживание населения"</t>
  </si>
  <si>
    <t>02 4 02 00000</t>
  </si>
  <si>
    <t>Организация транспортного обслуживания населения на муниципальных маршрутах регулярных перевозок по регулируемым тарифам</t>
  </si>
  <si>
    <t>02 4 02 S1370</t>
  </si>
  <si>
    <t>Комплекс процессных мероприятий "Обеспечение деятельности муниципального бюджетного учреждения "Нюксеницаавтотранс"</t>
  </si>
  <si>
    <t>02 4 03 00000</t>
  </si>
  <si>
    <t>Расходы на обеспечение деятельности (оказание услуг) муниципальных учреждений</t>
  </si>
  <si>
    <t>02 4 03 41400</t>
  </si>
  <si>
    <t>Дорожное хозяйство (дорожные фонды)</t>
  </si>
  <si>
    <t>02 2 00 00000</t>
  </si>
  <si>
    <t>Муниципальный проект "Ремонт и капитальный ремонт автомобильных дорог и искусственных сооружений"</t>
  </si>
  <si>
    <t>02 2 01 00000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</si>
  <si>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</si>
  <si>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02 2 01 9Д150</t>
  </si>
  <si>
    <t>Выполнение работ по ремонту и капитальному ремонту автомобильных дорог и искусственных сооружений</t>
  </si>
  <si>
    <t>02 2 01 41300</t>
  </si>
  <si>
    <t>Комплекс процессных мероприятий "Содержание автомобильных дорог общего пользования местного значения"</t>
  </si>
  <si>
    <t>02 4 01 00000</t>
  </si>
  <si>
    <t>Выполнение работ по содержанию автомобильных дорог и  искусственных сооружений</t>
  </si>
  <si>
    <t>02 4 01 41200</t>
  </si>
  <si>
    <t>Комплекс процессных мероприятий  "Безопасность дорожного движения"</t>
  </si>
  <si>
    <t>02 4 04 00000</t>
  </si>
  <si>
    <t>Мероприятия по профилактике дорожно-транспортных происшествий</t>
  </si>
  <si>
    <t>02 4 04 23070</t>
  </si>
  <si>
    <t>Другие вопросы в области национальной экономики</t>
  </si>
  <si>
    <t>12</t>
  </si>
  <si>
    <t>Муниципальная программа "Экономическое развитие Нюксенского муниципального округа"</t>
  </si>
  <si>
    <t>10 0 00 00000</t>
  </si>
  <si>
    <t>Муниципальный проект</t>
  </si>
  <si>
    <t>10 3 00 00000</t>
  </si>
  <si>
    <t>Муниципальный проект "Инвестиции в развитие округа"</t>
  </si>
  <si>
    <t>10 3 01 00000</t>
  </si>
  <si>
    <t>Создание условий для развития торговли</t>
  </si>
  <si>
    <t>10 3 01 20440</t>
  </si>
  <si>
    <t>Расходы на повышение инвестиционной привлекательности муниципального округа</t>
  </si>
  <si>
    <t>10 3 01 20460</t>
  </si>
  <si>
    <t>10 4 00 00000</t>
  </si>
  <si>
    <t>Комплекс процессных мероприятий "Развитие малого и среднего предпринимательства в Нюксенском муниципальном округе"</t>
  </si>
  <si>
    <t>10 4 01 00000</t>
  </si>
  <si>
    <t>Развитие мобильной торговли в малонаселенных и труднодоступных населенных пунктах</t>
  </si>
  <si>
    <t>10 4 01 S1250</t>
  </si>
  <si>
    <t>Доставка товаров в "социально значимые" магазины в малонаселенных и (или) труднодоступных населенных пунктах</t>
  </si>
  <si>
    <t>10 4 01 S1251</t>
  </si>
  <si>
    <t>Жилищно-коммунальное хозяйство</t>
  </si>
  <si>
    <t>Жилищное хозяйство</t>
  </si>
  <si>
    <t>Муниципальная программа "Совершенствование системы управления и распоряжения земельно-имущественным комплексом Нюксенского муниципального округа"</t>
  </si>
  <si>
    <t>16 2 00 00000</t>
  </si>
  <si>
    <t>Основное мероприятие "Содержание имущества, находящегося в муниципальной собственности"</t>
  </si>
  <si>
    <t>Мероприятия в сфере управления и распоряжения имуществом, земельными ресурсами</t>
  </si>
  <si>
    <t>16 2 00 20500</t>
  </si>
  <si>
    <t>Муниципальная программа "Обеспечение населения Нюксенского муниципального округа доступным жильем и создание благоприятных условий проживания"</t>
  </si>
  <si>
    <t>13 0 00 00000</t>
  </si>
  <si>
    <t>Муниципальный проект, связанный с национальным проектом</t>
  </si>
  <si>
    <t>13 1 00 00000</t>
  </si>
  <si>
    <t>Региональный проект "Жилье"</t>
  </si>
  <si>
    <t>13 1 И2 00000</t>
  </si>
  <si>
    <t>Мероприятия по переселению граждан из аварийного жилищного фонда счет средств, поступивших от публично-правовой компании "Фонд развития территорий"</t>
  </si>
  <si>
    <t>13 1 И2 67483</t>
  </si>
  <si>
    <t>Бюджетные инвестиции</t>
  </si>
  <si>
    <t>410</t>
  </si>
  <si>
    <t>Мероприятия по переселению граждан из аварийного жилищного фонда за счет средств областного бюджета</t>
  </si>
  <si>
    <t>13 1 И2 67484</t>
  </si>
  <si>
    <t>13 2 00 00000</t>
  </si>
  <si>
    <t>Муниципальный проект "Капитальный и текущий ремонт объектов жилищного фонда"</t>
  </si>
  <si>
    <t>13 2 01 00000</t>
  </si>
  <si>
    <t>Мероприятия, связанные с капитальным и текущим ремонтом объектов жилищного фонда</t>
  </si>
  <si>
    <t>13 2 01 20570</t>
  </si>
  <si>
    <t>Муниципальный проект "Демонтаж и снос аварийного и ветхого жилья на территории муниципального округа"</t>
  </si>
  <si>
    <t>13 2 02 00000</t>
  </si>
  <si>
    <t>Мероприятия по сносу пришедших в негодность расселенных ветхих и аварийных многоквартирных домов</t>
  </si>
  <si>
    <t>13 2 02 20571</t>
  </si>
  <si>
    <t>Коммунальное хозяйство</t>
  </si>
  <si>
    <t>Муниципальная программа "Развитие топливно-энергетического комплекса и коммунальной инфраструктуры на территории Нюксенского муниципального округа"</t>
  </si>
  <si>
    <t>09 0 00 00000</t>
  </si>
  <si>
    <t>09 2 00 00000</t>
  </si>
  <si>
    <t>Муниципальный проект "Строительство, реконструкция и модернизация объектов жилищно-коммунальной инфраструктуры муниципального округа"</t>
  </si>
  <si>
    <t>09 2 01 00000</t>
  </si>
  <si>
    <t>Мероприятия на подготовку объектов теплоэнергетики к работе в осенне-зимний период</t>
  </si>
  <si>
    <t>09 2 01 9Т100</t>
  </si>
  <si>
    <t>Мероприятия, направленные на строительство, реконструкцию и капитальный ремонт централизованных систем водоснабжения и водоотведения</t>
  </si>
  <si>
    <t>09 2 01 S3040</t>
  </si>
  <si>
    <t>Муниципальные проект "Подготовка объектов теплоэнергетики к работе в осенне-зимний период"</t>
  </si>
  <si>
    <t>09 2 02 00000</t>
  </si>
  <si>
    <t>Мероприятия в области энергосбережения</t>
  </si>
  <si>
    <t>09 2 02 20560</t>
  </si>
  <si>
    <t>Муниципальный проект "Капитальный ремонт и ремонт централизованных систем водоснабжения и водоотведения"</t>
  </si>
  <si>
    <t>09 2 03 00000</t>
  </si>
  <si>
    <t xml:space="preserve">158 </t>
  </si>
  <si>
    <t>09 2 03 20560</t>
  </si>
  <si>
    <t>Муниципальный проект "Поддержка коммунального хозяйства"</t>
  </si>
  <si>
    <t>09 2 04 00000</t>
  </si>
  <si>
    <t>Мероприятия, связанные с поддержкой муниципальных предприятий в области ЖКХ</t>
  </si>
  <si>
    <t>09 2 04 21190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</si>
  <si>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</si>
  <si>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</si>
  <si>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09 4 00 00000</t>
  </si>
  <si>
    <t>Комплекс процессных мероприятий "Энергосбережение и комплексная модернизация систем коммунальной инфраструктуры Нюксенского муниципального округа"</t>
  </si>
  <si>
    <t>09 4 01 00000</t>
  </si>
  <si>
    <t>Мероприятия в области энергосбережения, исполнение судебных решений</t>
  </si>
  <si>
    <t>09 4 01 20560</t>
  </si>
  <si>
    <t xml:space="preserve">Исполнение судебных актов Российской Федерации и мировых соглашений по возмещению причиненного вреда
</t>
  </si>
  <si>
    <t>830</t>
  </si>
  <si>
    <t>Производственный контроль качества питьевой воды из источников водоснабжения</t>
  </si>
  <si>
    <t>09 4 01 20610</t>
  </si>
  <si>
    <t>Мероприятия, направленные на производственный контроль качества сточных вод</t>
  </si>
  <si>
    <t>09 4 01 20620</t>
  </si>
  <si>
    <t>12 0 00 00000</t>
  </si>
  <si>
    <t>12 4 00 00000</t>
  </si>
  <si>
    <t>Комплекс процессных мероприятий "Управление муниципальным имуществом и земельными ресурсами Нюксенского муниципального округа"</t>
  </si>
  <si>
    <t>12 4 02 00000</t>
  </si>
  <si>
    <t>12 4 02 20500</t>
  </si>
  <si>
    <t>Благоустройство</t>
  </si>
  <si>
    <t>Муниципальная программа "Формирование современного облика территории Нюксенского муниципального округа"</t>
  </si>
  <si>
    <t>03 0 00 00000</t>
  </si>
  <si>
    <t>03 1 00 00000</t>
  </si>
  <si>
    <t>Региональный проект "Формирование комфортной городской среды"</t>
  </si>
  <si>
    <t>03 1 И4 00000</t>
  </si>
  <si>
    <t>Мероприятия, направленные на благоустройство общественных территорий</t>
  </si>
  <si>
    <t>03 1 И4 55552</t>
  </si>
  <si>
    <t>Мероприятия, направленные на благоустройство общественных пространств</t>
  </si>
  <si>
    <t>03 1 И4 71552</t>
  </si>
  <si>
    <t>03 2 00 00000</t>
  </si>
  <si>
    <t>Муниципальный проект "Формирование современной городской среды на территории Нюксенского муниципального округа"</t>
  </si>
  <si>
    <t>03 2 01 00000</t>
  </si>
  <si>
    <t>Мероприятия, направленные на благоустройство дворовых территорий многоквартирных домов</t>
  </si>
  <si>
    <t>03 2 01 S1551</t>
  </si>
  <si>
    <t>Обустройство детских и спортивных площадок</t>
  </si>
  <si>
    <t>03 2 01 S1553</t>
  </si>
  <si>
    <t>Муниципальный проект "Предотвращение распространения сорного растения борщевик Сосновского"</t>
  </si>
  <si>
    <t>03 2 02 00000</t>
  </si>
  <si>
    <t>Мероприятия по предотвращению распространения сорного растения борщевик Сосновского</t>
  </si>
  <si>
    <t>03 2 02 S1400</t>
  </si>
  <si>
    <t>Муниципальный проект "Инвестиции в создание благоустройства общественных территорий округа"</t>
  </si>
  <si>
    <t>03 2 03 00000</t>
  </si>
  <si>
    <t>Обустройство общественных территорий</t>
  </si>
  <si>
    <t>03 2 03 23210</t>
  </si>
  <si>
    <t>Мероприятия, направленные на обустройство систем уличного освещения</t>
  </si>
  <si>
    <t>03 2 03 S3350</t>
  </si>
  <si>
    <t>03 4 00 00000</t>
  </si>
  <si>
    <t>Комплекс процессных мероприятий "Организация уличного освещения"</t>
  </si>
  <si>
    <t>163</t>
  </si>
  <si>
    <t>03 4 01 00000</t>
  </si>
  <si>
    <t>Мероприятия, направленные на организацию уличного освещения</t>
  </si>
  <si>
    <t>03 4 01 S1090</t>
  </si>
  <si>
    <t xml:space="preserve">Уплата налогов, сборов и иных платежей
</t>
  </si>
  <si>
    <t>Комплекс процессных мероприятий "Обеспечение деятельности службы коммунального хозяйства и благоустройства"</t>
  </si>
  <si>
    <t>09 4 02 00000</t>
  </si>
  <si>
    <t>09 4 02 41500</t>
  </si>
  <si>
    <t>09 4 02 70030</t>
  </si>
  <si>
    <t>Охрана окружающей среды</t>
  </si>
  <si>
    <t>06</t>
  </si>
  <si>
    <t>Другие вопросы в области охраны окружающей среды</t>
  </si>
  <si>
    <t>Муниципальная программа "Охрана окружающей среды и обеспечение экологической безопасности Нюксенского муниципального округа"</t>
  </si>
  <si>
    <t>08 2 00 00000</t>
  </si>
  <si>
    <t>Муниципальный проект "Обеспечение населения округа качественной питьевой водой"</t>
  </si>
  <si>
    <t>08 2 01 00000</t>
  </si>
  <si>
    <t>Охрана и рациональное использование водных ресурсов</t>
  </si>
  <si>
    <t>08 2 01 20110</t>
  </si>
  <si>
    <t>Муниципальный проект "Снижение негативного воздействия на окружающую среду отходов производства и потребления"</t>
  </si>
  <si>
    <t>08 2 02 00000</t>
  </si>
  <si>
    <t>Предотвращение загрязнения окружающей среды отходами производства и потребления</t>
  </si>
  <si>
    <t>08 2 02 20120</t>
  </si>
  <si>
    <t>Комплекс процессных мероприятий "Экологическое образование, просвещение и информирование населения"</t>
  </si>
  <si>
    <t>08 4 03 00000</t>
  </si>
  <si>
    <t>Природоохранные мероприятия</t>
  </si>
  <si>
    <t>08 4 03 20112</t>
  </si>
  <si>
    <t>Субсидии автономным учреждениям</t>
  </si>
  <si>
    <t>ОБРАЗОВАНИЕ</t>
  </si>
  <si>
    <t>07</t>
  </si>
  <si>
    <t>Общее образование</t>
  </si>
  <si>
    <t>06 2 00 00000</t>
  </si>
  <si>
    <t>Муниципальный проект "Развитие дошкольного, общего и дополнительного образования детей"</t>
  </si>
  <si>
    <t>06 2 01 00000</t>
  </si>
  <si>
    <t>Мероприятия, направленные на строительство, реконструкцию, капитальный ремонт, ремонт и благоустройство территорий образовательных организаций муниципальной собственности</t>
  </si>
  <si>
    <t>06 2 01 S1940</t>
  </si>
  <si>
    <t>Дополнительное образование детей</t>
  </si>
  <si>
    <t>Комплекс процессных мероприятий "Обеспечение деятельности учреждений в сфере культуры"</t>
  </si>
  <si>
    <t>05 4 02 00000</t>
  </si>
  <si>
    <t>05 4 02 15590</t>
  </si>
  <si>
    <t>Молодёжная политика</t>
  </si>
  <si>
    <t>Муниципальный проект "Инвестиции в инфраструктуру молодежи"</t>
  </si>
  <si>
    <t>05 2 03 00000</t>
  </si>
  <si>
    <t xml:space="preserve">Мероприятия, направленные на обеспечение развития и укрепление материально-технической базы </t>
  </si>
  <si>
    <t>05 2 03 20590</t>
  </si>
  <si>
    <t>Комплекс процессных мероприятий "Обеспечение деятельности в сфере молодежной политики"</t>
  </si>
  <si>
    <t>05 4 04 00000</t>
  </si>
  <si>
    <t>Проведение мероприятий для детей и молодежи</t>
  </si>
  <si>
    <t>05 4 04 20590</t>
  </si>
  <si>
    <t>Культура, кинематография</t>
  </si>
  <si>
    <t>Культура</t>
  </si>
  <si>
    <t>Муниципальный проект "Инвестиции в инфраструктуру учреждений культуры муниципального округа"</t>
  </si>
  <si>
    <t>05 2 01 00000</t>
  </si>
  <si>
    <t>Мероприятия, направленные на антитеррористическую защищенность объектов культуры</t>
  </si>
  <si>
    <t>05 2 01 S1570</t>
  </si>
  <si>
    <t>Мероприятия, направленные на обеспечение развития и укрепление материально-технической базы муниципальных учреждений отрасли культуры</t>
  </si>
  <si>
    <t>05 2 01 S1960</t>
  </si>
  <si>
    <t>Обеспечение реализации мероприятий по укреплению материально-технической базы государственных учреждений отрасли культуры</t>
  </si>
  <si>
    <t>05 2 01 01590</t>
  </si>
  <si>
    <t>Муниципальный проект "Безопасный труд"</t>
  </si>
  <si>
    <t>05 2 06 00000</t>
  </si>
  <si>
    <t>Иные межбюджетные трансферты по стимулированию создания рабочих мест для инвалидов</t>
  </si>
  <si>
    <t>05 2 06 74070</t>
  </si>
  <si>
    <t>05 4 02 01590</t>
  </si>
  <si>
    <t>05 4 02 70030</t>
  </si>
  <si>
    <t>Другие вопросы в области культуры, кинематографии</t>
  </si>
  <si>
    <t>Строительство культурно-досугового центра в с.Нюксеница</t>
  </si>
  <si>
    <t>05 2 01 S3280</t>
  </si>
  <si>
    <t>Здравоохранение</t>
  </si>
  <si>
    <t>Санитарно-эпидемиологическое благополучие</t>
  </si>
  <si>
    <t>Осуществление отдельных государственных полномочий в соответствии с законом области от 15 января 2013 года № 2966-ОЗ "О наделении органов местного самоуправления отдельными государственными полномочиями по организации мероприятий при осуществлении деятельности по обращению с животными без владельцев"</t>
  </si>
  <si>
    <t>78 0 00 72230</t>
  </si>
  <si>
    <t>Социальная политика</t>
  </si>
  <si>
    <t>10</t>
  </si>
  <si>
    <t>Пенсионное обеспечение</t>
  </si>
  <si>
    <t xml:space="preserve">Доплаты к пенсиям </t>
  </si>
  <si>
    <t>01 4 01 80010</t>
  </si>
  <si>
    <t xml:space="preserve">Публичные нормативные социальные выплаты гражданам
</t>
  </si>
  <si>
    <t>310</t>
  </si>
  <si>
    <t>Социальное обеспечение населения</t>
  </si>
  <si>
    <t>Мероприятия в области социальной политики</t>
  </si>
  <si>
    <t>01 4 01 25140</t>
  </si>
  <si>
    <t>Социальные выплаты гражданам, кроме публичных нормативных социальных выплат</t>
  </si>
  <si>
    <t>320</t>
  </si>
  <si>
    <t xml:space="preserve">Субсидии автономным учреждениям </t>
  </si>
  <si>
    <t>Реализация мер социальной поддержки граждан, призванных на военную службу по мобилизации, по контракту и членов их семей</t>
  </si>
  <si>
    <t>01 4 01 25160</t>
  </si>
  <si>
    <t>Публичные нормативные социальные выплаты гражданам</t>
  </si>
  <si>
    <t>Муниципальный проект, связанный с реализацией регионального проекта "Оказание поддержки отдельным категориям граждан в приобретении жилья"</t>
  </si>
  <si>
    <t>13 2 03 00000</t>
  </si>
  <si>
    <t>Мероприятия, направленные на обеспечение жильем молодых семей</t>
  </si>
  <si>
    <t>13 2 03 L4970</t>
  </si>
  <si>
    <t>Муниципальный проект "Оказание содействия в обеспечении сельского населения доступным и комфортным жильем"</t>
  </si>
  <si>
    <t>13 2 04 00000</t>
  </si>
  <si>
    <t>Улучшение жилищных условий граждан, проживающих на сельских территориях</t>
  </si>
  <si>
    <t>13 2 04 L5764</t>
  </si>
  <si>
    <t>13 4 00 00000</t>
  </si>
  <si>
    <t>Комплекс процессных мероприятий "Обеспечение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Федерации""</t>
  </si>
  <si>
    <t>13 4 01 00000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</si>
  <si>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</si>
  <si>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13 4 01 51760</t>
  </si>
  <si>
    <t>Другие вопросы в области социальной политики</t>
  </si>
  <si>
    <t>Физическая культура и спорт</t>
  </si>
  <si>
    <t xml:space="preserve">Физическая культура </t>
  </si>
  <si>
    <t>Комплекс процессных мероприятий " Обеспечение деятельности в сфере физической культуры и спорта"</t>
  </si>
  <si>
    <t>05 4 05 00000</t>
  </si>
  <si>
    <t>Расходы на обеспечение деятельности (оказание услуг) государственных учреждений</t>
  </si>
  <si>
    <t>05 4 05 01590</t>
  </si>
  <si>
    <t>05 4 05 70030</t>
  </si>
  <si>
    <t>Мероприятия в области физической культуры и спорта</t>
  </si>
  <si>
    <t>05 4 05 20600</t>
  </si>
  <si>
    <t>Массовый спорт</t>
  </si>
  <si>
    <t>Муниципальный проект "Развитие спорта на территории Нюксенского муниципального округа"</t>
  </si>
  <si>
    <t>05 2 05 00000</t>
  </si>
  <si>
    <t>Мероприятия, направленные на создание условий для занятий инвалидов, лиц с ограниченными возможностями здоровья физической культурой и спортом</t>
  </si>
  <si>
    <t>05 2 05 S1610</t>
  </si>
  <si>
    <t>Мероприятия, направленные на организацию и проведение на территории муниципального образования по месту жительства и (или) по месту отдыха организованных занятий граждан физической культурой</t>
  </si>
  <si>
    <t>05 2 05 S1760</t>
  </si>
  <si>
    <t>Другие вопросы в области физической культуры и спорта</t>
  </si>
  <si>
    <t>Муниципальный проект "Инвестиции в инфраструктуру физической культуры и спорта"</t>
  </si>
  <si>
    <t>05 2 04 00000</t>
  </si>
  <si>
    <t>Мероприятия, направленные на укрепление материально-технической базы муниципальных физкультурно-спортивных организаций</t>
  </si>
  <si>
    <t>05 2 04 S1040</t>
  </si>
  <si>
    <t>Представительное Собрание Нюксенского муниципального округа</t>
  </si>
  <si>
    <t>154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</si>
  <si>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</si>
  <si>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представительных  органов муниципальной власти</t>
  </si>
  <si>
    <t>92 0 00 00000</t>
  </si>
  <si>
    <t>92 0 00 00190</t>
  </si>
  <si>
    <t>Контрольно-счетная комиссия</t>
  </si>
  <si>
    <t>152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</si>
  <si>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</si>
  <si>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91 0 00 00000</t>
  </si>
  <si>
    <t>Обеспечение деятельности контрольно-счетной комиссии</t>
  </si>
  <si>
    <t>91 0 00 00190</t>
  </si>
  <si>
    <t>Финансовое управление администрации Нюксенского муниципального округа</t>
  </si>
  <si>
    <t>151</t>
  </si>
  <si>
    <t>Осуществление отдельных государственных полномочий в соответствии с законом области от 5 октября 2006 года № 1501-ОЗ "О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регулирования цен (тарифов)"</t>
  </si>
  <si>
    <t>78 0 00 72310</t>
  </si>
  <si>
    <t>Муниципальная программа "Управление муниципальными финансами Нюксенского муниципального округа "</t>
  </si>
  <si>
    <t>11 0 00 00000</t>
  </si>
  <si>
    <t>11 4 00 00000</t>
  </si>
  <si>
    <t>Комплекс процессных мероприятий  "Обеспечение организационных условий для реализации муниципальной программы"</t>
  </si>
  <si>
    <t>11 4 02 00000</t>
  </si>
  <si>
    <t>11 4 02 00190</t>
  </si>
  <si>
    <t>11 4 02 20800</t>
  </si>
  <si>
    <t>Членский взнос в НП "Сообщество финансистов России"</t>
  </si>
  <si>
    <t>11 4 02 20820</t>
  </si>
  <si>
    <t>11 4 02 00590</t>
  </si>
  <si>
    <t>11 4 02 70030</t>
  </si>
  <si>
    <t>Расходы по популяризации роли предпринимательства</t>
  </si>
  <si>
    <t>10 4 01 20450</t>
  </si>
  <si>
    <t>10 4 01 20460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</si>
  <si>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</si>
  <si>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</si>
  <si>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Комплекс процессных мероприятий  "Управление муниципальным долгом и муниципальными финансовыми активами Нюксенского муниципального округа"</t>
  </si>
  <si>
    <t>11 4 01 00000</t>
  </si>
  <si>
    <t>Процентные платежи по долговым обязательствам муниципального округа</t>
  </si>
  <si>
    <t>11 4 01 20900</t>
  </si>
  <si>
    <t>Обслуживание муниципального долга</t>
  </si>
  <si>
    <t>730</t>
  </si>
  <si>
    <t>Комитет земельно-имущественных отношений администрации Нюксенского муниципального округа</t>
  </si>
  <si>
    <t>040</t>
  </si>
  <si>
    <t>12 2 00 00000</t>
  </si>
  <si>
    <t>Муниципальный проект "Организация проведения комплексных кадастровых работ"</t>
  </si>
  <si>
    <t>12 2 01 00000</t>
  </si>
  <si>
    <t>Мероприятия, направленные на проведение комплексных кадастровых работ, за исключением расходов, предусмотренных на софинансирование субсидий из федерального бюджета</t>
  </si>
  <si>
    <t>12 2 01 S5110</t>
  </si>
  <si>
    <t>Мероприятия, направленные на проведение комплексных кадастровых работ, за счет средств бюджета муниципального округа</t>
  </si>
  <si>
    <t>12 2 01 20510</t>
  </si>
  <si>
    <t>Комплекс процессных мероприятий "Финансовая поддержка семей при рождении детей в части организации и предоставления денежной выплаты взамен предоставления земельного участка гражданам, имеющим трех и более детей"</t>
  </si>
  <si>
    <t>12 4 01 00000</t>
  </si>
  <si>
    <t>Осуществление отдельных государственных полномочий по предоставлению единовременной денежной выплаты взамен предоставления земельного участка гражданам, имеющим трех и более детей, состоящим на учете в качестве лиц, имеющих право на предоставление земельных участков в собственность бесплатно</t>
  </si>
  <si>
    <t>12 4 01 72300</t>
  </si>
  <si>
    <t>Комплекс процессных мероприятий "Обеспечение деятельности комитета земельно-имущественных отношений администрации Нюксенского муниципального округа"</t>
  </si>
  <si>
    <t>12 4 03 00000</t>
  </si>
  <si>
    <t>12 4 03 00190</t>
  </si>
  <si>
    <t>Управление образования администрации Нюксенского муниципального округа</t>
  </si>
  <si>
    <t>156</t>
  </si>
  <si>
    <t>Мероприятия, направленные на профилактику и предупреждение дорожно-транспортных происшествий с участием детей</t>
  </si>
  <si>
    <t>02 4 04 23080</t>
  </si>
  <si>
    <t>Образование</t>
  </si>
  <si>
    <t>Дошкольное образование</t>
  </si>
  <si>
    <t>Мероприятия по приспособлению зданий и помещений муниципальных дошкольных образовательных организаций и муниципальных общеобразовательных организаций для беспрепятственного доступа инвалидов (детей-инвалидов)</t>
  </si>
  <si>
    <t>06 2 01 S1180</t>
  </si>
  <si>
    <t>Обеспечение питанием обучающихся с ограниченными возможностями здоровья, не проживающих в организациях, осуществляющих образовательную деятельность по адаптированным основным общеобразовательным программам</t>
  </si>
  <si>
    <t xml:space="preserve"> 06 2 01 S1490</t>
  </si>
  <si>
    <t>Комплекс процессных мероприятий "Развитие дошкольного, общего и дополнительного образования детей"</t>
  </si>
  <si>
    <t>06 4 01 00000</t>
  </si>
  <si>
    <t>Обеспечение дошкольного образования и общеобразовательного процесса в муниципальных образовательных организациях</t>
  </si>
  <si>
    <t>06 4 01 72010</t>
  </si>
  <si>
    <t>Дошкольные учреждения</t>
  </si>
  <si>
    <t>06 4 01 14590</t>
  </si>
  <si>
    <t xml:space="preserve">Основное мероприятие "Организация методического сопровождения повышения профессиональной компетентности педагогических и руководящих кадров" </t>
  </si>
  <si>
    <t>08 1 05 00000</t>
  </si>
  <si>
    <t>08 1 05 14590</t>
  </si>
  <si>
    <t>06 1 00 00000</t>
  </si>
  <si>
    <t>Муниципальный проект "Модернизация школьных систем образования", связанный с региональным проектом "Все лучшее детям"</t>
  </si>
  <si>
    <t>06 1 Ю4 00000</t>
  </si>
  <si>
    <t>Мероприятия по оснащению предметных кабинетов общеобразовательных организаций оборудованием, средствами обучения и воспитания</t>
  </si>
  <si>
    <t>06 1 Ю4 55590</t>
  </si>
  <si>
    <t>Мероприятия по модернизации школьных систем образования</t>
  </si>
  <si>
    <t>06 1 Ю4 57500</t>
  </si>
  <si>
    <t>Мероприятия по модернизации школьных систем образования (оснащение отремонтированных зданий и (или) помещений муниципальных общеобразовательных организаций современными средствами обучения и воспитания)</t>
  </si>
  <si>
    <t>06 1 Ю4 57501</t>
  </si>
  <si>
    <t>Мероприятия по модернизации школьных систем образования (ремонты с однолетним циклом)</t>
  </si>
  <si>
    <t>06 1 Ю4 57502</t>
  </si>
  <si>
    <t>Мероприятия по модернизации школьных систем образования (оснащение отремонтированных зданий и (или) помещений муниципальных общеобразовательных организаций современными средствами обучения и воспитания), за исключением расходов, предусмотренных на софинансирование субсидий из федерального бюджета</t>
  </si>
  <si>
    <t>06 1 Ю4 А7501</t>
  </si>
  <si>
    <t>Муниципальный проект "Педагоги и наставники"</t>
  </si>
  <si>
    <t>06 1 Ю6 00000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</si>
  <si>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субъекта Российской Федерации, муниципальных общеобразовательных организаций</t>
  </si>
  <si>
    <t>06 1 Ю6 50500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</si>
  <si>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</si>
  <si>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06 1 Ю6 51790</t>
  </si>
  <si>
    <t>Ежемесячное денежное вознаграждение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</si>
  <si>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06 1 Ю6 53030</t>
  </si>
  <si>
    <t>Мероприятия, направленные на организацию школьных музеев</t>
  </si>
  <si>
    <t>06 2 01 S1010</t>
  </si>
  <si>
    <t>Создание агроклассов и (или) лесных классов в общеобразовательных организациях области</t>
  </si>
  <si>
    <t>06 2 01 S1070</t>
  </si>
  <si>
    <t>Мероприятия, направленные на антитеррористическую защищенность образовательных организаций</t>
  </si>
  <si>
    <t>06 2 01 S1140</t>
  </si>
  <si>
    <t>Мероприятия, направленные на обеспечение условий для организации питания обучающихся в муниципальных общеобразовательных организациях</t>
  </si>
  <si>
    <t>06 2 01 S1440</t>
  </si>
  <si>
    <t>Реализация ключевых мероприятий в рамках укрупненных приоритетных направлений развития региональных систем образования в муниципальных общеобразовательных организациях</t>
  </si>
  <si>
    <t>06 2 01 S1540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</si>
  <si>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</si>
  <si>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06 2 01 L3040</t>
  </si>
  <si>
    <t xml:space="preserve">Школы - детские сады, школы начальные, неполные средние и средние </t>
  </si>
  <si>
    <t>06 4 01 13590</t>
  </si>
  <si>
    <t>06 4 01 70030</t>
  </si>
  <si>
    <t>Комплекс процессных мероприятий "Обеспечение предоставления мер социальной поддержки"</t>
  </si>
  <si>
    <t>06 4 02 00000</t>
  </si>
  <si>
    <t>Обеспечение предоставления мер социальной поддержки отдельным категориям обучающихся в муниципальных образовательных организациях</t>
  </si>
  <si>
    <t>06 4 02 72020</t>
  </si>
  <si>
    <t>Комплекс процессных мероприятий "Обеспечение создания условий для проявления и развития способностей обучающихся и самореализации"</t>
  </si>
  <si>
    <t>06 4 03 00000</t>
  </si>
  <si>
    <t>Развитие системы поддержки талантливых детей в образовательных учреждениях</t>
  </si>
  <si>
    <t>06 4 03 16600</t>
  </si>
  <si>
    <t>Муниципальный проект ""Развитие спорта высших достижений, системы подготовки спортивного резерва и массового спорта"</t>
  </si>
  <si>
    <t>06 2 02 00000</t>
  </si>
  <si>
    <t>Мероприятия по подготовке спортивного резерва для спортивных сборных команд Вологодской области</t>
  </si>
  <si>
    <t>06 2 02 S1730</t>
  </si>
  <si>
    <t xml:space="preserve">Учреждения по внешкольной работе с детьми </t>
  </si>
  <si>
    <t>06 4 01 15590</t>
  </si>
  <si>
    <t>Обеспечение персонифицированного финансирования дополнительного образования детей</t>
  </si>
  <si>
    <t>06 4 01 16590</t>
  </si>
  <si>
    <t>Другие вопросы в области образования</t>
  </si>
  <si>
    <t>Муниципальная программа "Формирование законопослушного поведения участников дорожного движения на территории Нюксенского муниципального округа на 2019-2030 годы"</t>
  </si>
  <si>
    <t>Основное мероприятие "Профилактика и предупреждение дорожно-транспортных происшествий с участием детей"</t>
  </si>
  <si>
    <t>Реализация мероприятий по обеспечению безопасности жизни и здоровья детей, обучающихся в общеобразовательных организациях района</t>
  </si>
  <si>
    <t>03 1 00 23080</t>
  </si>
  <si>
    <t>Подпрограмма "Обеспечение реализации муниципальной программы "Совершенствование муниципального управления в Нюксенском муниципальном округе"</t>
  </si>
  <si>
    <t>Основное мероприятие "Поощрение муниципальной управленческой команды Нюксенского муниципального округа"</t>
  </si>
  <si>
    <t>Иные межбюджетные трансферты на поощрение за содействие достижению значений (уровней) показателей для оценки эффективности деятельности высших должностных лиц (руководителей высших исполнительных органов государственной власти) субъектов Российской Федерации и деятельности органов исполнительной власти субъектов Российской Федерации за счет средств дотации (гранта) в форме межбюджетного трансферта из федерального бюджета за достижение показателей деятельности органов исполнительной власти субъектов Российской Федерации</t>
  </si>
  <si>
    <t>05 4 02 55490</t>
  </si>
  <si>
    <t>Организация содержательного досуга детей в каникулярное время</t>
  </si>
  <si>
    <t>06 4 03 16700</t>
  </si>
  <si>
    <t>Комплекс процессных мероприятий "Обеспечение создания условий для реализации программы"</t>
  </si>
  <si>
    <t>06 4 05 00000</t>
  </si>
  <si>
    <t xml:space="preserve">Расходы на обеспечение функций муниципальных органов </t>
  </si>
  <si>
    <t>06 4 05 00190</t>
  </si>
  <si>
    <t>Организация методического сопровождения повышения профессиональной компетентности педагогических и руководящих кадров</t>
  </si>
  <si>
    <t>06 4 05 16800</t>
  </si>
  <si>
    <t>Охрана семьи и детства</t>
  </si>
  <si>
    <t>Подпрограмма "Развитие дошкольного, общего и дополнительного образования детей"</t>
  </si>
  <si>
    <t>08 1 00 00000</t>
  </si>
  <si>
    <t>Основное мероприятие "Обеспечение предоставления мер социальной поддержки отдельным категориям обучающихся в муниципальных образовательных организациях"</t>
  </si>
  <si>
    <t>08 1 04 00000</t>
  </si>
  <si>
    <t>Осуществление отдельных государственных полномочий в соответствии с законом области от 17 декабря 2007 года № 1719-ОЗ "О наделении органов местного самоуправления отдельными государственными полномочиями в сфере образования"</t>
  </si>
  <si>
    <t>08 1 04 72020</t>
  </si>
  <si>
    <t>Комплекс процессных мероприятий "Обеспечение деятельности в сфере физической культуры и спорта"</t>
  </si>
  <si>
    <t>Нюксенский территориальный отдел администрации Нюксенского муниципального округа Вологодской области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</si>
  <si>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</si>
  <si>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</si>
  <si>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Муниципальный проект "Обеспечение пожарной безопасности на территории Нюксенского муниципального округа"</t>
  </si>
  <si>
    <t>07 2 02 00000</t>
  </si>
  <si>
    <t>Мероприятия, направленные на создание и (или) ремонт источников наружного водоснабжения для забора воды в целях пожаротушения</t>
  </si>
  <si>
    <t>07 2 02 S1810</t>
  </si>
  <si>
    <t>Мероприятия по обеспечению пожарной безопасности населения</t>
  </si>
  <si>
    <t>07 2 02 23110</t>
  </si>
  <si>
    <t>Комплекс процессных мероприятий "Обеспечение пожарной безопасности на территории Нюксенского муниципального округа"</t>
  </si>
  <si>
    <t>07 4 03 00000</t>
  </si>
  <si>
    <t>07 4 03 23110</t>
  </si>
  <si>
    <t>ЖИЛИЩНО-КОММУНАЛЬНОЕ ХОЗЯЙСТВО</t>
  </si>
  <si>
    <t xml:space="preserve">Уличное освещение </t>
  </si>
  <si>
    <t>03 4 01 23400</t>
  </si>
  <si>
    <t>Комплекс процессных мероприятий "Проведение мероприятий в сфере благоустройства"</t>
  </si>
  <si>
    <t>03 4 02 00000</t>
  </si>
  <si>
    <t>Проведение мероприятий в сфере благоустройства</t>
  </si>
  <si>
    <t>03 4 02 23200</t>
  </si>
  <si>
    <t>Комплекс процессных мероприятий "Организация ритуальных услуг и содержание мест захоронения"</t>
  </si>
  <si>
    <t>03 4 03 00000</t>
  </si>
  <si>
    <t>Организация ритуальных услуг и содержание мест захоронения</t>
  </si>
  <si>
    <t>03 4 03 23300</t>
  </si>
  <si>
    <t>ОХРАНА ОКРУЖАЮЩЕЙ СРЕДЫ</t>
  </si>
  <si>
    <t>Мероприятия, направленные на обустройство контейнерных площадок</t>
  </si>
  <si>
    <t>08 2 02 S1100</t>
  </si>
  <si>
    <t>Мероприятия, направленные на обустройство контейнерных площадок (дополнительные средства)</t>
  </si>
  <si>
    <t>08 2 02 20121</t>
  </si>
  <si>
    <t>Комплекс процессных мероприятий "Снижение негативного воздействия на окружающую среду отходов производства и потребления"</t>
  </si>
  <si>
    <t>08 4 02 00000</t>
  </si>
  <si>
    <t>Содержание мест для накопления (сбора) твердых коммунальных отходов</t>
  </si>
  <si>
    <t>08 4 02 20111</t>
  </si>
  <si>
    <t>Итого расходов</t>
  </si>
  <si>
    <t>Условно утверждаемые расходы</t>
  </si>
  <si>
    <t>Всего расходов</t>
  </si>
  <si>
    <t xml:space="preserve"> </t>
  </si>
  <si>
    <t>05 2 01 01591</t>
  </si>
  <si>
    <t>05 4 03 01592</t>
  </si>
  <si>
    <t xml:space="preserve">Приложение 4  
к решению Представительного Собрания Нюксенского муниципального округа Вологодской области  от 16.12.2024 года № 88 "О бюджете Нюксенского муниципального округа Вологодской области на 2025 год и плановый период 2026 и 2027 годов"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</si>
</sst>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00"/>
    <numFmt numFmtId="166" formatCode="00"/>
    <numFmt numFmtId="167" formatCode="0.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name val="Arial Cyr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154">
    <xf numFmtId="0" fontId="0" fillId="0" borderId="0" xfId="0"/>
    <xf numFmtId="0" fontId="0" fillId="0" borderId="0" xfId="0" applyFont="1" applyFill="1"/>
    <xf numFmtId="0" fontId="3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49" fontId="5" fillId="0" borderId="3" xfId="0" applyNumberFormat="1" applyFont="1" applyFill="1" applyBorder="1" applyAlignment="1">
      <alignment horizontal="center"/>
    </xf>
    <xf numFmtId="164" fontId="5" fillId="0" borderId="3" xfId="0" applyNumberFormat="1" applyFont="1" applyFill="1" applyBorder="1" applyAlignment="1"/>
    <xf numFmtId="0" fontId="7" fillId="0" borderId="3" xfId="0" applyFont="1" applyFill="1" applyBorder="1" applyAlignment="1">
      <alignment vertical="center" wrapText="1"/>
    </xf>
    <xf numFmtId="164" fontId="2" fillId="0" borderId="3" xfId="0" applyNumberFormat="1" applyFont="1" applyFill="1" applyBorder="1" applyAlignment="1"/>
    <xf numFmtId="0" fontId="2" fillId="0" borderId="3" xfId="0" applyFont="1" applyFill="1" applyBorder="1" applyAlignment="1">
      <alignment vertical="center" wrapText="1"/>
    </xf>
    <xf numFmtId="49" fontId="2" fillId="0" borderId="3" xfId="0" applyNumberFormat="1" applyFont="1" applyFill="1" applyBorder="1" applyAlignment="1">
      <alignment horizontal="center"/>
    </xf>
    <xf numFmtId="0" fontId="2" fillId="0" borderId="4" xfId="1" applyNumberFormat="1" applyFont="1" applyFill="1" applyBorder="1" applyAlignment="1" applyProtection="1">
      <alignment horizontal="left" wrapText="1"/>
      <protection hidden="1"/>
    </xf>
    <xf numFmtId="0" fontId="2" fillId="0" borderId="3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vertical="distributed" wrapText="1"/>
    </xf>
    <xf numFmtId="0" fontId="2" fillId="0" borderId="3" xfId="0" applyNumberFormat="1" applyFont="1" applyFill="1" applyBorder="1" applyAlignment="1" applyProtection="1">
      <alignment horizontal="left" vertical="distributed" shrinkToFit="1"/>
    </xf>
    <xf numFmtId="0" fontId="5" fillId="0" borderId="3" xfId="0" applyFont="1" applyFill="1" applyBorder="1" applyAlignment="1">
      <alignment vertical="center" wrapText="1" shrinkToFit="1"/>
    </xf>
    <xf numFmtId="49" fontId="2" fillId="0" borderId="3" xfId="0" applyNumberFormat="1" applyFont="1" applyFill="1" applyBorder="1" applyAlignment="1" applyProtection="1">
      <alignment horizontal="left" vertical="center" wrapText="1" shrinkToFit="1"/>
    </xf>
    <xf numFmtId="49" fontId="2" fillId="0" borderId="3" xfId="0" applyNumberFormat="1" applyFont="1" applyFill="1" applyBorder="1" applyAlignment="1" applyProtection="1">
      <alignment horizontal="center"/>
    </xf>
    <xf numFmtId="0" fontId="9" fillId="0" borderId="4" xfId="0" applyFont="1" applyFill="1" applyBorder="1" applyAlignment="1">
      <alignment horizontal="left" vertical="center" wrapText="1"/>
    </xf>
    <xf numFmtId="0" fontId="2" fillId="0" borderId="4" xfId="1" applyNumberFormat="1" applyFont="1" applyFill="1" applyBorder="1" applyAlignment="1" applyProtection="1">
      <alignment horizontal="left" vertical="center" wrapText="1"/>
      <protection hidden="1"/>
    </xf>
    <xf numFmtId="0" fontId="9" fillId="0" borderId="3" xfId="0" applyFont="1" applyFill="1" applyBorder="1" applyAlignment="1">
      <alignment horizont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>
      <alignment vertical="justify" wrapText="1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 applyProtection="1">
      <alignment horizontal="right"/>
    </xf>
    <xf numFmtId="0" fontId="2" fillId="0" borderId="3" xfId="0" applyFont="1" applyFill="1" applyBorder="1" applyAlignment="1">
      <alignment vertical="center" wrapText="1" shrinkToFi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1" applyNumberFormat="1" applyFont="1" applyFill="1" applyBorder="1" applyAlignment="1" applyProtection="1">
      <alignment horizontal="left" vertical="center" wrapText="1"/>
      <protection hidden="1"/>
    </xf>
    <xf numFmtId="0" fontId="9" fillId="0" borderId="3" xfId="0" applyFont="1" applyFill="1" applyBorder="1" applyAlignment="1">
      <alignment vertical="center" wrapText="1"/>
    </xf>
    <xf numFmtId="0" fontId="2" fillId="0" borderId="3" xfId="0" applyNumberFormat="1" applyFont="1" applyFill="1" applyBorder="1" applyAlignment="1" applyProtection="1">
      <alignment vertical="center" wrapText="1"/>
    </xf>
    <xf numFmtId="0" fontId="5" fillId="0" borderId="2" xfId="1" applyNumberFormat="1" applyFont="1" applyFill="1" applyBorder="1" applyAlignment="1" applyProtection="1">
      <alignment horizontal="left" vertical="center" wrapText="1"/>
      <protection hidden="1"/>
    </xf>
    <xf numFmtId="0" fontId="2" fillId="0" borderId="3" xfId="0" applyNumberFormat="1" applyFont="1" applyFill="1" applyBorder="1" applyAlignment="1" applyProtection="1">
      <alignment horizontal="justify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49" fontId="9" fillId="0" borderId="3" xfId="0" applyNumberFormat="1" applyFont="1" applyFill="1" applyBorder="1" applyAlignment="1">
      <alignment horizontal="center" wrapText="1"/>
    </xf>
    <xf numFmtId="49" fontId="2" fillId="0" borderId="3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1" applyNumberFormat="1" applyFont="1" applyFill="1" applyBorder="1" applyAlignment="1" applyProtection="1">
      <alignment horizontal="left" vertical="center" wrapText="1"/>
      <protection hidden="1"/>
    </xf>
    <xf numFmtId="0" fontId="9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/>
    </xf>
    <xf numFmtId="0" fontId="10" fillId="0" borderId="0" xfId="0" applyFont="1" applyFill="1"/>
    <xf numFmtId="0" fontId="2" fillId="0" borderId="1" xfId="0" applyFont="1" applyFill="1" applyBorder="1" applyAlignment="1">
      <alignment vertical="center"/>
    </xf>
    <xf numFmtId="49" fontId="2" fillId="0" borderId="3" xfId="0" applyNumberFormat="1" applyFont="1" applyFill="1" applyBorder="1" applyAlignment="1" applyProtection="1">
      <alignment vertical="center" wrapText="1"/>
    </xf>
    <xf numFmtId="0" fontId="2" fillId="0" borderId="1" xfId="0" applyFont="1" applyFill="1" applyBorder="1" applyAlignment="1">
      <alignment horizontal="left" vertical="center"/>
    </xf>
    <xf numFmtId="164" fontId="2" fillId="0" borderId="2" xfId="0" applyNumberFormat="1" applyFont="1" applyFill="1" applyBorder="1" applyAlignment="1"/>
    <xf numFmtId="0" fontId="5" fillId="0" borderId="3" xfId="0" applyNumberFormat="1" applyFont="1" applyFill="1" applyBorder="1" applyAlignment="1" applyProtection="1">
      <alignment vertical="center" wrapText="1"/>
    </xf>
    <xf numFmtId="0" fontId="11" fillId="0" borderId="0" xfId="0" applyFont="1" applyFill="1"/>
    <xf numFmtId="0" fontId="5" fillId="0" borderId="3" xfId="0" applyNumberFormat="1" applyFont="1" applyFill="1" applyBorder="1" applyAlignment="1" applyProtection="1">
      <alignment vertical="center" wrapText="1" shrinkToFit="1"/>
    </xf>
    <xf numFmtId="0" fontId="2" fillId="0" borderId="3" xfId="0" applyFont="1" applyFill="1" applyBorder="1" applyAlignment="1">
      <alignment vertical="top" wrapText="1"/>
    </xf>
    <xf numFmtId="0" fontId="2" fillId="0" borderId="3" xfId="0" applyNumberFormat="1" applyFont="1" applyFill="1" applyBorder="1" applyAlignment="1" applyProtection="1">
      <alignment vertical="top" wrapText="1"/>
    </xf>
    <xf numFmtId="0" fontId="2" fillId="0" borderId="3" xfId="1" applyNumberFormat="1" applyFont="1" applyFill="1" applyBorder="1" applyAlignment="1" applyProtection="1">
      <alignment horizontal="left" wrapText="1"/>
      <protection hidden="1"/>
    </xf>
    <xf numFmtId="0" fontId="0" fillId="2" borderId="0" xfId="0" applyFont="1" applyFill="1"/>
    <xf numFmtId="0" fontId="10" fillId="2" borderId="0" xfId="0" applyFont="1" applyFill="1"/>
    <xf numFmtId="0" fontId="2" fillId="0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wrapText="1"/>
    </xf>
    <xf numFmtId="164" fontId="2" fillId="0" borderId="5" xfId="0" applyNumberFormat="1" applyFont="1" applyFill="1" applyBorder="1" applyAlignment="1"/>
    <xf numFmtId="0" fontId="9" fillId="0" borderId="5" xfId="0" applyFont="1" applyFill="1" applyBorder="1" applyAlignment="1">
      <alignment horizontal="center" wrapText="1"/>
    </xf>
    <xf numFmtId="164" fontId="2" fillId="0" borderId="6" xfId="0" applyNumberFormat="1" applyFont="1" applyFill="1" applyBorder="1" applyAlignment="1"/>
    <xf numFmtId="0" fontId="5" fillId="0" borderId="3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 shrinkToFit="1"/>
    </xf>
    <xf numFmtId="49" fontId="12" fillId="0" borderId="3" xfId="0" applyNumberFormat="1" applyFont="1" applyFill="1" applyBorder="1" applyAlignment="1" applyProtection="1">
      <alignment horizontal="center"/>
    </xf>
    <xf numFmtId="49" fontId="5" fillId="0" borderId="3" xfId="0" applyNumberFormat="1" applyFont="1" applyFill="1" applyBorder="1" applyAlignment="1" applyProtection="1">
      <alignment vertical="center" wrapText="1"/>
    </xf>
    <xf numFmtId="0" fontId="13" fillId="0" borderId="0" xfId="0" applyFont="1" applyFill="1"/>
    <xf numFmtId="0" fontId="2" fillId="0" borderId="1" xfId="0" applyFont="1" applyFill="1" applyBorder="1" applyAlignment="1">
      <alignment vertical="center" wrapText="1" shrinkToFit="1"/>
    </xf>
    <xf numFmtId="0" fontId="5" fillId="0" borderId="3" xfId="0" applyNumberFormat="1" applyFont="1" applyFill="1" applyBorder="1" applyAlignment="1" applyProtection="1">
      <alignment horizontal="justify" vertical="center" wrapText="1"/>
    </xf>
    <xf numFmtId="49" fontId="2" fillId="0" borderId="3" xfId="0" applyNumberFormat="1" applyFont="1" applyFill="1" applyBorder="1" applyAlignment="1" applyProtection="1">
      <alignment horizontal="justify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vertical="center"/>
    </xf>
    <xf numFmtId="0" fontId="14" fillId="0" borderId="7" xfId="0" applyNumberFormat="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vertical="justify" wrapText="1"/>
    </xf>
    <xf numFmtId="0" fontId="2" fillId="0" borderId="8" xfId="0" applyNumberFormat="1" applyFont="1" applyFill="1" applyBorder="1" applyAlignment="1" applyProtection="1">
      <alignment vertical="center" wrapText="1"/>
      <protection hidden="1"/>
    </xf>
    <xf numFmtId="0" fontId="2" fillId="0" borderId="4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vertical="center" wrapText="1"/>
    </xf>
    <xf numFmtId="49" fontId="9" fillId="0" borderId="3" xfId="0" applyNumberFormat="1" applyFont="1" applyFill="1" applyBorder="1" applyAlignment="1" applyProtection="1">
      <alignment horizontal="justify" vertical="center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justify" wrapText="1"/>
    </xf>
    <xf numFmtId="0" fontId="2" fillId="0" borderId="3" xfId="0" applyFont="1" applyFill="1" applyBorder="1" applyAlignment="1">
      <alignment vertical="top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49" fontId="2" fillId="0" borderId="3" xfId="0" applyNumberFormat="1" applyFont="1" applyFill="1" applyBorder="1" applyAlignment="1" applyProtection="1">
      <alignment horizont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wrapText="1"/>
    </xf>
    <xf numFmtId="164" fontId="2" fillId="0" borderId="1" xfId="0" applyNumberFormat="1" applyFont="1" applyFill="1" applyBorder="1" applyAlignment="1"/>
    <xf numFmtId="0" fontId="2" fillId="0" borderId="3" xfId="0" applyFont="1" applyFill="1" applyBorder="1" applyAlignment="1">
      <alignment horizontal="left" vertical="center" shrinkToFit="1"/>
    </xf>
    <xf numFmtId="164" fontId="2" fillId="0" borderId="4" xfId="0" applyNumberFormat="1" applyFont="1" applyFill="1" applyBorder="1" applyAlignment="1"/>
    <xf numFmtId="0" fontId="14" fillId="0" borderId="9" xfId="0" applyNumberFormat="1" applyFont="1" applyFill="1" applyBorder="1" applyAlignment="1" applyProtection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center"/>
    </xf>
    <xf numFmtId="0" fontId="2" fillId="0" borderId="3" xfId="0" applyFont="1" applyFill="1" applyBorder="1" applyAlignment="1">
      <alignment vertical="top" wrapText="1" shrinkToFit="1"/>
    </xf>
    <xf numFmtId="164" fontId="2" fillId="0" borderId="3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center" vertical="justify"/>
    </xf>
    <xf numFmtId="0" fontId="14" fillId="0" borderId="7" xfId="0" applyNumberFormat="1" applyFont="1" applyFill="1" applyBorder="1" applyAlignment="1" applyProtection="1">
      <alignment horizontal="left" wrapText="1"/>
    </xf>
    <xf numFmtId="0" fontId="15" fillId="0" borderId="3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2" xfId="1" applyNumberFormat="1" applyFont="1" applyFill="1" applyBorder="1" applyAlignment="1" applyProtection="1">
      <alignment horizontal="left" wrapText="1"/>
      <protection hidden="1"/>
    </xf>
    <xf numFmtId="0" fontId="2" fillId="0" borderId="3" xfId="0" applyFont="1" applyFill="1" applyBorder="1" applyAlignment="1">
      <alignment horizontal="center"/>
    </xf>
    <xf numFmtId="49" fontId="5" fillId="0" borderId="3" xfId="0" applyNumberFormat="1" applyFont="1" applyFill="1" applyBorder="1" applyAlignment="1" applyProtection="1">
      <alignment horizontal="center"/>
    </xf>
    <xf numFmtId="0" fontId="5" fillId="0" borderId="3" xfId="0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left" vertical="center" wrapText="1" shrinkToFit="1"/>
    </xf>
    <xf numFmtId="0" fontId="2" fillId="0" borderId="3" xfId="1" applyNumberFormat="1" applyFont="1" applyFill="1" applyBorder="1" applyAlignment="1" applyProtection="1">
      <alignment horizontal="left" vertical="center" wrapText="1" shrinkToFit="1"/>
      <protection hidden="1"/>
    </xf>
    <xf numFmtId="49" fontId="5" fillId="0" borderId="3" xfId="0" applyNumberFormat="1" applyFont="1" applyFill="1" applyBorder="1" applyAlignment="1">
      <alignment horizontal="center" wrapText="1"/>
    </xf>
    <xf numFmtId="49" fontId="9" fillId="0" borderId="3" xfId="0" applyNumberFormat="1" applyFont="1" applyFill="1" applyBorder="1" applyAlignment="1" applyProtection="1">
      <alignment horizontal="justify" vertical="justify" wrapText="1"/>
    </xf>
    <xf numFmtId="0" fontId="5" fillId="0" borderId="3" xfId="0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 applyProtection="1">
      <alignment wrapText="1"/>
    </xf>
    <xf numFmtId="0" fontId="9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distributed" shrinkToFit="1"/>
    </xf>
    <xf numFmtId="0" fontId="9" fillId="0" borderId="1" xfId="0" applyFont="1" applyFill="1" applyBorder="1" applyAlignment="1">
      <alignment horizontal="left" vertical="justify" wrapText="1"/>
    </xf>
    <xf numFmtId="0" fontId="2" fillId="0" borderId="3" xfId="0" applyFont="1" applyFill="1" applyBorder="1" applyAlignment="1">
      <alignment horizontal="left" vertical="center" wrapText="1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wrapText="1" shrinkToFit="1"/>
    </xf>
    <xf numFmtId="0" fontId="0" fillId="0" borderId="0" xfId="0" applyFont="1" applyFill="1" applyAlignment="1">
      <alignment vertical="top"/>
    </xf>
    <xf numFmtId="0" fontId="10" fillId="0" borderId="0" xfId="0" applyFont="1" applyFill="1" applyAlignment="1">
      <alignment vertical="top"/>
    </xf>
    <xf numFmtId="0" fontId="2" fillId="0" borderId="3" xfId="0" applyNumberFormat="1" applyFont="1" applyFill="1" applyBorder="1" applyAlignment="1" applyProtection="1">
      <alignment horizontal="left" vertical="center" wrapText="1" shrinkToFit="1"/>
    </xf>
    <xf numFmtId="49" fontId="9" fillId="0" borderId="5" xfId="0" applyNumberFormat="1" applyFont="1" applyFill="1" applyBorder="1" applyAlignment="1">
      <alignment horizontal="center" wrapText="1"/>
    </xf>
    <xf numFmtId="49" fontId="5" fillId="0" borderId="3" xfId="0" applyNumberFormat="1" applyFont="1" applyFill="1" applyBorder="1" applyAlignment="1" applyProtection="1">
      <alignment horizontal="left" vertical="center" wrapText="1" shrinkToFit="1"/>
    </xf>
    <xf numFmtId="0" fontId="9" fillId="0" borderId="4" xfId="0" applyFont="1" applyFill="1" applyBorder="1" applyAlignment="1">
      <alignment horizontal="left" wrapText="1"/>
    </xf>
    <xf numFmtId="0" fontId="16" fillId="0" borderId="3" xfId="0" applyFont="1" applyFill="1" applyBorder="1" applyAlignment="1">
      <alignment horizontal="left" vertical="center" wrapText="1" shrinkToFit="1"/>
    </xf>
    <xf numFmtId="0" fontId="16" fillId="0" borderId="3" xfId="0" applyNumberFormat="1" applyFont="1" applyFill="1" applyBorder="1" applyAlignment="1">
      <alignment horizontal="left" vertical="center" wrapText="1" shrinkToFit="1"/>
    </xf>
    <xf numFmtId="165" fontId="16" fillId="0" borderId="3" xfId="0" applyNumberFormat="1" applyFont="1" applyFill="1" applyBorder="1" applyAlignment="1">
      <alignment horizontal="center"/>
    </xf>
    <xf numFmtId="166" fontId="16" fillId="0" borderId="3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 applyProtection="1">
      <alignment horizontal="justify" vertical="center" wrapText="1" shrinkToFit="1"/>
    </xf>
    <xf numFmtId="166" fontId="4" fillId="0" borderId="3" xfId="0" applyNumberFormat="1" applyFont="1" applyFill="1" applyBorder="1" applyAlignment="1">
      <alignment horizontal="center"/>
    </xf>
    <xf numFmtId="0" fontId="16" fillId="0" borderId="3" xfId="0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center" wrapText="1" shrinkToFit="1"/>
    </xf>
    <xf numFmtId="49" fontId="5" fillId="0" borderId="3" xfId="0" applyNumberFormat="1" applyFont="1" applyFill="1" applyBorder="1" applyAlignment="1" applyProtection="1">
      <alignment horizontal="center" wrapText="1"/>
    </xf>
    <xf numFmtId="0" fontId="5" fillId="0" borderId="3" xfId="0" applyFont="1" applyFill="1" applyBorder="1" applyAlignment="1"/>
    <xf numFmtId="0" fontId="2" fillId="0" borderId="0" xfId="0" applyFont="1" applyFill="1" applyAlignment="1">
      <alignment vertical="center" wrapText="1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167" fontId="2" fillId="0" borderId="0" xfId="0" applyNumberFormat="1" applyFont="1" applyFill="1" applyBorder="1" applyAlignment="1"/>
    <xf numFmtId="0" fontId="1" fillId="0" borderId="0" xfId="0" applyFont="1" applyFill="1"/>
    <xf numFmtId="167" fontId="0" fillId="0" borderId="0" xfId="0" applyNumberFormat="1" applyFont="1" applyFill="1" applyAlignment="1"/>
    <xf numFmtId="0" fontId="0" fillId="0" borderId="0" xfId="0" applyFont="1" applyFill="1" applyAlignment="1"/>
    <xf numFmtId="0" fontId="1" fillId="0" borderId="0" xfId="0" applyFont="1" applyFill="1" applyAlignment="1">
      <alignment vertical="center" wrapText="1"/>
    </xf>
    <xf numFmtId="167" fontId="2" fillId="0" borderId="0" xfId="0" applyNumberFormat="1" applyFont="1" applyFill="1" applyAlignment="1"/>
    <xf numFmtId="2" fontId="2" fillId="0" borderId="0" xfId="0" applyNumberFormat="1" applyFont="1" applyFill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3"/>
  <sheetViews>
    <sheetView tabSelected="1" view="pageBreakPreview" topLeftCell="B1" zoomScale="110" zoomScaleNormal="115" zoomScaleSheetLayoutView="110" workbookViewId="0">
      <selection activeCell="B1" sqref="B1:J1"/>
    </sheetView>
  </sheetViews>
  <sheetFormatPr defaultRowHeight="12.75" x14ac:dyDescent="0.2"/>
  <cols>
    <col min="1" max="1" width="2.5703125" style="144" hidden="1" customWidth="1"/>
    <col min="2" max="2" width="60.140625" style="140" customWidth="1"/>
    <col min="3" max="3" width="6.140625" style="5" customWidth="1"/>
    <col min="4" max="4" width="4.85546875" style="5" customWidth="1"/>
    <col min="5" max="5" width="5.140625" style="5" customWidth="1"/>
    <col min="6" max="6" width="16.5703125" style="5" customWidth="1"/>
    <col min="7" max="7" width="10.42578125" style="7" customWidth="1"/>
    <col min="8" max="9" width="13.42578125" style="5" customWidth="1"/>
    <col min="10" max="10" width="15.42578125" style="5" customWidth="1"/>
    <col min="11" max="14" width="9.140625" style="1"/>
    <col min="15" max="255" width="9.140625" style="144"/>
    <col min="256" max="256" width="0" style="144" hidden="1" customWidth="1"/>
    <col min="257" max="257" width="60.140625" style="144" customWidth="1"/>
    <col min="258" max="258" width="6.140625" style="144" customWidth="1"/>
    <col min="259" max="259" width="4.85546875" style="144" customWidth="1"/>
    <col min="260" max="260" width="5.140625" style="144" customWidth="1"/>
    <col min="261" max="261" width="16.5703125" style="144" customWidth="1"/>
    <col min="262" max="262" width="10.42578125" style="144" customWidth="1"/>
    <col min="263" max="264" width="13.42578125" style="144" customWidth="1"/>
    <col min="265" max="265" width="15.42578125" style="144" customWidth="1"/>
    <col min="266" max="511" width="9.140625" style="144"/>
    <col min="512" max="512" width="0" style="144" hidden="1" customWidth="1"/>
    <col min="513" max="513" width="60.140625" style="144" customWidth="1"/>
    <col min="514" max="514" width="6.140625" style="144" customWidth="1"/>
    <col min="515" max="515" width="4.85546875" style="144" customWidth="1"/>
    <col min="516" max="516" width="5.140625" style="144" customWidth="1"/>
    <col min="517" max="517" width="16.5703125" style="144" customWidth="1"/>
    <col min="518" max="518" width="10.42578125" style="144" customWidth="1"/>
    <col min="519" max="520" width="13.42578125" style="144" customWidth="1"/>
    <col min="521" max="521" width="15.42578125" style="144" customWidth="1"/>
    <col min="522" max="767" width="9.140625" style="144"/>
    <col min="768" max="768" width="0" style="144" hidden="1" customWidth="1"/>
    <col min="769" max="769" width="60.140625" style="144" customWidth="1"/>
    <col min="770" max="770" width="6.140625" style="144" customWidth="1"/>
    <col min="771" max="771" width="4.85546875" style="144" customWidth="1"/>
    <col min="772" max="772" width="5.140625" style="144" customWidth="1"/>
    <col min="773" max="773" width="16.5703125" style="144" customWidth="1"/>
    <col min="774" max="774" width="10.42578125" style="144" customWidth="1"/>
    <col min="775" max="776" width="13.42578125" style="144" customWidth="1"/>
    <col min="777" max="777" width="15.42578125" style="144" customWidth="1"/>
    <col min="778" max="1023" width="9.140625" style="144"/>
    <col min="1024" max="1024" width="0" style="144" hidden="1" customWidth="1"/>
    <col min="1025" max="1025" width="60.140625" style="144" customWidth="1"/>
    <col min="1026" max="1026" width="6.140625" style="144" customWidth="1"/>
    <col min="1027" max="1027" width="4.85546875" style="144" customWidth="1"/>
    <col min="1028" max="1028" width="5.140625" style="144" customWidth="1"/>
    <col min="1029" max="1029" width="16.5703125" style="144" customWidth="1"/>
    <col min="1030" max="1030" width="10.42578125" style="144" customWidth="1"/>
    <col min="1031" max="1032" width="13.42578125" style="144" customWidth="1"/>
    <col min="1033" max="1033" width="15.42578125" style="144" customWidth="1"/>
    <col min="1034" max="1279" width="9.140625" style="144"/>
    <col min="1280" max="1280" width="0" style="144" hidden="1" customWidth="1"/>
    <col min="1281" max="1281" width="60.140625" style="144" customWidth="1"/>
    <col min="1282" max="1282" width="6.140625" style="144" customWidth="1"/>
    <col min="1283" max="1283" width="4.85546875" style="144" customWidth="1"/>
    <col min="1284" max="1284" width="5.140625" style="144" customWidth="1"/>
    <col min="1285" max="1285" width="16.5703125" style="144" customWidth="1"/>
    <col min="1286" max="1286" width="10.42578125" style="144" customWidth="1"/>
    <col min="1287" max="1288" width="13.42578125" style="144" customWidth="1"/>
    <col min="1289" max="1289" width="15.42578125" style="144" customWidth="1"/>
    <col min="1290" max="1535" width="9.140625" style="144"/>
    <col min="1536" max="1536" width="0" style="144" hidden="1" customWidth="1"/>
    <col min="1537" max="1537" width="60.140625" style="144" customWidth="1"/>
    <col min="1538" max="1538" width="6.140625" style="144" customWidth="1"/>
    <col min="1539" max="1539" width="4.85546875" style="144" customWidth="1"/>
    <col min="1540" max="1540" width="5.140625" style="144" customWidth="1"/>
    <col min="1541" max="1541" width="16.5703125" style="144" customWidth="1"/>
    <col min="1542" max="1542" width="10.42578125" style="144" customWidth="1"/>
    <col min="1543" max="1544" width="13.42578125" style="144" customWidth="1"/>
    <col min="1545" max="1545" width="15.42578125" style="144" customWidth="1"/>
    <col min="1546" max="1791" width="9.140625" style="144"/>
    <col min="1792" max="1792" width="0" style="144" hidden="1" customWidth="1"/>
    <col min="1793" max="1793" width="60.140625" style="144" customWidth="1"/>
    <col min="1794" max="1794" width="6.140625" style="144" customWidth="1"/>
    <col min="1795" max="1795" width="4.85546875" style="144" customWidth="1"/>
    <col min="1796" max="1796" width="5.140625" style="144" customWidth="1"/>
    <col min="1797" max="1797" width="16.5703125" style="144" customWidth="1"/>
    <col min="1798" max="1798" width="10.42578125" style="144" customWidth="1"/>
    <col min="1799" max="1800" width="13.42578125" style="144" customWidth="1"/>
    <col min="1801" max="1801" width="15.42578125" style="144" customWidth="1"/>
    <col min="1802" max="2047" width="9.140625" style="144"/>
    <col min="2048" max="2048" width="0" style="144" hidden="1" customWidth="1"/>
    <col min="2049" max="2049" width="60.140625" style="144" customWidth="1"/>
    <col min="2050" max="2050" width="6.140625" style="144" customWidth="1"/>
    <col min="2051" max="2051" width="4.85546875" style="144" customWidth="1"/>
    <col min="2052" max="2052" width="5.140625" style="144" customWidth="1"/>
    <col min="2053" max="2053" width="16.5703125" style="144" customWidth="1"/>
    <col min="2054" max="2054" width="10.42578125" style="144" customWidth="1"/>
    <col min="2055" max="2056" width="13.42578125" style="144" customWidth="1"/>
    <col min="2057" max="2057" width="15.42578125" style="144" customWidth="1"/>
    <col min="2058" max="2303" width="9.140625" style="144"/>
    <col min="2304" max="2304" width="0" style="144" hidden="1" customWidth="1"/>
    <col min="2305" max="2305" width="60.140625" style="144" customWidth="1"/>
    <col min="2306" max="2306" width="6.140625" style="144" customWidth="1"/>
    <col min="2307" max="2307" width="4.85546875" style="144" customWidth="1"/>
    <col min="2308" max="2308" width="5.140625" style="144" customWidth="1"/>
    <col min="2309" max="2309" width="16.5703125" style="144" customWidth="1"/>
    <col min="2310" max="2310" width="10.42578125" style="144" customWidth="1"/>
    <col min="2311" max="2312" width="13.42578125" style="144" customWidth="1"/>
    <col min="2313" max="2313" width="15.42578125" style="144" customWidth="1"/>
    <col min="2314" max="2559" width="9.140625" style="144"/>
    <col min="2560" max="2560" width="0" style="144" hidden="1" customWidth="1"/>
    <col min="2561" max="2561" width="60.140625" style="144" customWidth="1"/>
    <col min="2562" max="2562" width="6.140625" style="144" customWidth="1"/>
    <col min="2563" max="2563" width="4.85546875" style="144" customWidth="1"/>
    <col min="2564" max="2564" width="5.140625" style="144" customWidth="1"/>
    <col min="2565" max="2565" width="16.5703125" style="144" customWidth="1"/>
    <col min="2566" max="2566" width="10.42578125" style="144" customWidth="1"/>
    <col min="2567" max="2568" width="13.42578125" style="144" customWidth="1"/>
    <col min="2569" max="2569" width="15.42578125" style="144" customWidth="1"/>
    <col min="2570" max="2815" width="9.140625" style="144"/>
    <col min="2816" max="2816" width="0" style="144" hidden="1" customWidth="1"/>
    <col min="2817" max="2817" width="60.140625" style="144" customWidth="1"/>
    <col min="2818" max="2818" width="6.140625" style="144" customWidth="1"/>
    <col min="2819" max="2819" width="4.85546875" style="144" customWidth="1"/>
    <col min="2820" max="2820" width="5.140625" style="144" customWidth="1"/>
    <col min="2821" max="2821" width="16.5703125" style="144" customWidth="1"/>
    <col min="2822" max="2822" width="10.42578125" style="144" customWidth="1"/>
    <col min="2823" max="2824" width="13.42578125" style="144" customWidth="1"/>
    <col min="2825" max="2825" width="15.42578125" style="144" customWidth="1"/>
    <col min="2826" max="3071" width="9.140625" style="144"/>
    <col min="3072" max="3072" width="0" style="144" hidden="1" customWidth="1"/>
    <col min="3073" max="3073" width="60.140625" style="144" customWidth="1"/>
    <col min="3074" max="3074" width="6.140625" style="144" customWidth="1"/>
    <col min="3075" max="3075" width="4.85546875" style="144" customWidth="1"/>
    <col min="3076" max="3076" width="5.140625" style="144" customWidth="1"/>
    <col min="3077" max="3077" width="16.5703125" style="144" customWidth="1"/>
    <col min="3078" max="3078" width="10.42578125" style="144" customWidth="1"/>
    <col min="3079" max="3080" width="13.42578125" style="144" customWidth="1"/>
    <col min="3081" max="3081" width="15.42578125" style="144" customWidth="1"/>
    <col min="3082" max="3327" width="9.140625" style="144"/>
    <col min="3328" max="3328" width="0" style="144" hidden="1" customWidth="1"/>
    <col min="3329" max="3329" width="60.140625" style="144" customWidth="1"/>
    <col min="3330" max="3330" width="6.140625" style="144" customWidth="1"/>
    <col min="3331" max="3331" width="4.85546875" style="144" customWidth="1"/>
    <col min="3332" max="3332" width="5.140625" style="144" customWidth="1"/>
    <col min="3333" max="3333" width="16.5703125" style="144" customWidth="1"/>
    <col min="3334" max="3334" width="10.42578125" style="144" customWidth="1"/>
    <col min="3335" max="3336" width="13.42578125" style="144" customWidth="1"/>
    <col min="3337" max="3337" width="15.42578125" style="144" customWidth="1"/>
    <col min="3338" max="3583" width="9.140625" style="144"/>
    <col min="3584" max="3584" width="0" style="144" hidden="1" customWidth="1"/>
    <col min="3585" max="3585" width="60.140625" style="144" customWidth="1"/>
    <col min="3586" max="3586" width="6.140625" style="144" customWidth="1"/>
    <col min="3587" max="3587" width="4.85546875" style="144" customWidth="1"/>
    <col min="3588" max="3588" width="5.140625" style="144" customWidth="1"/>
    <col min="3589" max="3589" width="16.5703125" style="144" customWidth="1"/>
    <col min="3590" max="3590" width="10.42578125" style="144" customWidth="1"/>
    <col min="3591" max="3592" width="13.42578125" style="144" customWidth="1"/>
    <col min="3593" max="3593" width="15.42578125" style="144" customWidth="1"/>
    <col min="3594" max="3839" width="9.140625" style="144"/>
    <col min="3840" max="3840" width="0" style="144" hidden="1" customWidth="1"/>
    <col min="3841" max="3841" width="60.140625" style="144" customWidth="1"/>
    <col min="3842" max="3842" width="6.140625" style="144" customWidth="1"/>
    <col min="3843" max="3843" width="4.85546875" style="144" customWidth="1"/>
    <col min="3844" max="3844" width="5.140625" style="144" customWidth="1"/>
    <col min="3845" max="3845" width="16.5703125" style="144" customWidth="1"/>
    <col min="3846" max="3846" width="10.42578125" style="144" customWidth="1"/>
    <col min="3847" max="3848" width="13.42578125" style="144" customWidth="1"/>
    <col min="3849" max="3849" width="15.42578125" style="144" customWidth="1"/>
    <col min="3850" max="4095" width="9.140625" style="144"/>
    <col min="4096" max="4096" width="0" style="144" hidden="1" customWidth="1"/>
    <col min="4097" max="4097" width="60.140625" style="144" customWidth="1"/>
    <col min="4098" max="4098" width="6.140625" style="144" customWidth="1"/>
    <col min="4099" max="4099" width="4.85546875" style="144" customWidth="1"/>
    <col min="4100" max="4100" width="5.140625" style="144" customWidth="1"/>
    <col min="4101" max="4101" width="16.5703125" style="144" customWidth="1"/>
    <col min="4102" max="4102" width="10.42578125" style="144" customWidth="1"/>
    <col min="4103" max="4104" width="13.42578125" style="144" customWidth="1"/>
    <col min="4105" max="4105" width="15.42578125" style="144" customWidth="1"/>
    <col min="4106" max="4351" width="9.140625" style="144"/>
    <col min="4352" max="4352" width="0" style="144" hidden="1" customWidth="1"/>
    <col min="4353" max="4353" width="60.140625" style="144" customWidth="1"/>
    <col min="4354" max="4354" width="6.140625" style="144" customWidth="1"/>
    <col min="4355" max="4355" width="4.85546875" style="144" customWidth="1"/>
    <col min="4356" max="4356" width="5.140625" style="144" customWidth="1"/>
    <col min="4357" max="4357" width="16.5703125" style="144" customWidth="1"/>
    <col min="4358" max="4358" width="10.42578125" style="144" customWidth="1"/>
    <col min="4359" max="4360" width="13.42578125" style="144" customWidth="1"/>
    <col min="4361" max="4361" width="15.42578125" style="144" customWidth="1"/>
    <col min="4362" max="4607" width="9.140625" style="144"/>
    <col min="4608" max="4608" width="0" style="144" hidden="1" customWidth="1"/>
    <col min="4609" max="4609" width="60.140625" style="144" customWidth="1"/>
    <col min="4610" max="4610" width="6.140625" style="144" customWidth="1"/>
    <col min="4611" max="4611" width="4.85546875" style="144" customWidth="1"/>
    <col min="4612" max="4612" width="5.140625" style="144" customWidth="1"/>
    <col min="4613" max="4613" width="16.5703125" style="144" customWidth="1"/>
    <col min="4614" max="4614" width="10.42578125" style="144" customWidth="1"/>
    <col min="4615" max="4616" width="13.42578125" style="144" customWidth="1"/>
    <col min="4617" max="4617" width="15.42578125" style="144" customWidth="1"/>
    <col min="4618" max="4863" width="9.140625" style="144"/>
    <col min="4864" max="4864" width="0" style="144" hidden="1" customWidth="1"/>
    <col min="4865" max="4865" width="60.140625" style="144" customWidth="1"/>
    <col min="4866" max="4866" width="6.140625" style="144" customWidth="1"/>
    <col min="4867" max="4867" width="4.85546875" style="144" customWidth="1"/>
    <col min="4868" max="4868" width="5.140625" style="144" customWidth="1"/>
    <col min="4869" max="4869" width="16.5703125" style="144" customWidth="1"/>
    <col min="4870" max="4870" width="10.42578125" style="144" customWidth="1"/>
    <col min="4871" max="4872" width="13.42578125" style="144" customWidth="1"/>
    <col min="4873" max="4873" width="15.42578125" style="144" customWidth="1"/>
    <col min="4874" max="5119" width="9.140625" style="144"/>
    <col min="5120" max="5120" width="0" style="144" hidden="1" customWidth="1"/>
    <col min="5121" max="5121" width="60.140625" style="144" customWidth="1"/>
    <col min="5122" max="5122" width="6.140625" style="144" customWidth="1"/>
    <col min="5123" max="5123" width="4.85546875" style="144" customWidth="1"/>
    <col min="5124" max="5124" width="5.140625" style="144" customWidth="1"/>
    <col min="5125" max="5125" width="16.5703125" style="144" customWidth="1"/>
    <col min="5126" max="5126" width="10.42578125" style="144" customWidth="1"/>
    <col min="5127" max="5128" width="13.42578125" style="144" customWidth="1"/>
    <col min="5129" max="5129" width="15.42578125" style="144" customWidth="1"/>
    <col min="5130" max="5375" width="9.140625" style="144"/>
    <col min="5376" max="5376" width="0" style="144" hidden="1" customWidth="1"/>
    <col min="5377" max="5377" width="60.140625" style="144" customWidth="1"/>
    <col min="5378" max="5378" width="6.140625" style="144" customWidth="1"/>
    <col min="5379" max="5379" width="4.85546875" style="144" customWidth="1"/>
    <col min="5380" max="5380" width="5.140625" style="144" customWidth="1"/>
    <col min="5381" max="5381" width="16.5703125" style="144" customWidth="1"/>
    <col min="5382" max="5382" width="10.42578125" style="144" customWidth="1"/>
    <col min="5383" max="5384" width="13.42578125" style="144" customWidth="1"/>
    <col min="5385" max="5385" width="15.42578125" style="144" customWidth="1"/>
    <col min="5386" max="5631" width="9.140625" style="144"/>
    <col min="5632" max="5632" width="0" style="144" hidden="1" customWidth="1"/>
    <col min="5633" max="5633" width="60.140625" style="144" customWidth="1"/>
    <col min="5634" max="5634" width="6.140625" style="144" customWidth="1"/>
    <col min="5635" max="5635" width="4.85546875" style="144" customWidth="1"/>
    <col min="5636" max="5636" width="5.140625" style="144" customWidth="1"/>
    <col min="5637" max="5637" width="16.5703125" style="144" customWidth="1"/>
    <col min="5638" max="5638" width="10.42578125" style="144" customWidth="1"/>
    <col min="5639" max="5640" width="13.42578125" style="144" customWidth="1"/>
    <col min="5641" max="5641" width="15.42578125" style="144" customWidth="1"/>
    <col min="5642" max="5887" width="9.140625" style="144"/>
    <col min="5888" max="5888" width="0" style="144" hidden="1" customWidth="1"/>
    <col min="5889" max="5889" width="60.140625" style="144" customWidth="1"/>
    <col min="5890" max="5890" width="6.140625" style="144" customWidth="1"/>
    <col min="5891" max="5891" width="4.85546875" style="144" customWidth="1"/>
    <col min="5892" max="5892" width="5.140625" style="144" customWidth="1"/>
    <col min="5893" max="5893" width="16.5703125" style="144" customWidth="1"/>
    <col min="5894" max="5894" width="10.42578125" style="144" customWidth="1"/>
    <col min="5895" max="5896" width="13.42578125" style="144" customWidth="1"/>
    <col min="5897" max="5897" width="15.42578125" style="144" customWidth="1"/>
    <col min="5898" max="6143" width="9.140625" style="144"/>
    <col min="6144" max="6144" width="0" style="144" hidden="1" customWidth="1"/>
    <col min="6145" max="6145" width="60.140625" style="144" customWidth="1"/>
    <col min="6146" max="6146" width="6.140625" style="144" customWidth="1"/>
    <col min="6147" max="6147" width="4.85546875" style="144" customWidth="1"/>
    <col min="6148" max="6148" width="5.140625" style="144" customWidth="1"/>
    <col min="6149" max="6149" width="16.5703125" style="144" customWidth="1"/>
    <col min="6150" max="6150" width="10.42578125" style="144" customWidth="1"/>
    <col min="6151" max="6152" width="13.42578125" style="144" customWidth="1"/>
    <col min="6153" max="6153" width="15.42578125" style="144" customWidth="1"/>
    <col min="6154" max="6399" width="9.140625" style="144"/>
    <col min="6400" max="6400" width="0" style="144" hidden="1" customWidth="1"/>
    <col min="6401" max="6401" width="60.140625" style="144" customWidth="1"/>
    <col min="6402" max="6402" width="6.140625" style="144" customWidth="1"/>
    <col min="6403" max="6403" width="4.85546875" style="144" customWidth="1"/>
    <col min="6404" max="6404" width="5.140625" style="144" customWidth="1"/>
    <col min="6405" max="6405" width="16.5703125" style="144" customWidth="1"/>
    <col min="6406" max="6406" width="10.42578125" style="144" customWidth="1"/>
    <col min="6407" max="6408" width="13.42578125" style="144" customWidth="1"/>
    <col min="6409" max="6409" width="15.42578125" style="144" customWidth="1"/>
    <col min="6410" max="6655" width="9.140625" style="144"/>
    <col min="6656" max="6656" width="0" style="144" hidden="1" customWidth="1"/>
    <col min="6657" max="6657" width="60.140625" style="144" customWidth="1"/>
    <col min="6658" max="6658" width="6.140625" style="144" customWidth="1"/>
    <col min="6659" max="6659" width="4.85546875" style="144" customWidth="1"/>
    <col min="6660" max="6660" width="5.140625" style="144" customWidth="1"/>
    <col min="6661" max="6661" width="16.5703125" style="144" customWidth="1"/>
    <col min="6662" max="6662" width="10.42578125" style="144" customWidth="1"/>
    <col min="6663" max="6664" width="13.42578125" style="144" customWidth="1"/>
    <col min="6665" max="6665" width="15.42578125" style="144" customWidth="1"/>
    <col min="6666" max="6911" width="9.140625" style="144"/>
    <col min="6912" max="6912" width="0" style="144" hidden="1" customWidth="1"/>
    <col min="6913" max="6913" width="60.140625" style="144" customWidth="1"/>
    <col min="6914" max="6914" width="6.140625" style="144" customWidth="1"/>
    <col min="6915" max="6915" width="4.85546875" style="144" customWidth="1"/>
    <col min="6916" max="6916" width="5.140625" style="144" customWidth="1"/>
    <col min="6917" max="6917" width="16.5703125" style="144" customWidth="1"/>
    <col min="6918" max="6918" width="10.42578125" style="144" customWidth="1"/>
    <col min="6919" max="6920" width="13.42578125" style="144" customWidth="1"/>
    <col min="6921" max="6921" width="15.42578125" style="144" customWidth="1"/>
    <col min="6922" max="7167" width="9.140625" style="144"/>
    <col min="7168" max="7168" width="0" style="144" hidden="1" customWidth="1"/>
    <col min="7169" max="7169" width="60.140625" style="144" customWidth="1"/>
    <col min="7170" max="7170" width="6.140625" style="144" customWidth="1"/>
    <col min="7171" max="7171" width="4.85546875" style="144" customWidth="1"/>
    <col min="7172" max="7172" width="5.140625" style="144" customWidth="1"/>
    <col min="7173" max="7173" width="16.5703125" style="144" customWidth="1"/>
    <col min="7174" max="7174" width="10.42578125" style="144" customWidth="1"/>
    <col min="7175" max="7176" width="13.42578125" style="144" customWidth="1"/>
    <col min="7177" max="7177" width="15.42578125" style="144" customWidth="1"/>
    <col min="7178" max="7423" width="9.140625" style="144"/>
    <col min="7424" max="7424" width="0" style="144" hidden="1" customWidth="1"/>
    <col min="7425" max="7425" width="60.140625" style="144" customWidth="1"/>
    <col min="7426" max="7426" width="6.140625" style="144" customWidth="1"/>
    <col min="7427" max="7427" width="4.85546875" style="144" customWidth="1"/>
    <col min="7428" max="7428" width="5.140625" style="144" customWidth="1"/>
    <col min="7429" max="7429" width="16.5703125" style="144" customWidth="1"/>
    <col min="7430" max="7430" width="10.42578125" style="144" customWidth="1"/>
    <col min="7431" max="7432" width="13.42578125" style="144" customWidth="1"/>
    <col min="7433" max="7433" width="15.42578125" style="144" customWidth="1"/>
    <col min="7434" max="7679" width="9.140625" style="144"/>
    <col min="7680" max="7680" width="0" style="144" hidden="1" customWidth="1"/>
    <col min="7681" max="7681" width="60.140625" style="144" customWidth="1"/>
    <col min="7682" max="7682" width="6.140625" style="144" customWidth="1"/>
    <col min="7683" max="7683" width="4.85546875" style="144" customWidth="1"/>
    <col min="7684" max="7684" width="5.140625" style="144" customWidth="1"/>
    <col min="7685" max="7685" width="16.5703125" style="144" customWidth="1"/>
    <col min="7686" max="7686" width="10.42578125" style="144" customWidth="1"/>
    <col min="7687" max="7688" width="13.42578125" style="144" customWidth="1"/>
    <col min="7689" max="7689" width="15.42578125" style="144" customWidth="1"/>
    <col min="7690" max="7935" width="9.140625" style="144"/>
    <col min="7936" max="7936" width="0" style="144" hidden="1" customWidth="1"/>
    <col min="7937" max="7937" width="60.140625" style="144" customWidth="1"/>
    <col min="7938" max="7938" width="6.140625" style="144" customWidth="1"/>
    <col min="7939" max="7939" width="4.85546875" style="144" customWidth="1"/>
    <col min="7940" max="7940" width="5.140625" style="144" customWidth="1"/>
    <col min="7941" max="7941" width="16.5703125" style="144" customWidth="1"/>
    <col min="7942" max="7942" width="10.42578125" style="144" customWidth="1"/>
    <col min="7943" max="7944" width="13.42578125" style="144" customWidth="1"/>
    <col min="7945" max="7945" width="15.42578125" style="144" customWidth="1"/>
    <col min="7946" max="8191" width="9.140625" style="144"/>
    <col min="8192" max="8192" width="0" style="144" hidden="1" customWidth="1"/>
    <col min="8193" max="8193" width="60.140625" style="144" customWidth="1"/>
    <col min="8194" max="8194" width="6.140625" style="144" customWidth="1"/>
    <col min="8195" max="8195" width="4.85546875" style="144" customWidth="1"/>
    <col min="8196" max="8196" width="5.140625" style="144" customWidth="1"/>
    <col min="8197" max="8197" width="16.5703125" style="144" customWidth="1"/>
    <col min="8198" max="8198" width="10.42578125" style="144" customWidth="1"/>
    <col min="8199" max="8200" width="13.42578125" style="144" customWidth="1"/>
    <col min="8201" max="8201" width="15.42578125" style="144" customWidth="1"/>
    <col min="8202" max="8447" width="9.140625" style="144"/>
    <col min="8448" max="8448" width="0" style="144" hidden="1" customWidth="1"/>
    <col min="8449" max="8449" width="60.140625" style="144" customWidth="1"/>
    <col min="8450" max="8450" width="6.140625" style="144" customWidth="1"/>
    <col min="8451" max="8451" width="4.85546875" style="144" customWidth="1"/>
    <col min="8452" max="8452" width="5.140625" style="144" customWidth="1"/>
    <col min="8453" max="8453" width="16.5703125" style="144" customWidth="1"/>
    <col min="8454" max="8454" width="10.42578125" style="144" customWidth="1"/>
    <col min="8455" max="8456" width="13.42578125" style="144" customWidth="1"/>
    <col min="8457" max="8457" width="15.42578125" style="144" customWidth="1"/>
    <col min="8458" max="8703" width="9.140625" style="144"/>
    <col min="8704" max="8704" width="0" style="144" hidden="1" customWidth="1"/>
    <col min="8705" max="8705" width="60.140625" style="144" customWidth="1"/>
    <col min="8706" max="8706" width="6.140625" style="144" customWidth="1"/>
    <col min="8707" max="8707" width="4.85546875" style="144" customWidth="1"/>
    <col min="8708" max="8708" width="5.140625" style="144" customWidth="1"/>
    <col min="8709" max="8709" width="16.5703125" style="144" customWidth="1"/>
    <col min="8710" max="8710" width="10.42578125" style="144" customWidth="1"/>
    <col min="8711" max="8712" width="13.42578125" style="144" customWidth="1"/>
    <col min="8713" max="8713" width="15.42578125" style="144" customWidth="1"/>
    <col min="8714" max="8959" width="9.140625" style="144"/>
    <col min="8960" max="8960" width="0" style="144" hidden="1" customWidth="1"/>
    <col min="8961" max="8961" width="60.140625" style="144" customWidth="1"/>
    <col min="8962" max="8962" width="6.140625" style="144" customWidth="1"/>
    <col min="8963" max="8963" width="4.85546875" style="144" customWidth="1"/>
    <col min="8964" max="8964" width="5.140625" style="144" customWidth="1"/>
    <col min="8965" max="8965" width="16.5703125" style="144" customWidth="1"/>
    <col min="8966" max="8966" width="10.42578125" style="144" customWidth="1"/>
    <col min="8967" max="8968" width="13.42578125" style="144" customWidth="1"/>
    <col min="8969" max="8969" width="15.42578125" style="144" customWidth="1"/>
    <col min="8970" max="9215" width="9.140625" style="144"/>
    <col min="9216" max="9216" width="0" style="144" hidden="1" customWidth="1"/>
    <col min="9217" max="9217" width="60.140625" style="144" customWidth="1"/>
    <col min="9218" max="9218" width="6.140625" style="144" customWidth="1"/>
    <col min="9219" max="9219" width="4.85546875" style="144" customWidth="1"/>
    <col min="9220" max="9220" width="5.140625" style="144" customWidth="1"/>
    <col min="9221" max="9221" width="16.5703125" style="144" customWidth="1"/>
    <col min="9222" max="9222" width="10.42578125" style="144" customWidth="1"/>
    <col min="9223" max="9224" width="13.42578125" style="144" customWidth="1"/>
    <col min="9225" max="9225" width="15.42578125" style="144" customWidth="1"/>
    <col min="9226" max="9471" width="9.140625" style="144"/>
    <col min="9472" max="9472" width="0" style="144" hidden="1" customWidth="1"/>
    <col min="9473" max="9473" width="60.140625" style="144" customWidth="1"/>
    <col min="9474" max="9474" width="6.140625" style="144" customWidth="1"/>
    <col min="9475" max="9475" width="4.85546875" style="144" customWidth="1"/>
    <col min="9476" max="9476" width="5.140625" style="144" customWidth="1"/>
    <col min="9477" max="9477" width="16.5703125" style="144" customWidth="1"/>
    <col min="9478" max="9478" width="10.42578125" style="144" customWidth="1"/>
    <col min="9479" max="9480" width="13.42578125" style="144" customWidth="1"/>
    <col min="9481" max="9481" width="15.42578125" style="144" customWidth="1"/>
    <col min="9482" max="9727" width="9.140625" style="144"/>
    <col min="9728" max="9728" width="0" style="144" hidden="1" customWidth="1"/>
    <col min="9729" max="9729" width="60.140625" style="144" customWidth="1"/>
    <col min="9730" max="9730" width="6.140625" style="144" customWidth="1"/>
    <col min="9731" max="9731" width="4.85546875" style="144" customWidth="1"/>
    <col min="9732" max="9732" width="5.140625" style="144" customWidth="1"/>
    <col min="9733" max="9733" width="16.5703125" style="144" customWidth="1"/>
    <col min="9734" max="9734" width="10.42578125" style="144" customWidth="1"/>
    <col min="9735" max="9736" width="13.42578125" style="144" customWidth="1"/>
    <col min="9737" max="9737" width="15.42578125" style="144" customWidth="1"/>
    <col min="9738" max="9983" width="9.140625" style="144"/>
    <col min="9984" max="9984" width="0" style="144" hidden="1" customWidth="1"/>
    <col min="9985" max="9985" width="60.140625" style="144" customWidth="1"/>
    <col min="9986" max="9986" width="6.140625" style="144" customWidth="1"/>
    <col min="9987" max="9987" width="4.85546875" style="144" customWidth="1"/>
    <col min="9988" max="9988" width="5.140625" style="144" customWidth="1"/>
    <col min="9989" max="9989" width="16.5703125" style="144" customWidth="1"/>
    <col min="9990" max="9990" width="10.42578125" style="144" customWidth="1"/>
    <col min="9991" max="9992" width="13.42578125" style="144" customWidth="1"/>
    <col min="9993" max="9993" width="15.42578125" style="144" customWidth="1"/>
    <col min="9994" max="10239" width="9.140625" style="144"/>
    <col min="10240" max="10240" width="0" style="144" hidden="1" customWidth="1"/>
    <col min="10241" max="10241" width="60.140625" style="144" customWidth="1"/>
    <col min="10242" max="10242" width="6.140625" style="144" customWidth="1"/>
    <col min="10243" max="10243" width="4.85546875" style="144" customWidth="1"/>
    <col min="10244" max="10244" width="5.140625" style="144" customWidth="1"/>
    <col min="10245" max="10245" width="16.5703125" style="144" customWidth="1"/>
    <col min="10246" max="10246" width="10.42578125" style="144" customWidth="1"/>
    <col min="10247" max="10248" width="13.42578125" style="144" customWidth="1"/>
    <col min="10249" max="10249" width="15.42578125" style="144" customWidth="1"/>
    <col min="10250" max="10495" width="9.140625" style="144"/>
    <col min="10496" max="10496" width="0" style="144" hidden="1" customWidth="1"/>
    <col min="10497" max="10497" width="60.140625" style="144" customWidth="1"/>
    <col min="10498" max="10498" width="6.140625" style="144" customWidth="1"/>
    <col min="10499" max="10499" width="4.85546875" style="144" customWidth="1"/>
    <col min="10500" max="10500" width="5.140625" style="144" customWidth="1"/>
    <col min="10501" max="10501" width="16.5703125" style="144" customWidth="1"/>
    <col min="10502" max="10502" width="10.42578125" style="144" customWidth="1"/>
    <col min="10503" max="10504" width="13.42578125" style="144" customWidth="1"/>
    <col min="10505" max="10505" width="15.42578125" style="144" customWidth="1"/>
    <col min="10506" max="10751" width="9.140625" style="144"/>
    <col min="10752" max="10752" width="0" style="144" hidden="1" customWidth="1"/>
    <col min="10753" max="10753" width="60.140625" style="144" customWidth="1"/>
    <col min="10754" max="10754" width="6.140625" style="144" customWidth="1"/>
    <col min="10755" max="10755" width="4.85546875" style="144" customWidth="1"/>
    <col min="10756" max="10756" width="5.140625" style="144" customWidth="1"/>
    <col min="10757" max="10757" width="16.5703125" style="144" customWidth="1"/>
    <col min="10758" max="10758" width="10.42578125" style="144" customWidth="1"/>
    <col min="10759" max="10760" width="13.42578125" style="144" customWidth="1"/>
    <col min="10761" max="10761" width="15.42578125" style="144" customWidth="1"/>
    <col min="10762" max="11007" width="9.140625" style="144"/>
    <col min="11008" max="11008" width="0" style="144" hidden="1" customWidth="1"/>
    <col min="11009" max="11009" width="60.140625" style="144" customWidth="1"/>
    <col min="11010" max="11010" width="6.140625" style="144" customWidth="1"/>
    <col min="11011" max="11011" width="4.85546875" style="144" customWidth="1"/>
    <col min="11012" max="11012" width="5.140625" style="144" customWidth="1"/>
    <col min="11013" max="11013" width="16.5703125" style="144" customWidth="1"/>
    <col min="11014" max="11014" width="10.42578125" style="144" customWidth="1"/>
    <col min="11015" max="11016" width="13.42578125" style="144" customWidth="1"/>
    <col min="11017" max="11017" width="15.42578125" style="144" customWidth="1"/>
    <col min="11018" max="11263" width="9.140625" style="144"/>
    <col min="11264" max="11264" width="0" style="144" hidden="1" customWidth="1"/>
    <col min="11265" max="11265" width="60.140625" style="144" customWidth="1"/>
    <col min="11266" max="11266" width="6.140625" style="144" customWidth="1"/>
    <col min="11267" max="11267" width="4.85546875" style="144" customWidth="1"/>
    <col min="11268" max="11268" width="5.140625" style="144" customWidth="1"/>
    <col min="11269" max="11269" width="16.5703125" style="144" customWidth="1"/>
    <col min="11270" max="11270" width="10.42578125" style="144" customWidth="1"/>
    <col min="11271" max="11272" width="13.42578125" style="144" customWidth="1"/>
    <col min="11273" max="11273" width="15.42578125" style="144" customWidth="1"/>
    <col min="11274" max="11519" width="9.140625" style="144"/>
    <col min="11520" max="11520" width="0" style="144" hidden="1" customWidth="1"/>
    <col min="11521" max="11521" width="60.140625" style="144" customWidth="1"/>
    <col min="11522" max="11522" width="6.140625" style="144" customWidth="1"/>
    <col min="11523" max="11523" width="4.85546875" style="144" customWidth="1"/>
    <col min="11524" max="11524" width="5.140625" style="144" customWidth="1"/>
    <col min="11525" max="11525" width="16.5703125" style="144" customWidth="1"/>
    <col min="11526" max="11526" width="10.42578125" style="144" customWidth="1"/>
    <col min="11527" max="11528" width="13.42578125" style="144" customWidth="1"/>
    <col min="11529" max="11529" width="15.42578125" style="144" customWidth="1"/>
    <col min="11530" max="11775" width="9.140625" style="144"/>
    <col min="11776" max="11776" width="0" style="144" hidden="1" customWidth="1"/>
    <col min="11777" max="11777" width="60.140625" style="144" customWidth="1"/>
    <col min="11778" max="11778" width="6.140625" style="144" customWidth="1"/>
    <col min="11779" max="11779" width="4.85546875" style="144" customWidth="1"/>
    <col min="11780" max="11780" width="5.140625" style="144" customWidth="1"/>
    <col min="11781" max="11781" width="16.5703125" style="144" customWidth="1"/>
    <col min="11782" max="11782" width="10.42578125" style="144" customWidth="1"/>
    <col min="11783" max="11784" width="13.42578125" style="144" customWidth="1"/>
    <col min="11785" max="11785" width="15.42578125" style="144" customWidth="1"/>
    <col min="11786" max="12031" width="9.140625" style="144"/>
    <col min="12032" max="12032" width="0" style="144" hidden="1" customWidth="1"/>
    <col min="12033" max="12033" width="60.140625" style="144" customWidth="1"/>
    <col min="12034" max="12034" width="6.140625" style="144" customWidth="1"/>
    <col min="12035" max="12035" width="4.85546875" style="144" customWidth="1"/>
    <col min="12036" max="12036" width="5.140625" style="144" customWidth="1"/>
    <col min="12037" max="12037" width="16.5703125" style="144" customWidth="1"/>
    <col min="12038" max="12038" width="10.42578125" style="144" customWidth="1"/>
    <col min="12039" max="12040" width="13.42578125" style="144" customWidth="1"/>
    <col min="12041" max="12041" width="15.42578125" style="144" customWidth="1"/>
    <col min="12042" max="12287" width="9.140625" style="144"/>
    <col min="12288" max="12288" width="0" style="144" hidden="1" customWidth="1"/>
    <col min="12289" max="12289" width="60.140625" style="144" customWidth="1"/>
    <col min="12290" max="12290" width="6.140625" style="144" customWidth="1"/>
    <col min="12291" max="12291" width="4.85546875" style="144" customWidth="1"/>
    <col min="12292" max="12292" width="5.140625" style="144" customWidth="1"/>
    <col min="12293" max="12293" width="16.5703125" style="144" customWidth="1"/>
    <col min="12294" max="12294" width="10.42578125" style="144" customWidth="1"/>
    <col min="12295" max="12296" width="13.42578125" style="144" customWidth="1"/>
    <col min="12297" max="12297" width="15.42578125" style="144" customWidth="1"/>
    <col min="12298" max="12543" width="9.140625" style="144"/>
    <col min="12544" max="12544" width="0" style="144" hidden="1" customWidth="1"/>
    <col min="12545" max="12545" width="60.140625" style="144" customWidth="1"/>
    <col min="12546" max="12546" width="6.140625" style="144" customWidth="1"/>
    <col min="12547" max="12547" width="4.85546875" style="144" customWidth="1"/>
    <col min="12548" max="12548" width="5.140625" style="144" customWidth="1"/>
    <col min="12549" max="12549" width="16.5703125" style="144" customWidth="1"/>
    <col min="12550" max="12550" width="10.42578125" style="144" customWidth="1"/>
    <col min="12551" max="12552" width="13.42578125" style="144" customWidth="1"/>
    <col min="12553" max="12553" width="15.42578125" style="144" customWidth="1"/>
    <col min="12554" max="12799" width="9.140625" style="144"/>
    <col min="12800" max="12800" width="0" style="144" hidden="1" customWidth="1"/>
    <col min="12801" max="12801" width="60.140625" style="144" customWidth="1"/>
    <col min="12802" max="12802" width="6.140625" style="144" customWidth="1"/>
    <col min="12803" max="12803" width="4.85546875" style="144" customWidth="1"/>
    <col min="12804" max="12804" width="5.140625" style="144" customWidth="1"/>
    <col min="12805" max="12805" width="16.5703125" style="144" customWidth="1"/>
    <col min="12806" max="12806" width="10.42578125" style="144" customWidth="1"/>
    <col min="12807" max="12808" width="13.42578125" style="144" customWidth="1"/>
    <col min="12809" max="12809" width="15.42578125" style="144" customWidth="1"/>
    <col min="12810" max="13055" width="9.140625" style="144"/>
    <col min="13056" max="13056" width="0" style="144" hidden="1" customWidth="1"/>
    <col min="13057" max="13057" width="60.140625" style="144" customWidth="1"/>
    <col min="13058" max="13058" width="6.140625" style="144" customWidth="1"/>
    <col min="13059" max="13059" width="4.85546875" style="144" customWidth="1"/>
    <col min="13060" max="13060" width="5.140625" style="144" customWidth="1"/>
    <col min="13061" max="13061" width="16.5703125" style="144" customWidth="1"/>
    <col min="13062" max="13062" width="10.42578125" style="144" customWidth="1"/>
    <col min="13063" max="13064" width="13.42578125" style="144" customWidth="1"/>
    <col min="13065" max="13065" width="15.42578125" style="144" customWidth="1"/>
    <col min="13066" max="13311" width="9.140625" style="144"/>
    <col min="13312" max="13312" width="0" style="144" hidden="1" customWidth="1"/>
    <col min="13313" max="13313" width="60.140625" style="144" customWidth="1"/>
    <col min="13314" max="13314" width="6.140625" style="144" customWidth="1"/>
    <col min="13315" max="13315" width="4.85546875" style="144" customWidth="1"/>
    <col min="13316" max="13316" width="5.140625" style="144" customWidth="1"/>
    <col min="13317" max="13317" width="16.5703125" style="144" customWidth="1"/>
    <col min="13318" max="13318" width="10.42578125" style="144" customWidth="1"/>
    <col min="13319" max="13320" width="13.42578125" style="144" customWidth="1"/>
    <col min="13321" max="13321" width="15.42578125" style="144" customWidth="1"/>
    <col min="13322" max="13567" width="9.140625" style="144"/>
    <col min="13568" max="13568" width="0" style="144" hidden="1" customWidth="1"/>
    <col min="13569" max="13569" width="60.140625" style="144" customWidth="1"/>
    <col min="13570" max="13570" width="6.140625" style="144" customWidth="1"/>
    <col min="13571" max="13571" width="4.85546875" style="144" customWidth="1"/>
    <col min="13572" max="13572" width="5.140625" style="144" customWidth="1"/>
    <col min="13573" max="13573" width="16.5703125" style="144" customWidth="1"/>
    <col min="13574" max="13574" width="10.42578125" style="144" customWidth="1"/>
    <col min="13575" max="13576" width="13.42578125" style="144" customWidth="1"/>
    <col min="13577" max="13577" width="15.42578125" style="144" customWidth="1"/>
    <col min="13578" max="13823" width="9.140625" style="144"/>
    <col min="13824" max="13824" width="0" style="144" hidden="1" customWidth="1"/>
    <col min="13825" max="13825" width="60.140625" style="144" customWidth="1"/>
    <col min="13826" max="13826" width="6.140625" style="144" customWidth="1"/>
    <col min="13827" max="13827" width="4.85546875" style="144" customWidth="1"/>
    <col min="13828" max="13828" width="5.140625" style="144" customWidth="1"/>
    <col min="13829" max="13829" width="16.5703125" style="144" customWidth="1"/>
    <col min="13830" max="13830" width="10.42578125" style="144" customWidth="1"/>
    <col min="13831" max="13832" width="13.42578125" style="144" customWidth="1"/>
    <col min="13833" max="13833" width="15.42578125" style="144" customWidth="1"/>
    <col min="13834" max="14079" width="9.140625" style="144"/>
    <col min="14080" max="14080" width="0" style="144" hidden="1" customWidth="1"/>
    <col min="14081" max="14081" width="60.140625" style="144" customWidth="1"/>
    <col min="14082" max="14082" width="6.140625" style="144" customWidth="1"/>
    <col min="14083" max="14083" width="4.85546875" style="144" customWidth="1"/>
    <col min="14084" max="14084" width="5.140625" style="144" customWidth="1"/>
    <col min="14085" max="14085" width="16.5703125" style="144" customWidth="1"/>
    <col min="14086" max="14086" width="10.42578125" style="144" customWidth="1"/>
    <col min="14087" max="14088" width="13.42578125" style="144" customWidth="1"/>
    <col min="14089" max="14089" width="15.42578125" style="144" customWidth="1"/>
    <col min="14090" max="14335" width="9.140625" style="144"/>
    <col min="14336" max="14336" width="0" style="144" hidden="1" customWidth="1"/>
    <col min="14337" max="14337" width="60.140625" style="144" customWidth="1"/>
    <col min="14338" max="14338" width="6.140625" style="144" customWidth="1"/>
    <col min="14339" max="14339" width="4.85546875" style="144" customWidth="1"/>
    <col min="14340" max="14340" width="5.140625" style="144" customWidth="1"/>
    <col min="14341" max="14341" width="16.5703125" style="144" customWidth="1"/>
    <col min="14342" max="14342" width="10.42578125" style="144" customWidth="1"/>
    <col min="14343" max="14344" width="13.42578125" style="144" customWidth="1"/>
    <col min="14345" max="14345" width="15.42578125" style="144" customWidth="1"/>
    <col min="14346" max="14591" width="9.140625" style="144"/>
    <col min="14592" max="14592" width="0" style="144" hidden="1" customWidth="1"/>
    <col min="14593" max="14593" width="60.140625" style="144" customWidth="1"/>
    <col min="14594" max="14594" width="6.140625" style="144" customWidth="1"/>
    <col min="14595" max="14595" width="4.85546875" style="144" customWidth="1"/>
    <col min="14596" max="14596" width="5.140625" style="144" customWidth="1"/>
    <col min="14597" max="14597" width="16.5703125" style="144" customWidth="1"/>
    <col min="14598" max="14598" width="10.42578125" style="144" customWidth="1"/>
    <col min="14599" max="14600" width="13.42578125" style="144" customWidth="1"/>
    <col min="14601" max="14601" width="15.42578125" style="144" customWidth="1"/>
    <col min="14602" max="14847" width="9.140625" style="144"/>
    <col min="14848" max="14848" width="0" style="144" hidden="1" customWidth="1"/>
    <col min="14849" max="14849" width="60.140625" style="144" customWidth="1"/>
    <col min="14850" max="14850" width="6.140625" style="144" customWidth="1"/>
    <col min="14851" max="14851" width="4.85546875" style="144" customWidth="1"/>
    <col min="14852" max="14852" width="5.140625" style="144" customWidth="1"/>
    <col min="14853" max="14853" width="16.5703125" style="144" customWidth="1"/>
    <col min="14854" max="14854" width="10.42578125" style="144" customWidth="1"/>
    <col min="14855" max="14856" width="13.42578125" style="144" customWidth="1"/>
    <col min="14857" max="14857" width="15.42578125" style="144" customWidth="1"/>
    <col min="14858" max="15103" width="9.140625" style="144"/>
    <col min="15104" max="15104" width="0" style="144" hidden="1" customWidth="1"/>
    <col min="15105" max="15105" width="60.140625" style="144" customWidth="1"/>
    <col min="15106" max="15106" width="6.140625" style="144" customWidth="1"/>
    <col min="15107" max="15107" width="4.85546875" style="144" customWidth="1"/>
    <col min="15108" max="15108" width="5.140625" style="144" customWidth="1"/>
    <col min="15109" max="15109" width="16.5703125" style="144" customWidth="1"/>
    <col min="15110" max="15110" width="10.42578125" style="144" customWidth="1"/>
    <col min="15111" max="15112" width="13.42578125" style="144" customWidth="1"/>
    <col min="15113" max="15113" width="15.42578125" style="144" customWidth="1"/>
    <col min="15114" max="15359" width="9.140625" style="144"/>
    <col min="15360" max="15360" width="0" style="144" hidden="1" customWidth="1"/>
    <col min="15361" max="15361" width="60.140625" style="144" customWidth="1"/>
    <col min="15362" max="15362" width="6.140625" style="144" customWidth="1"/>
    <col min="15363" max="15363" width="4.85546875" style="144" customWidth="1"/>
    <col min="15364" max="15364" width="5.140625" style="144" customWidth="1"/>
    <col min="15365" max="15365" width="16.5703125" style="144" customWidth="1"/>
    <col min="15366" max="15366" width="10.42578125" style="144" customWidth="1"/>
    <col min="15367" max="15368" width="13.42578125" style="144" customWidth="1"/>
    <col min="15369" max="15369" width="15.42578125" style="144" customWidth="1"/>
    <col min="15370" max="15615" width="9.140625" style="144"/>
    <col min="15616" max="15616" width="0" style="144" hidden="1" customWidth="1"/>
    <col min="15617" max="15617" width="60.140625" style="144" customWidth="1"/>
    <col min="15618" max="15618" width="6.140625" style="144" customWidth="1"/>
    <col min="15619" max="15619" width="4.85546875" style="144" customWidth="1"/>
    <col min="15620" max="15620" width="5.140625" style="144" customWidth="1"/>
    <col min="15621" max="15621" width="16.5703125" style="144" customWidth="1"/>
    <col min="15622" max="15622" width="10.42578125" style="144" customWidth="1"/>
    <col min="15623" max="15624" width="13.42578125" style="144" customWidth="1"/>
    <col min="15625" max="15625" width="15.42578125" style="144" customWidth="1"/>
    <col min="15626" max="15871" width="9.140625" style="144"/>
    <col min="15872" max="15872" width="0" style="144" hidden="1" customWidth="1"/>
    <col min="15873" max="15873" width="60.140625" style="144" customWidth="1"/>
    <col min="15874" max="15874" width="6.140625" style="144" customWidth="1"/>
    <col min="15875" max="15875" width="4.85546875" style="144" customWidth="1"/>
    <col min="15876" max="15876" width="5.140625" style="144" customWidth="1"/>
    <col min="15877" max="15877" width="16.5703125" style="144" customWidth="1"/>
    <col min="15878" max="15878" width="10.42578125" style="144" customWidth="1"/>
    <col min="15879" max="15880" width="13.42578125" style="144" customWidth="1"/>
    <col min="15881" max="15881" width="15.42578125" style="144" customWidth="1"/>
    <col min="15882" max="16127" width="9.140625" style="144"/>
    <col min="16128" max="16128" width="0" style="144" hidden="1" customWidth="1"/>
    <col min="16129" max="16129" width="60.140625" style="144" customWidth="1"/>
    <col min="16130" max="16130" width="6.140625" style="144" customWidth="1"/>
    <col min="16131" max="16131" width="4.85546875" style="144" customWidth="1"/>
    <col min="16132" max="16132" width="5.140625" style="144" customWidth="1"/>
    <col min="16133" max="16133" width="16.5703125" style="144" customWidth="1"/>
    <col min="16134" max="16134" width="10.42578125" style="144" customWidth="1"/>
    <col min="16135" max="16136" width="13.42578125" style="144" customWidth="1"/>
    <col min="16137" max="16137" width="15.42578125" style="144" customWidth="1"/>
    <col min="16138" max="16384" width="9.140625" style="144"/>
  </cols>
  <sheetData>
    <row r="1" spans="2:10" ht="46.5" customHeight="1" x14ac:dyDescent="0.2">
      <c r="B1" s="152" t="s">
        <v>664</v>
      </c>
      <c r="C1" s="152"/>
      <c r="D1" s="152"/>
      <c r="E1" s="152"/>
      <c r="F1" s="152"/>
      <c r="G1" s="152"/>
      <c r="H1" s="152"/>
      <c r="I1" s="152"/>
      <c r="J1" s="152"/>
    </row>
    <row r="2" spans="2:10" ht="18.600000000000001" customHeight="1" x14ac:dyDescent="0.2">
      <c r="B2" s="2"/>
      <c r="C2" s="3"/>
      <c r="D2" s="3"/>
      <c r="E2" s="3"/>
      <c r="F2" s="3"/>
      <c r="G2" s="4"/>
    </row>
    <row r="3" spans="2:10" ht="55.5" customHeight="1" x14ac:dyDescent="0.2">
      <c r="B3" s="153" t="s">
        <v>0</v>
      </c>
      <c r="C3" s="153"/>
      <c r="D3" s="153"/>
      <c r="E3" s="153"/>
      <c r="F3" s="153"/>
      <c r="G3" s="153"/>
      <c r="H3" s="153"/>
      <c r="I3" s="153"/>
      <c r="J3" s="153"/>
    </row>
    <row r="4" spans="2:10" ht="16.5" customHeight="1" x14ac:dyDescent="0.2">
      <c r="B4" s="6"/>
      <c r="C4" s="7"/>
      <c r="D4" s="7"/>
      <c r="E4" s="7"/>
      <c r="F4" s="7"/>
      <c r="J4" s="8" t="s">
        <v>1</v>
      </c>
    </row>
    <row r="5" spans="2:10" ht="38.25" customHeight="1" x14ac:dyDescent="0.2">
      <c r="B5" s="9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11">
        <v>2025</v>
      </c>
      <c r="I5" s="11">
        <v>2026</v>
      </c>
      <c r="J5" s="11">
        <v>2027</v>
      </c>
    </row>
    <row r="6" spans="2:10" s="14" customFormat="1" ht="21" customHeight="1" x14ac:dyDescent="0.2">
      <c r="B6" s="12">
        <v>1</v>
      </c>
      <c r="C6" s="13">
        <v>2</v>
      </c>
      <c r="D6" s="13">
        <v>3</v>
      </c>
      <c r="E6" s="13">
        <v>4</v>
      </c>
      <c r="F6" s="13">
        <v>5</v>
      </c>
      <c r="G6" s="13">
        <v>6</v>
      </c>
      <c r="H6" s="13">
        <v>7</v>
      </c>
      <c r="I6" s="13">
        <v>8</v>
      </c>
      <c r="J6" s="13">
        <v>9</v>
      </c>
    </row>
    <row r="7" spans="2:10" s="1" customFormat="1" x14ac:dyDescent="0.2">
      <c r="B7" s="15" t="s">
        <v>8</v>
      </c>
      <c r="C7" s="16" t="s">
        <v>9</v>
      </c>
      <c r="D7" s="16"/>
      <c r="E7" s="16"/>
      <c r="F7" s="16"/>
      <c r="G7" s="16"/>
      <c r="H7" s="17">
        <f>H8+H132+H174+H224+H311+H392+H397+H351+H436+H125+H327</f>
        <v>489138.29999999993</v>
      </c>
      <c r="I7" s="17">
        <f>I8+I132+I174+I224+I311+I392+I397+I351+I436+I125+I327</f>
        <v>244923.09999999998</v>
      </c>
      <c r="J7" s="17">
        <f>J8+J132+J174+J224+J311+J392+J397+J351+J436+J125+J327</f>
        <v>245508.3</v>
      </c>
    </row>
    <row r="8" spans="2:10" s="1" customFormat="1" ht="15.75" x14ac:dyDescent="0.2">
      <c r="B8" s="18" t="s">
        <v>10</v>
      </c>
      <c r="C8" s="16" t="s">
        <v>9</v>
      </c>
      <c r="D8" s="16" t="s">
        <v>11</v>
      </c>
      <c r="E8" s="16"/>
      <c r="F8" s="16"/>
      <c r="G8" s="16"/>
      <c r="H8" s="17">
        <f>H15+H52+H56+H60++H9</f>
        <v>55049.899999999994</v>
      </c>
      <c r="I8" s="17">
        <f>I15+I52+I56+I60++I9</f>
        <v>52423.499999999993</v>
      </c>
      <c r="J8" s="17">
        <f>J15+J52+J56+J60++J9</f>
        <v>51448.999999999993</v>
      </c>
    </row>
    <row r="9" spans="2:10" s="1" customFormat="1" ht="25.5" x14ac:dyDescent="0.2">
      <c r="B9" s="15" t="s">
        <v>12</v>
      </c>
      <c r="C9" s="16" t="s">
        <v>9</v>
      </c>
      <c r="D9" s="16" t="s">
        <v>11</v>
      </c>
      <c r="E9" s="16" t="s">
        <v>13</v>
      </c>
      <c r="F9" s="16"/>
      <c r="G9" s="16"/>
      <c r="H9" s="19">
        <f t="shared" ref="H9:J13" si="0">H10</f>
        <v>3214.5</v>
      </c>
      <c r="I9" s="19">
        <f t="shared" si="0"/>
        <v>3173.6</v>
      </c>
      <c r="J9" s="19">
        <f t="shared" si="0"/>
        <v>3173.6</v>
      </c>
    </row>
    <row r="10" spans="2:10" s="1" customFormat="1" ht="25.5" x14ac:dyDescent="0.2">
      <c r="B10" s="20" t="s">
        <v>14</v>
      </c>
      <c r="C10" s="21" t="s">
        <v>9</v>
      </c>
      <c r="D10" s="21" t="s">
        <v>11</v>
      </c>
      <c r="E10" s="21" t="s">
        <v>13</v>
      </c>
      <c r="F10" s="21" t="s">
        <v>15</v>
      </c>
      <c r="G10" s="16"/>
      <c r="H10" s="19">
        <f t="shared" si="0"/>
        <v>3214.5</v>
      </c>
      <c r="I10" s="19">
        <f t="shared" si="0"/>
        <v>3173.6</v>
      </c>
      <c r="J10" s="19">
        <f t="shared" si="0"/>
        <v>3173.6</v>
      </c>
    </row>
    <row r="11" spans="2:10" s="1" customFormat="1" x14ac:dyDescent="0.2">
      <c r="B11" s="22" t="s">
        <v>16</v>
      </c>
      <c r="C11" s="21" t="s">
        <v>9</v>
      </c>
      <c r="D11" s="21" t="s">
        <v>11</v>
      </c>
      <c r="E11" s="21" t="s">
        <v>13</v>
      </c>
      <c r="F11" s="23" t="s">
        <v>17</v>
      </c>
      <c r="G11" s="21"/>
      <c r="H11" s="19">
        <f t="shared" si="0"/>
        <v>3214.5</v>
      </c>
      <c r="I11" s="19">
        <f t="shared" si="0"/>
        <v>3173.6</v>
      </c>
      <c r="J11" s="19">
        <f t="shared" si="0"/>
        <v>3173.6</v>
      </c>
    </row>
    <row r="12" spans="2:10" s="1" customFormat="1" ht="25.5" x14ac:dyDescent="0.2">
      <c r="B12" s="22" t="s">
        <v>18</v>
      </c>
      <c r="C12" s="21" t="s">
        <v>9</v>
      </c>
      <c r="D12" s="21" t="s">
        <v>11</v>
      </c>
      <c r="E12" s="21" t="s">
        <v>13</v>
      </c>
      <c r="F12" s="23" t="s">
        <v>19</v>
      </c>
      <c r="G12" s="21"/>
      <c r="H12" s="19">
        <f t="shared" si="0"/>
        <v>3214.5</v>
      </c>
      <c r="I12" s="19">
        <f t="shared" si="0"/>
        <v>3173.6</v>
      </c>
      <c r="J12" s="19">
        <f t="shared" si="0"/>
        <v>3173.6</v>
      </c>
    </row>
    <row r="13" spans="2:10" s="1" customFormat="1" x14ac:dyDescent="0.2">
      <c r="B13" s="24" t="s">
        <v>20</v>
      </c>
      <c r="C13" s="21" t="s">
        <v>9</v>
      </c>
      <c r="D13" s="21" t="s">
        <v>11</v>
      </c>
      <c r="E13" s="21" t="s">
        <v>13</v>
      </c>
      <c r="F13" s="23" t="s">
        <v>21</v>
      </c>
      <c r="G13" s="21"/>
      <c r="H13" s="19">
        <f t="shared" si="0"/>
        <v>3214.5</v>
      </c>
      <c r="I13" s="19">
        <f t="shared" si="0"/>
        <v>3173.6</v>
      </c>
      <c r="J13" s="19">
        <f t="shared" si="0"/>
        <v>3173.6</v>
      </c>
    </row>
    <row r="14" spans="2:10" s="1" customFormat="1" ht="25.5" x14ac:dyDescent="0.2">
      <c r="B14" s="25" t="s">
        <v>22</v>
      </c>
      <c r="C14" s="21" t="s">
        <v>9</v>
      </c>
      <c r="D14" s="21" t="s">
        <v>11</v>
      </c>
      <c r="E14" s="21" t="s">
        <v>13</v>
      </c>
      <c r="F14" s="23" t="s">
        <v>21</v>
      </c>
      <c r="G14" s="21" t="s">
        <v>23</v>
      </c>
      <c r="H14" s="19">
        <f>3114.5+100</f>
        <v>3214.5</v>
      </c>
      <c r="I14" s="19">
        <f>3114.5+59.1</f>
        <v>3173.6</v>
      </c>
      <c r="J14" s="19">
        <f>3114.5+59.1</f>
        <v>3173.6</v>
      </c>
    </row>
    <row r="15" spans="2:10" s="1" customFormat="1" ht="38.25" x14ac:dyDescent="0.2">
      <c r="B15" s="26" t="s">
        <v>24</v>
      </c>
      <c r="C15" s="16" t="s">
        <v>9</v>
      </c>
      <c r="D15" s="16" t="s">
        <v>25</v>
      </c>
      <c r="E15" s="16" t="s">
        <v>26</v>
      </c>
      <c r="F15" s="16"/>
      <c r="G15" s="16"/>
      <c r="H15" s="19">
        <f>H16+H22+H40+H46</f>
        <v>45901.899999999994</v>
      </c>
      <c r="I15" s="19">
        <f>I16+I22+I40+I46</f>
        <v>44745.899999999994</v>
      </c>
      <c r="J15" s="19">
        <f>J16+J22+J40+J46</f>
        <v>43781.899999999994</v>
      </c>
    </row>
    <row r="16" spans="2:10" s="1" customFormat="1" ht="28.5" customHeight="1" x14ac:dyDescent="0.2">
      <c r="B16" s="27" t="s">
        <v>27</v>
      </c>
      <c r="C16" s="21" t="s">
        <v>9</v>
      </c>
      <c r="D16" s="21" t="s">
        <v>11</v>
      </c>
      <c r="E16" s="21" t="s">
        <v>26</v>
      </c>
      <c r="F16" s="21" t="s">
        <v>28</v>
      </c>
      <c r="G16" s="28"/>
      <c r="H16" s="19">
        <f t="shared" ref="H16:J18" si="1">H17</f>
        <v>1036.0999999999999</v>
      </c>
      <c r="I16" s="19">
        <f t="shared" si="1"/>
        <v>1036.0999999999999</v>
      </c>
      <c r="J16" s="19">
        <f t="shared" si="1"/>
        <v>1036.0999999999999</v>
      </c>
    </row>
    <row r="17" spans="2:10" s="1" customFormat="1" ht="15.75" customHeight="1" x14ac:dyDescent="0.2">
      <c r="B17" s="29" t="s">
        <v>16</v>
      </c>
      <c r="C17" s="21" t="s">
        <v>9</v>
      </c>
      <c r="D17" s="21" t="s">
        <v>11</v>
      </c>
      <c r="E17" s="21" t="s">
        <v>26</v>
      </c>
      <c r="F17" s="21" t="s">
        <v>29</v>
      </c>
      <c r="G17" s="28"/>
      <c r="H17" s="19">
        <f t="shared" si="1"/>
        <v>1036.0999999999999</v>
      </c>
      <c r="I17" s="19">
        <f t="shared" si="1"/>
        <v>1036.0999999999999</v>
      </c>
      <c r="J17" s="19">
        <f t="shared" si="1"/>
        <v>1036.0999999999999</v>
      </c>
    </row>
    <row r="18" spans="2:10" s="1" customFormat="1" ht="36.75" customHeight="1" x14ac:dyDescent="0.2">
      <c r="B18" s="30" t="s">
        <v>30</v>
      </c>
      <c r="C18" s="21" t="s">
        <v>9</v>
      </c>
      <c r="D18" s="21" t="s">
        <v>11</v>
      </c>
      <c r="E18" s="21" t="s">
        <v>26</v>
      </c>
      <c r="F18" s="31" t="s">
        <v>31</v>
      </c>
      <c r="G18" s="28"/>
      <c r="H18" s="19">
        <f t="shared" si="1"/>
        <v>1036.0999999999999</v>
      </c>
      <c r="I18" s="19">
        <f t="shared" si="1"/>
        <v>1036.0999999999999</v>
      </c>
      <c r="J18" s="19">
        <f t="shared" si="1"/>
        <v>1036.0999999999999</v>
      </c>
    </row>
    <row r="19" spans="2:10" s="1" customFormat="1" ht="106.5" customHeight="1" x14ac:dyDescent="0.2">
      <c r="B19" s="32" t="s">
        <v>32</v>
      </c>
      <c r="C19" s="21" t="s">
        <v>9</v>
      </c>
      <c r="D19" s="21" t="s">
        <v>11</v>
      </c>
      <c r="E19" s="21" t="s">
        <v>26</v>
      </c>
      <c r="F19" s="31" t="s">
        <v>33</v>
      </c>
      <c r="G19" s="28"/>
      <c r="H19" s="19">
        <f>H20+H21</f>
        <v>1036.0999999999999</v>
      </c>
      <c r="I19" s="19">
        <f>I20+I21</f>
        <v>1036.0999999999999</v>
      </c>
      <c r="J19" s="19">
        <f>J20+J21</f>
        <v>1036.0999999999999</v>
      </c>
    </row>
    <row r="20" spans="2:10" s="1" customFormat="1" ht="26.25" customHeight="1" x14ac:dyDescent="0.2">
      <c r="B20" s="33" t="s">
        <v>22</v>
      </c>
      <c r="C20" s="21" t="s">
        <v>9</v>
      </c>
      <c r="D20" s="21" t="s">
        <v>11</v>
      </c>
      <c r="E20" s="21" t="s">
        <v>26</v>
      </c>
      <c r="F20" s="31" t="s">
        <v>33</v>
      </c>
      <c r="G20" s="28" t="s">
        <v>23</v>
      </c>
      <c r="H20" s="19">
        <v>740.1</v>
      </c>
      <c r="I20" s="19">
        <v>740.1</v>
      </c>
      <c r="J20" s="19">
        <v>740.1</v>
      </c>
    </row>
    <row r="21" spans="2:10" s="1" customFormat="1" ht="26.25" customHeight="1" x14ac:dyDescent="0.2">
      <c r="B21" s="33" t="s">
        <v>34</v>
      </c>
      <c r="C21" s="21" t="s">
        <v>9</v>
      </c>
      <c r="D21" s="21" t="s">
        <v>11</v>
      </c>
      <c r="E21" s="21" t="s">
        <v>26</v>
      </c>
      <c r="F21" s="31" t="s">
        <v>33</v>
      </c>
      <c r="G21" s="28" t="s">
        <v>35</v>
      </c>
      <c r="H21" s="19">
        <v>296</v>
      </c>
      <c r="I21" s="19">
        <v>296</v>
      </c>
      <c r="J21" s="19">
        <v>296</v>
      </c>
    </row>
    <row r="22" spans="2:10" s="1" customFormat="1" ht="28.5" customHeight="1" x14ac:dyDescent="0.2">
      <c r="B22" s="20" t="s">
        <v>14</v>
      </c>
      <c r="C22" s="34" t="s">
        <v>9</v>
      </c>
      <c r="D22" s="34" t="s">
        <v>11</v>
      </c>
      <c r="E22" s="34" t="s">
        <v>26</v>
      </c>
      <c r="F22" s="34" t="s">
        <v>15</v>
      </c>
      <c r="G22" s="28"/>
      <c r="H22" s="19">
        <f>H23+H36</f>
        <v>43670.799999999996</v>
      </c>
      <c r="I22" s="19">
        <f>I23+I36</f>
        <v>42517.299999999996</v>
      </c>
      <c r="J22" s="19">
        <f>J23+J36</f>
        <v>41553.299999999996</v>
      </c>
    </row>
    <row r="23" spans="2:10" s="1" customFormat="1" ht="15" customHeight="1" x14ac:dyDescent="0.2">
      <c r="B23" s="30" t="s">
        <v>16</v>
      </c>
      <c r="C23" s="34" t="s">
        <v>9</v>
      </c>
      <c r="D23" s="34" t="s">
        <v>11</v>
      </c>
      <c r="E23" s="34" t="s">
        <v>26</v>
      </c>
      <c r="F23" s="35" t="s">
        <v>17</v>
      </c>
      <c r="G23" s="28"/>
      <c r="H23" s="19">
        <f>H24+H33</f>
        <v>42359.799999999996</v>
      </c>
      <c r="I23" s="19">
        <f>I24+I33</f>
        <v>41717.299999999996</v>
      </c>
      <c r="J23" s="19">
        <f>J24+J33</f>
        <v>40753.299999999996</v>
      </c>
    </row>
    <row r="24" spans="2:10" s="1" customFormat="1" ht="26.25" customHeight="1" x14ac:dyDescent="0.2">
      <c r="B24" s="30" t="s">
        <v>18</v>
      </c>
      <c r="C24" s="34" t="s">
        <v>9</v>
      </c>
      <c r="D24" s="34" t="s">
        <v>11</v>
      </c>
      <c r="E24" s="34" t="s">
        <v>26</v>
      </c>
      <c r="F24" s="35" t="s">
        <v>19</v>
      </c>
      <c r="G24" s="28"/>
      <c r="H24" s="19">
        <f>H25+H31+H29</f>
        <v>41059.199999999997</v>
      </c>
      <c r="I24" s="19">
        <f>I25+I31+I29</f>
        <v>41018.6</v>
      </c>
      <c r="J24" s="19">
        <f>J25+J31+J29</f>
        <v>40054.6</v>
      </c>
    </row>
    <row r="25" spans="2:10" s="1" customFormat="1" ht="18" customHeight="1" x14ac:dyDescent="0.2">
      <c r="B25" s="20" t="s">
        <v>36</v>
      </c>
      <c r="C25" s="21" t="s">
        <v>9</v>
      </c>
      <c r="D25" s="21" t="s">
        <v>11</v>
      </c>
      <c r="E25" s="21" t="s">
        <v>26</v>
      </c>
      <c r="F25" s="23" t="s">
        <v>37</v>
      </c>
      <c r="G25" s="28"/>
      <c r="H25" s="19">
        <f>H26+H27+H28</f>
        <v>14113.899999999998</v>
      </c>
      <c r="I25" s="19">
        <f>I26+I27+I28</f>
        <v>14018.299999999997</v>
      </c>
      <c r="J25" s="19">
        <f>J26+J27+J28</f>
        <v>13054.299999999997</v>
      </c>
    </row>
    <row r="26" spans="2:10" s="1" customFormat="1" ht="26.25" customHeight="1" x14ac:dyDescent="0.2">
      <c r="B26" s="20" t="s">
        <v>22</v>
      </c>
      <c r="C26" s="21" t="s">
        <v>9</v>
      </c>
      <c r="D26" s="21" t="s">
        <v>11</v>
      </c>
      <c r="E26" s="21" t="s">
        <v>26</v>
      </c>
      <c r="F26" s="23" t="s">
        <v>37</v>
      </c>
      <c r="G26" s="28" t="s">
        <v>23</v>
      </c>
      <c r="H26" s="19">
        <f>10411.5+181-417.6-740.1-485.7-676.1-229.3</f>
        <v>8043.699999999998</v>
      </c>
      <c r="I26" s="19">
        <f>10411.5+181-740.1-485.7-495.5-676.1-227.6</f>
        <v>7967.4999999999982</v>
      </c>
      <c r="J26" s="19">
        <f>10411.5+181-740.1-485.7-513.5-676.1-227.6</f>
        <v>7949.4999999999982</v>
      </c>
    </row>
    <row r="27" spans="2:10" s="1" customFormat="1" ht="26.25" customHeight="1" x14ac:dyDescent="0.2">
      <c r="B27" s="20" t="s">
        <v>34</v>
      </c>
      <c r="C27" s="21" t="s">
        <v>9</v>
      </c>
      <c r="D27" s="21" t="s">
        <v>11</v>
      </c>
      <c r="E27" s="21" t="s">
        <v>26</v>
      </c>
      <c r="F27" s="23" t="s">
        <v>37</v>
      </c>
      <c r="G27" s="28" t="s">
        <v>35</v>
      </c>
      <c r="H27" s="19">
        <f>5755+19.4</f>
        <v>5774.4</v>
      </c>
      <c r="I27" s="19">
        <v>5755</v>
      </c>
      <c r="J27" s="19">
        <v>4809</v>
      </c>
    </row>
    <row r="28" spans="2:10" s="1" customFormat="1" ht="17.25" customHeight="1" x14ac:dyDescent="0.2">
      <c r="B28" s="20" t="s">
        <v>38</v>
      </c>
      <c r="C28" s="21" t="s">
        <v>9</v>
      </c>
      <c r="D28" s="21" t="s">
        <v>11</v>
      </c>
      <c r="E28" s="21" t="s">
        <v>26</v>
      </c>
      <c r="F28" s="23" t="s">
        <v>37</v>
      </c>
      <c r="G28" s="28" t="s">
        <v>39</v>
      </c>
      <c r="H28" s="19">
        <f>295.8</f>
        <v>295.8</v>
      </c>
      <c r="I28" s="36">
        <f>295.8</f>
        <v>295.8</v>
      </c>
      <c r="J28" s="36">
        <f>295.8</f>
        <v>295.8</v>
      </c>
    </row>
    <row r="29" spans="2:10" s="1" customFormat="1" ht="24" customHeight="1" x14ac:dyDescent="0.2">
      <c r="B29" s="37" t="s">
        <v>40</v>
      </c>
      <c r="C29" s="21" t="s">
        <v>9</v>
      </c>
      <c r="D29" s="21" t="s">
        <v>11</v>
      </c>
      <c r="E29" s="21" t="s">
        <v>26</v>
      </c>
      <c r="F29" s="23" t="s">
        <v>41</v>
      </c>
      <c r="G29" s="28"/>
      <c r="H29" s="19">
        <f>H30</f>
        <v>26459.600000000002</v>
      </c>
      <c r="I29" s="19">
        <f>I30</f>
        <v>26514.600000000002</v>
      </c>
      <c r="J29" s="19">
        <f>J30</f>
        <v>26514.600000000002</v>
      </c>
    </row>
    <row r="30" spans="2:10" s="1" customFormat="1" ht="27" customHeight="1" x14ac:dyDescent="0.2">
      <c r="B30" s="37" t="s">
        <v>22</v>
      </c>
      <c r="C30" s="21" t="s">
        <v>9</v>
      </c>
      <c r="D30" s="21" t="s">
        <v>11</v>
      </c>
      <c r="E30" s="21" t="s">
        <v>26</v>
      </c>
      <c r="F30" s="23" t="s">
        <v>41</v>
      </c>
      <c r="G30" s="28" t="s">
        <v>23</v>
      </c>
      <c r="H30" s="19">
        <f>879.7+25634.9-55</f>
        <v>26459.600000000002</v>
      </c>
      <c r="I30" s="19">
        <f>879.7+25634.9</f>
        <v>26514.600000000002</v>
      </c>
      <c r="J30" s="19">
        <f>879.7+25634.9</f>
        <v>26514.600000000002</v>
      </c>
    </row>
    <row r="31" spans="2:10" s="1" customFormat="1" ht="73.5" customHeight="1" x14ac:dyDescent="0.2">
      <c r="B31" s="20" t="s">
        <v>42</v>
      </c>
      <c r="C31" s="21" t="s">
        <v>9</v>
      </c>
      <c r="D31" s="21" t="s">
        <v>11</v>
      </c>
      <c r="E31" s="21" t="s">
        <v>26</v>
      </c>
      <c r="F31" s="23" t="s">
        <v>43</v>
      </c>
      <c r="G31" s="28"/>
      <c r="H31" s="19">
        <f>H32</f>
        <v>485.7</v>
      </c>
      <c r="I31" s="19">
        <f>I32</f>
        <v>485.7</v>
      </c>
      <c r="J31" s="19">
        <f>J32</f>
        <v>485.7</v>
      </c>
    </row>
    <row r="32" spans="2:10" s="1" customFormat="1" ht="26.25" customHeight="1" x14ac:dyDescent="0.2">
      <c r="B32" s="20" t="s">
        <v>22</v>
      </c>
      <c r="C32" s="21" t="s">
        <v>9</v>
      </c>
      <c r="D32" s="21" t="s">
        <v>11</v>
      </c>
      <c r="E32" s="21" t="s">
        <v>26</v>
      </c>
      <c r="F32" s="23" t="s">
        <v>43</v>
      </c>
      <c r="G32" s="28" t="s">
        <v>23</v>
      </c>
      <c r="H32" s="19">
        <v>485.7</v>
      </c>
      <c r="I32" s="19">
        <v>485.7</v>
      </c>
      <c r="J32" s="19">
        <v>485.7</v>
      </c>
    </row>
    <row r="33" spans="2:10" s="1" customFormat="1" ht="57" customHeight="1" x14ac:dyDescent="0.2">
      <c r="B33" s="20" t="s">
        <v>44</v>
      </c>
      <c r="C33" s="21" t="s">
        <v>9</v>
      </c>
      <c r="D33" s="21" t="s">
        <v>11</v>
      </c>
      <c r="E33" s="21" t="s">
        <v>26</v>
      </c>
      <c r="F33" s="23" t="s">
        <v>45</v>
      </c>
      <c r="G33" s="28"/>
      <c r="H33" s="19">
        <f t="shared" ref="H33:J34" si="2">H34</f>
        <v>1300.5999999999999</v>
      </c>
      <c r="I33" s="19">
        <f t="shared" si="2"/>
        <v>698.7</v>
      </c>
      <c r="J33" s="19">
        <f t="shared" si="2"/>
        <v>698.7</v>
      </c>
    </row>
    <row r="34" spans="2:10" s="1" customFormat="1" ht="20.25" customHeight="1" x14ac:dyDescent="0.2">
      <c r="B34" s="20" t="s">
        <v>46</v>
      </c>
      <c r="C34" s="21" t="s">
        <v>9</v>
      </c>
      <c r="D34" s="21" t="s">
        <v>11</v>
      </c>
      <c r="E34" s="21" t="s">
        <v>26</v>
      </c>
      <c r="F34" s="23" t="s">
        <v>47</v>
      </c>
      <c r="G34" s="28"/>
      <c r="H34" s="19">
        <f t="shared" si="2"/>
        <v>1300.5999999999999</v>
      </c>
      <c r="I34" s="19">
        <f t="shared" si="2"/>
        <v>698.7</v>
      </c>
      <c r="J34" s="19">
        <f t="shared" si="2"/>
        <v>698.7</v>
      </c>
    </row>
    <row r="35" spans="2:10" s="1" customFormat="1" ht="24.75" customHeight="1" x14ac:dyDescent="0.2">
      <c r="B35" s="20" t="s">
        <v>34</v>
      </c>
      <c r="C35" s="21" t="s">
        <v>9</v>
      </c>
      <c r="D35" s="21" t="s">
        <v>11</v>
      </c>
      <c r="E35" s="21" t="s">
        <v>26</v>
      </c>
      <c r="F35" s="23" t="s">
        <v>47</v>
      </c>
      <c r="G35" s="28" t="s">
        <v>35</v>
      </c>
      <c r="H35" s="19">
        <v>1300.5999999999999</v>
      </c>
      <c r="I35" s="19">
        <v>698.7</v>
      </c>
      <c r="J35" s="19">
        <v>698.7</v>
      </c>
    </row>
    <row r="36" spans="2:10" s="1" customFormat="1" ht="15" customHeight="1" x14ac:dyDescent="0.2">
      <c r="B36" s="38" t="s">
        <v>48</v>
      </c>
      <c r="C36" s="21" t="s">
        <v>9</v>
      </c>
      <c r="D36" s="21" t="s">
        <v>11</v>
      </c>
      <c r="E36" s="21" t="s">
        <v>26</v>
      </c>
      <c r="F36" s="23" t="s">
        <v>49</v>
      </c>
      <c r="G36" s="28"/>
      <c r="H36" s="19">
        <f>H37</f>
        <v>1311</v>
      </c>
      <c r="I36" s="19">
        <f t="shared" ref="I36:J38" si="3">I37</f>
        <v>800</v>
      </c>
      <c r="J36" s="19">
        <f t="shared" si="3"/>
        <v>800</v>
      </c>
    </row>
    <row r="37" spans="2:10" s="1" customFormat="1" ht="40.5" customHeight="1" x14ac:dyDescent="0.2">
      <c r="B37" s="38" t="s">
        <v>50</v>
      </c>
      <c r="C37" s="21" t="s">
        <v>9</v>
      </c>
      <c r="D37" s="21" t="s">
        <v>11</v>
      </c>
      <c r="E37" s="21" t="s">
        <v>26</v>
      </c>
      <c r="F37" s="23" t="s">
        <v>51</v>
      </c>
      <c r="G37" s="28"/>
      <c r="H37" s="19">
        <f>H38</f>
        <v>1311</v>
      </c>
      <c r="I37" s="19">
        <f t="shared" si="3"/>
        <v>800</v>
      </c>
      <c r="J37" s="19">
        <f t="shared" si="3"/>
        <v>800</v>
      </c>
    </row>
    <row r="38" spans="2:10" s="1" customFormat="1" ht="32.25" customHeight="1" x14ac:dyDescent="0.2">
      <c r="B38" s="20" t="s">
        <v>52</v>
      </c>
      <c r="C38" s="21" t="s">
        <v>9</v>
      </c>
      <c r="D38" s="21" t="s">
        <v>11</v>
      </c>
      <c r="E38" s="21" t="s">
        <v>26</v>
      </c>
      <c r="F38" s="23" t="s">
        <v>53</v>
      </c>
      <c r="G38" s="28"/>
      <c r="H38" s="19">
        <f>H39</f>
        <v>1311</v>
      </c>
      <c r="I38" s="19">
        <f t="shared" si="3"/>
        <v>800</v>
      </c>
      <c r="J38" s="19">
        <f t="shared" si="3"/>
        <v>800</v>
      </c>
    </row>
    <row r="39" spans="2:10" s="1" customFormat="1" ht="24.75" customHeight="1" x14ac:dyDescent="0.2">
      <c r="B39" s="20" t="s">
        <v>34</v>
      </c>
      <c r="C39" s="21" t="s">
        <v>9</v>
      </c>
      <c r="D39" s="21" t="s">
        <v>11</v>
      </c>
      <c r="E39" s="21" t="s">
        <v>26</v>
      </c>
      <c r="F39" s="23" t="s">
        <v>53</v>
      </c>
      <c r="G39" s="28" t="s">
        <v>35</v>
      </c>
      <c r="H39" s="19">
        <f>1911-600</f>
        <v>1311</v>
      </c>
      <c r="I39" s="19">
        <v>800</v>
      </c>
      <c r="J39" s="19">
        <v>800</v>
      </c>
    </row>
    <row r="40" spans="2:10" s="1" customFormat="1" ht="42" customHeight="1" x14ac:dyDescent="0.2">
      <c r="B40" s="39" t="s">
        <v>54</v>
      </c>
      <c r="C40" s="21" t="s">
        <v>9</v>
      </c>
      <c r="D40" s="21" t="s">
        <v>11</v>
      </c>
      <c r="E40" s="21" t="s">
        <v>26</v>
      </c>
      <c r="F40" s="31" t="s">
        <v>55</v>
      </c>
      <c r="G40" s="28"/>
      <c r="H40" s="19">
        <f t="shared" ref="H40:J42" si="4">H41</f>
        <v>852.8</v>
      </c>
      <c r="I40" s="19">
        <f t="shared" si="4"/>
        <v>852.8</v>
      </c>
      <c r="J40" s="19">
        <f t="shared" si="4"/>
        <v>852.8</v>
      </c>
    </row>
    <row r="41" spans="2:10" s="1" customFormat="1" ht="13.5" customHeight="1" x14ac:dyDescent="0.2">
      <c r="B41" s="29" t="s">
        <v>16</v>
      </c>
      <c r="C41" s="21" t="s">
        <v>9</v>
      </c>
      <c r="D41" s="21" t="s">
        <v>11</v>
      </c>
      <c r="E41" s="21" t="s">
        <v>26</v>
      </c>
      <c r="F41" s="23" t="s">
        <v>56</v>
      </c>
      <c r="G41" s="28"/>
      <c r="H41" s="19">
        <f t="shared" si="4"/>
        <v>852.8</v>
      </c>
      <c r="I41" s="19">
        <f t="shared" si="4"/>
        <v>852.8</v>
      </c>
      <c r="J41" s="19">
        <f t="shared" si="4"/>
        <v>852.8</v>
      </c>
    </row>
    <row r="42" spans="2:10" s="1" customFormat="1" ht="26.25" customHeight="1" x14ac:dyDescent="0.2">
      <c r="B42" s="40" t="s">
        <v>57</v>
      </c>
      <c r="C42" s="21" t="s">
        <v>9</v>
      </c>
      <c r="D42" s="21" t="s">
        <v>11</v>
      </c>
      <c r="E42" s="21" t="s">
        <v>26</v>
      </c>
      <c r="F42" s="23" t="s">
        <v>58</v>
      </c>
      <c r="G42" s="28"/>
      <c r="H42" s="19">
        <f t="shared" si="4"/>
        <v>852.8</v>
      </c>
      <c r="I42" s="19">
        <f t="shared" si="4"/>
        <v>852.8</v>
      </c>
      <c r="J42" s="19">
        <f t="shared" si="4"/>
        <v>852.8</v>
      </c>
    </row>
    <row r="43" spans="2:10" s="1" customFormat="1" ht="66" customHeight="1" x14ac:dyDescent="0.2">
      <c r="B43" s="41" t="s">
        <v>59</v>
      </c>
      <c r="C43" s="21" t="s">
        <v>9</v>
      </c>
      <c r="D43" s="21" t="s">
        <v>11</v>
      </c>
      <c r="E43" s="21" t="s">
        <v>26</v>
      </c>
      <c r="F43" s="31" t="s">
        <v>60</v>
      </c>
      <c r="G43" s="28"/>
      <c r="H43" s="19">
        <f>H44+H45</f>
        <v>852.8</v>
      </c>
      <c r="I43" s="19">
        <f>I44+I45</f>
        <v>852.8</v>
      </c>
      <c r="J43" s="19">
        <f>J44+J45</f>
        <v>852.8</v>
      </c>
    </row>
    <row r="44" spans="2:10" s="1" customFormat="1" ht="26.25" customHeight="1" x14ac:dyDescent="0.2">
      <c r="B44" s="41" t="s">
        <v>22</v>
      </c>
      <c r="C44" s="21" t="s">
        <v>9</v>
      </c>
      <c r="D44" s="21" t="s">
        <v>11</v>
      </c>
      <c r="E44" s="21" t="s">
        <v>26</v>
      </c>
      <c r="F44" s="31" t="s">
        <v>60</v>
      </c>
      <c r="G44" s="28" t="s">
        <v>23</v>
      </c>
      <c r="H44" s="19">
        <v>676.1</v>
      </c>
      <c r="I44" s="19">
        <v>676.1</v>
      </c>
      <c r="J44" s="19">
        <v>676.1</v>
      </c>
    </row>
    <row r="45" spans="2:10" s="1" customFormat="1" ht="26.25" customHeight="1" x14ac:dyDescent="0.2">
      <c r="B45" s="41" t="s">
        <v>34</v>
      </c>
      <c r="C45" s="21" t="s">
        <v>9</v>
      </c>
      <c r="D45" s="21" t="s">
        <v>11</v>
      </c>
      <c r="E45" s="21" t="s">
        <v>26</v>
      </c>
      <c r="F45" s="31" t="s">
        <v>60</v>
      </c>
      <c r="G45" s="28" t="s">
        <v>35</v>
      </c>
      <c r="H45" s="19">
        <f>176.7</f>
        <v>176.7</v>
      </c>
      <c r="I45" s="19">
        <f>176.7</f>
        <v>176.7</v>
      </c>
      <c r="J45" s="19">
        <f>176.7</f>
        <v>176.7</v>
      </c>
    </row>
    <row r="46" spans="2:10" s="1" customFormat="1" ht="27" customHeight="1" x14ac:dyDescent="0.2">
      <c r="B46" s="42" t="s">
        <v>61</v>
      </c>
      <c r="C46" s="21" t="s">
        <v>9</v>
      </c>
      <c r="D46" s="21" t="s">
        <v>11</v>
      </c>
      <c r="E46" s="21" t="s">
        <v>26</v>
      </c>
      <c r="F46" s="23" t="s">
        <v>62</v>
      </c>
      <c r="G46" s="28"/>
      <c r="H46" s="19">
        <f t="shared" ref="H46:J48" si="5">H47</f>
        <v>342.20000000000005</v>
      </c>
      <c r="I46" s="19">
        <f t="shared" si="5"/>
        <v>339.7</v>
      </c>
      <c r="J46" s="19">
        <f t="shared" si="5"/>
        <v>339.7</v>
      </c>
    </row>
    <row r="47" spans="2:10" s="1" customFormat="1" ht="16.5" customHeight="1" x14ac:dyDescent="0.2">
      <c r="B47" s="29" t="s">
        <v>16</v>
      </c>
      <c r="C47" s="21" t="s">
        <v>9</v>
      </c>
      <c r="D47" s="21" t="s">
        <v>11</v>
      </c>
      <c r="E47" s="21" t="s">
        <v>26</v>
      </c>
      <c r="F47" s="23" t="s">
        <v>63</v>
      </c>
      <c r="G47" s="28"/>
      <c r="H47" s="19">
        <f t="shared" si="5"/>
        <v>342.20000000000005</v>
      </c>
      <c r="I47" s="19">
        <f t="shared" si="5"/>
        <v>339.7</v>
      </c>
      <c r="J47" s="19">
        <f t="shared" si="5"/>
        <v>339.7</v>
      </c>
    </row>
    <row r="48" spans="2:10" s="1" customFormat="1" ht="26.25" customHeight="1" x14ac:dyDescent="0.2">
      <c r="B48" s="40" t="s">
        <v>64</v>
      </c>
      <c r="C48" s="21" t="s">
        <v>9</v>
      </c>
      <c r="D48" s="21" t="s">
        <v>11</v>
      </c>
      <c r="E48" s="21" t="s">
        <v>26</v>
      </c>
      <c r="F48" s="23" t="s">
        <v>65</v>
      </c>
      <c r="G48" s="28"/>
      <c r="H48" s="19">
        <f t="shared" si="5"/>
        <v>342.20000000000005</v>
      </c>
      <c r="I48" s="19">
        <f t="shared" si="5"/>
        <v>339.7</v>
      </c>
      <c r="J48" s="19">
        <f t="shared" si="5"/>
        <v>339.7</v>
      </c>
    </row>
    <row r="49" spans="2:10" s="1" customFormat="1" ht="50.25" customHeight="1" x14ac:dyDescent="0.2">
      <c r="B49" s="38" t="s">
        <v>66</v>
      </c>
      <c r="C49" s="21" t="s">
        <v>9</v>
      </c>
      <c r="D49" s="21" t="s">
        <v>11</v>
      </c>
      <c r="E49" s="21" t="s">
        <v>26</v>
      </c>
      <c r="F49" s="23" t="s">
        <v>67</v>
      </c>
      <c r="G49" s="21"/>
      <c r="H49" s="19">
        <f>H50+H51</f>
        <v>342.20000000000005</v>
      </c>
      <c r="I49" s="19">
        <f>I50+I51</f>
        <v>339.7</v>
      </c>
      <c r="J49" s="19">
        <f>J50+J51</f>
        <v>339.7</v>
      </c>
    </row>
    <row r="50" spans="2:10" s="1" customFormat="1" ht="26.25" customHeight="1" x14ac:dyDescent="0.2">
      <c r="B50" s="20" t="s">
        <v>22</v>
      </c>
      <c r="C50" s="21" t="s">
        <v>9</v>
      </c>
      <c r="D50" s="21" t="s">
        <v>11</v>
      </c>
      <c r="E50" s="21" t="s">
        <v>26</v>
      </c>
      <c r="F50" s="23" t="s">
        <v>67</v>
      </c>
      <c r="G50" s="21" t="s">
        <v>23</v>
      </c>
      <c r="H50" s="19">
        <v>229.3</v>
      </c>
      <c r="I50" s="19">
        <v>227.6</v>
      </c>
      <c r="J50" s="19">
        <v>227.6</v>
      </c>
    </row>
    <row r="51" spans="2:10" s="1" customFormat="1" ht="26.25" customHeight="1" x14ac:dyDescent="0.2">
      <c r="B51" s="20" t="s">
        <v>34</v>
      </c>
      <c r="C51" s="21" t="s">
        <v>9</v>
      </c>
      <c r="D51" s="21" t="s">
        <v>11</v>
      </c>
      <c r="E51" s="21" t="s">
        <v>26</v>
      </c>
      <c r="F51" s="23" t="s">
        <v>67</v>
      </c>
      <c r="G51" s="21" t="s">
        <v>35</v>
      </c>
      <c r="H51" s="19">
        <v>112.9</v>
      </c>
      <c r="I51" s="19">
        <v>112.1</v>
      </c>
      <c r="J51" s="19">
        <v>112.1</v>
      </c>
    </row>
    <row r="52" spans="2:10" s="1" customFormat="1" ht="13.5" customHeight="1" x14ac:dyDescent="0.2">
      <c r="B52" s="43" t="s">
        <v>68</v>
      </c>
      <c r="C52" s="16" t="s">
        <v>9</v>
      </c>
      <c r="D52" s="16" t="s">
        <v>11</v>
      </c>
      <c r="E52" s="16" t="s">
        <v>69</v>
      </c>
      <c r="F52" s="16"/>
      <c r="G52" s="16"/>
      <c r="H52" s="19">
        <f t="shared" ref="H52:J54" si="6">H53</f>
        <v>1.7</v>
      </c>
      <c r="I52" s="19">
        <f t="shared" si="6"/>
        <v>12.2</v>
      </c>
      <c r="J52" s="19">
        <f t="shared" si="6"/>
        <v>1.7</v>
      </c>
    </row>
    <row r="53" spans="2:10" s="1" customFormat="1" ht="13.5" customHeight="1" x14ac:dyDescent="0.2">
      <c r="B53" s="20" t="s">
        <v>70</v>
      </c>
      <c r="C53" s="21" t="s">
        <v>9</v>
      </c>
      <c r="D53" s="21" t="s">
        <v>11</v>
      </c>
      <c r="E53" s="21" t="s">
        <v>69</v>
      </c>
      <c r="F53" s="21" t="s">
        <v>71</v>
      </c>
      <c r="G53" s="21"/>
      <c r="H53" s="19">
        <f t="shared" si="6"/>
        <v>1.7</v>
      </c>
      <c r="I53" s="19">
        <f t="shared" si="6"/>
        <v>12.2</v>
      </c>
      <c r="J53" s="19">
        <f t="shared" si="6"/>
        <v>1.7</v>
      </c>
    </row>
    <row r="54" spans="2:10" s="1" customFormat="1" ht="38.25" customHeight="1" x14ac:dyDescent="0.2">
      <c r="B54" s="37" t="s">
        <v>72</v>
      </c>
      <c r="C54" s="21" t="s">
        <v>9</v>
      </c>
      <c r="D54" s="21" t="s">
        <v>11</v>
      </c>
      <c r="E54" s="21" t="s">
        <v>69</v>
      </c>
      <c r="F54" s="21" t="s">
        <v>73</v>
      </c>
      <c r="G54" s="21"/>
      <c r="H54" s="19">
        <f t="shared" si="6"/>
        <v>1.7</v>
      </c>
      <c r="I54" s="19">
        <f t="shared" si="6"/>
        <v>12.2</v>
      </c>
      <c r="J54" s="19">
        <f t="shared" si="6"/>
        <v>1.7</v>
      </c>
    </row>
    <row r="55" spans="2:10" s="1" customFormat="1" ht="24.75" customHeight="1" x14ac:dyDescent="0.2">
      <c r="B55" s="20" t="s">
        <v>34</v>
      </c>
      <c r="C55" s="21" t="s">
        <v>9</v>
      </c>
      <c r="D55" s="21" t="s">
        <v>11</v>
      </c>
      <c r="E55" s="21" t="s">
        <v>69</v>
      </c>
      <c r="F55" s="21" t="s">
        <v>73</v>
      </c>
      <c r="G55" s="21" t="s">
        <v>35</v>
      </c>
      <c r="H55" s="19">
        <v>1.7</v>
      </c>
      <c r="I55" s="19">
        <v>12.2</v>
      </c>
      <c r="J55" s="19">
        <v>1.7</v>
      </c>
    </row>
    <row r="56" spans="2:10" s="1" customFormat="1" x14ac:dyDescent="0.2">
      <c r="B56" s="15" t="s">
        <v>74</v>
      </c>
      <c r="C56" s="16" t="s">
        <v>9</v>
      </c>
      <c r="D56" s="16" t="s">
        <v>11</v>
      </c>
      <c r="E56" s="16" t="s">
        <v>75</v>
      </c>
      <c r="F56" s="16"/>
      <c r="G56" s="16"/>
      <c r="H56" s="19">
        <f t="shared" ref="H56:J58" si="7">H57</f>
        <v>1000</v>
      </c>
      <c r="I56" s="19">
        <f t="shared" si="7"/>
        <v>0</v>
      </c>
      <c r="J56" s="19">
        <f t="shared" si="7"/>
        <v>0</v>
      </c>
    </row>
    <row r="57" spans="2:10" s="1" customFormat="1" x14ac:dyDescent="0.2">
      <c r="B57" s="20" t="s">
        <v>74</v>
      </c>
      <c r="C57" s="21" t="s">
        <v>9</v>
      </c>
      <c r="D57" s="21" t="s">
        <v>11</v>
      </c>
      <c r="E57" s="21" t="s">
        <v>75</v>
      </c>
      <c r="F57" s="21" t="s">
        <v>76</v>
      </c>
      <c r="G57" s="16"/>
      <c r="H57" s="19">
        <f t="shared" si="7"/>
        <v>1000</v>
      </c>
      <c r="I57" s="19">
        <f t="shared" si="7"/>
        <v>0</v>
      </c>
      <c r="J57" s="19">
        <f t="shared" si="7"/>
        <v>0</v>
      </c>
    </row>
    <row r="58" spans="2:10" s="1" customFormat="1" x14ac:dyDescent="0.2">
      <c r="B58" s="20" t="s">
        <v>77</v>
      </c>
      <c r="C58" s="21" t="s">
        <v>9</v>
      </c>
      <c r="D58" s="21" t="s">
        <v>11</v>
      </c>
      <c r="E58" s="21" t="s">
        <v>75</v>
      </c>
      <c r="F58" s="21" t="s">
        <v>78</v>
      </c>
      <c r="G58" s="21"/>
      <c r="H58" s="19">
        <f t="shared" si="7"/>
        <v>1000</v>
      </c>
      <c r="I58" s="19">
        <f t="shared" si="7"/>
        <v>0</v>
      </c>
      <c r="J58" s="19">
        <f t="shared" si="7"/>
        <v>0</v>
      </c>
    </row>
    <row r="59" spans="2:10" s="1" customFormat="1" x14ac:dyDescent="0.2">
      <c r="B59" s="20" t="s">
        <v>79</v>
      </c>
      <c r="C59" s="21" t="s">
        <v>9</v>
      </c>
      <c r="D59" s="21" t="s">
        <v>11</v>
      </c>
      <c r="E59" s="21" t="s">
        <v>75</v>
      </c>
      <c r="F59" s="21" t="s">
        <v>78</v>
      </c>
      <c r="G59" s="21" t="s">
        <v>80</v>
      </c>
      <c r="H59" s="19">
        <v>1000</v>
      </c>
      <c r="I59" s="19">
        <v>0</v>
      </c>
      <c r="J59" s="19">
        <v>0</v>
      </c>
    </row>
    <row r="60" spans="2:10" s="1" customFormat="1" ht="12.75" customHeight="1" x14ac:dyDescent="0.2">
      <c r="B60" s="15" t="s">
        <v>81</v>
      </c>
      <c r="C60" s="16" t="s">
        <v>9</v>
      </c>
      <c r="D60" s="16" t="s">
        <v>11</v>
      </c>
      <c r="E60" s="16" t="s">
        <v>82</v>
      </c>
      <c r="F60" s="16"/>
      <c r="G60" s="16"/>
      <c r="H60" s="19">
        <f>H61+H82+H105+H66+H120</f>
        <v>4931.7999999999993</v>
      </c>
      <c r="I60" s="19">
        <f>I61+I82+I105+I66+I120</f>
        <v>4491.7999999999993</v>
      </c>
      <c r="J60" s="19">
        <f>J61+J82+J105+J66+J120</f>
        <v>4491.7999999999993</v>
      </c>
    </row>
    <row r="61" spans="2:10" s="1" customFormat="1" ht="27.75" customHeight="1" x14ac:dyDescent="0.2">
      <c r="B61" s="44" t="s">
        <v>83</v>
      </c>
      <c r="C61" s="21" t="s">
        <v>9</v>
      </c>
      <c r="D61" s="21" t="s">
        <v>11</v>
      </c>
      <c r="E61" s="21" t="s">
        <v>82</v>
      </c>
      <c r="F61" s="28" t="s">
        <v>84</v>
      </c>
      <c r="G61" s="21"/>
      <c r="H61" s="19">
        <f>H64+H62</f>
        <v>650</v>
      </c>
      <c r="I61" s="19">
        <f>I64+I62</f>
        <v>0</v>
      </c>
      <c r="J61" s="19">
        <f>J64+J62</f>
        <v>0</v>
      </c>
    </row>
    <row r="62" spans="2:10" s="1" customFormat="1" ht="26.25" hidden="1" customHeight="1" x14ac:dyDescent="0.2">
      <c r="B62" s="39" t="s">
        <v>85</v>
      </c>
      <c r="C62" s="21" t="s">
        <v>9</v>
      </c>
      <c r="D62" s="21" t="s">
        <v>11</v>
      </c>
      <c r="E62" s="21" t="s">
        <v>82</v>
      </c>
      <c r="F62" s="21" t="s">
        <v>86</v>
      </c>
      <c r="G62" s="21"/>
      <c r="H62" s="19">
        <f>H63</f>
        <v>0</v>
      </c>
      <c r="I62" s="19">
        <f>I63</f>
        <v>0</v>
      </c>
      <c r="J62" s="19">
        <f>J63</f>
        <v>0</v>
      </c>
    </row>
    <row r="63" spans="2:10" s="1" customFormat="1" ht="26.25" hidden="1" customHeight="1" x14ac:dyDescent="0.2">
      <c r="B63" s="20" t="s">
        <v>34</v>
      </c>
      <c r="C63" s="21" t="s">
        <v>9</v>
      </c>
      <c r="D63" s="21" t="s">
        <v>11</v>
      </c>
      <c r="E63" s="21" t="s">
        <v>82</v>
      </c>
      <c r="F63" s="21" t="s">
        <v>86</v>
      </c>
      <c r="G63" s="21" t="s">
        <v>35</v>
      </c>
      <c r="H63" s="19">
        <v>0</v>
      </c>
      <c r="I63" s="19">
        <v>0</v>
      </c>
      <c r="J63" s="19">
        <v>0</v>
      </c>
    </row>
    <row r="64" spans="2:10" s="1" customFormat="1" ht="25.5" customHeight="1" x14ac:dyDescent="0.2">
      <c r="B64" s="45" t="s">
        <v>87</v>
      </c>
      <c r="C64" s="21" t="s">
        <v>9</v>
      </c>
      <c r="D64" s="21" t="s">
        <v>11</v>
      </c>
      <c r="E64" s="21" t="s">
        <v>82</v>
      </c>
      <c r="F64" s="21" t="s">
        <v>88</v>
      </c>
      <c r="G64" s="21"/>
      <c r="H64" s="19">
        <f>H65</f>
        <v>650</v>
      </c>
      <c r="I64" s="19">
        <f>I65</f>
        <v>0</v>
      </c>
      <c r="J64" s="19">
        <f>J65</f>
        <v>0</v>
      </c>
    </row>
    <row r="65" spans="2:10" s="1" customFormat="1" ht="27" customHeight="1" x14ac:dyDescent="0.2">
      <c r="B65" s="20" t="s">
        <v>34</v>
      </c>
      <c r="C65" s="21" t="s">
        <v>9</v>
      </c>
      <c r="D65" s="21" t="s">
        <v>11</v>
      </c>
      <c r="E65" s="21" t="s">
        <v>82</v>
      </c>
      <c r="F65" s="21" t="s">
        <v>88</v>
      </c>
      <c r="G65" s="21" t="s">
        <v>35</v>
      </c>
      <c r="H65" s="19">
        <v>650</v>
      </c>
      <c r="I65" s="19">
        <v>0</v>
      </c>
      <c r="J65" s="19">
        <v>0</v>
      </c>
    </row>
    <row r="66" spans="2:10" s="1" customFormat="1" ht="28.5" customHeight="1" x14ac:dyDescent="0.2">
      <c r="B66" s="46" t="s">
        <v>27</v>
      </c>
      <c r="C66" s="21" t="s">
        <v>9</v>
      </c>
      <c r="D66" s="21" t="s">
        <v>11</v>
      </c>
      <c r="E66" s="21" t="s">
        <v>82</v>
      </c>
      <c r="F66" s="23" t="s">
        <v>28</v>
      </c>
      <c r="G66" s="21"/>
      <c r="H66" s="19">
        <f>H67+H78</f>
        <v>500.4</v>
      </c>
      <c r="I66" s="19">
        <f>I67+I78</f>
        <v>110.4</v>
      </c>
      <c r="J66" s="19">
        <f>J67+J78</f>
        <v>110.4</v>
      </c>
    </row>
    <row r="67" spans="2:10" s="1" customFormat="1" ht="17.25" customHeight="1" x14ac:dyDescent="0.2">
      <c r="B67" s="29" t="s">
        <v>48</v>
      </c>
      <c r="C67" s="21" t="s">
        <v>9</v>
      </c>
      <c r="D67" s="21" t="s">
        <v>11</v>
      </c>
      <c r="E67" s="21" t="s">
        <v>82</v>
      </c>
      <c r="F67" s="31" t="s">
        <v>89</v>
      </c>
      <c r="G67" s="47"/>
      <c r="H67" s="19">
        <f>H68+H71</f>
        <v>390</v>
      </c>
      <c r="I67" s="19">
        <f>I68+I71</f>
        <v>0</v>
      </c>
      <c r="J67" s="19">
        <f>J68+J71</f>
        <v>0</v>
      </c>
    </row>
    <row r="68" spans="2:10" s="1" customFormat="1" ht="30.75" customHeight="1" x14ac:dyDescent="0.2">
      <c r="B68" s="29" t="s">
        <v>90</v>
      </c>
      <c r="C68" s="21" t="s">
        <v>9</v>
      </c>
      <c r="D68" s="21" t="s">
        <v>11</v>
      </c>
      <c r="E68" s="21" t="s">
        <v>82</v>
      </c>
      <c r="F68" s="31" t="s">
        <v>91</v>
      </c>
      <c r="G68" s="47"/>
      <c r="H68" s="19">
        <f t="shared" ref="H68:J69" si="8">H69</f>
        <v>300</v>
      </c>
      <c r="I68" s="19">
        <f t="shared" si="8"/>
        <v>0</v>
      </c>
      <c r="J68" s="19">
        <f t="shared" si="8"/>
        <v>0</v>
      </c>
    </row>
    <row r="69" spans="2:10" s="1" customFormat="1" ht="27.75" customHeight="1" x14ac:dyDescent="0.2">
      <c r="B69" s="41" t="s">
        <v>92</v>
      </c>
      <c r="C69" s="21" t="s">
        <v>9</v>
      </c>
      <c r="D69" s="21" t="s">
        <v>11</v>
      </c>
      <c r="E69" s="21" t="s">
        <v>82</v>
      </c>
      <c r="F69" s="31" t="s">
        <v>93</v>
      </c>
      <c r="G69" s="47"/>
      <c r="H69" s="19">
        <f t="shared" si="8"/>
        <v>300</v>
      </c>
      <c r="I69" s="19">
        <f t="shared" si="8"/>
        <v>0</v>
      </c>
      <c r="J69" s="19">
        <f t="shared" si="8"/>
        <v>0</v>
      </c>
    </row>
    <row r="70" spans="2:10" s="1" customFormat="1" ht="39.75" customHeight="1" x14ac:dyDescent="0.2">
      <c r="B70" s="20" t="s">
        <v>94</v>
      </c>
      <c r="C70" s="21" t="s">
        <v>9</v>
      </c>
      <c r="D70" s="21" t="s">
        <v>11</v>
      </c>
      <c r="E70" s="21" t="s">
        <v>82</v>
      </c>
      <c r="F70" s="31" t="s">
        <v>93</v>
      </c>
      <c r="G70" s="47" t="s">
        <v>95</v>
      </c>
      <c r="H70" s="19">
        <v>300</v>
      </c>
      <c r="I70" s="19">
        <v>0</v>
      </c>
      <c r="J70" s="19">
        <v>0</v>
      </c>
    </row>
    <row r="71" spans="2:10" s="1" customFormat="1" ht="15" customHeight="1" x14ac:dyDescent="0.2">
      <c r="B71" s="29" t="s">
        <v>96</v>
      </c>
      <c r="C71" s="21" t="s">
        <v>9</v>
      </c>
      <c r="D71" s="21" t="s">
        <v>11</v>
      </c>
      <c r="E71" s="21" t="s">
        <v>82</v>
      </c>
      <c r="F71" s="31" t="s">
        <v>97</v>
      </c>
      <c r="G71" s="47"/>
      <c r="H71" s="19">
        <f>H72+H75</f>
        <v>90</v>
      </c>
      <c r="I71" s="19">
        <f>I72+I75</f>
        <v>0</v>
      </c>
      <c r="J71" s="19">
        <f>J72+J75</f>
        <v>0</v>
      </c>
    </row>
    <row r="72" spans="2:10" s="1" customFormat="1" ht="26.25" customHeight="1" x14ac:dyDescent="0.2">
      <c r="B72" s="20" t="s">
        <v>98</v>
      </c>
      <c r="C72" s="21" t="s">
        <v>9</v>
      </c>
      <c r="D72" s="21" t="s">
        <v>11</v>
      </c>
      <c r="E72" s="21" t="s">
        <v>82</v>
      </c>
      <c r="F72" s="23" t="s">
        <v>99</v>
      </c>
      <c r="G72" s="48"/>
      <c r="H72" s="19">
        <f>H73+H74</f>
        <v>90</v>
      </c>
      <c r="I72" s="19">
        <f>I73+I74</f>
        <v>0</v>
      </c>
      <c r="J72" s="19">
        <f>J73+J74</f>
        <v>0</v>
      </c>
    </row>
    <row r="73" spans="2:10" s="1" customFormat="1" ht="25.5" customHeight="1" x14ac:dyDescent="0.2">
      <c r="B73" s="37" t="s">
        <v>34</v>
      </c>
      <c r="C73" s="21" t="s">
        <v>9</v>
      </c>
      <c r="D73" s="21" t="s">
        <v>11</v>
      </c>
      <c r="E73" s="21" t="s">
        <v>82</v>
      </c>
      <c r="F73" s="23" t="s">
        <v>99</v>
      </c>
      <c r="G73" s="48" t="s">
        <v>35</v>
      </c>
      <c r="H73" s="19">
        <v>10</v>
      </c>
      <c r="I73" s="19">
        <v>0</v>
      </c>
      <c r="J73" s="19">
        <v>0</v>
      </c>
    </row>
    <row r="74" spans="2:10" s="1" customFormat="1" ht="16.5" customHeight="1" x14ac:dyDescent="0.2">
      <c r="B74" s="49" t="s">
        <v>100</v>
      </c>
      <c r="C74" s="21" t="s">
        <v>9</v>
      </c>
      <c r="D74" s="21" t="s">
        <v>11</v>
      </c>
      <c r="E74" s="21" t="s">
        <v>82</v>
      </c>
      <c r="F74" s="23" t="s">
        <v>99</v>
      </c>
      <c r="G74" s="48" t="s">
        <v>101</v>
      </c>
      <c r="H74" s="19">
        <v>80</v>
      </c>
      <c r="I74" s="19">
        <v>0</v>
      </c>
      <c r="J74" s="19">
        <v>0</v>
      </c>
    </row>
    <row r="75" spans="2:10" s="1" customFormat="1" ht="24.75" hidden="1" customHeight="1" x14ac:dyDescent="0.2">
      <c r="B75" s="20" t="s">
        <v>102</v>
      </c>
      <c r="C75" s="21" t="s">
        <v>9</v>
      </c>
      <c r="D75" s="21" t="s">
        <v>11</v>
      </c>
      <c r="E75" s="21" t="s">
        <v>82</v>
      </c>
      <c r="F75" s="23" t="s">
        <v>103</v>
      </c>
      <c r="G75" s="48"/>
      <c r="H75" s="19">
        <f t="shared" ref="H75:J76" si="9">H76</f>
        <v>0</v>
      </c>
      <c r="I75" s="19">
        <f t="shared" si="9"/>
        <v>0</v>
      </c>
      <c r="J75" s="19">
        <f t="shared" si="9"/>
        <v>0</v>
      </c>
    </row>
    <row r="76" spans="2:10" s="1" customFormat="1" ht="17.25" hidden="1" customHeight="1" x14ac:dyDescent="0.2">
      <c r="B76" s="50" t="s">
        <v>104</v>
      </c>
      <c r="C76" s="21" t="s">
        <v>9</v>
      </c>
      <c r="D76" s="21" t="s">
        <v>11</v>
      </c>
      <c r="E76" s="21" t="s">
        <v>82</v>
      </c>
      <c r="F76" s="23" t="s">
        <v>103</v>
      </c>
      <c r="G76" s="48"/>
      <c r="H76" s="19">
        <f t="shared" si="9"/>
        <v>0</v>
      </c>
      <c r="I76" s="19">
        <f t="shared" si="9"/>
        <v>0</v>
      </c>
      <c r="J76" s="19">
        <f t="shared" si="9"/>
        <v>0</v>
      </c>
    </row>
    <row r="77" spans="2:10" s="1" customFormat="1" ht="18" hidden="1" customHeight="1" x14ac:dyDescent="0.2">
      <c r="B77" s="49" t="s">
        <v>100</v>
      </c>
      <c r="C77" s="21" t="s">
        <v>9</v>
      </c>
      <c r="D77" s="21" t="s">
        <v>11</v>
      </c>
      <c r="E77" s="21" t="s">
        <v>82</v>
      </c>
      <c r="F77" s="23" t="s">
        <v>103</v>
      </c>
      <c r="G77" s="48" t="s">
        <v>101</v>
      </c>
      <c r="H77" s="19"/>
      <c r="I77" s="19"/>
      <c r="J77" s="19"/>
    </row>
    <row r="78" spans="2:10" s="1" customFormat="1" ht="18" customHeight="1" x14ac:dyDescent="0.2">
      <c r="B78" s="29" t="s">
        <v>16</v>
      </c>
      <c r="C78" s="21" t="s">
        <v>9</v>
      </c>
      <c r="D78" s="21" t="s">
        <v>11</v>
      </c>
      <c r="E78" s="21" t="s">
        <v>82</v>
      </c>
      <c r="F78" s="23" t="s">
        <v>29</v>
      </c>
      <c r="G78" s="48"/>
      <c r="H78" s="19">
        <f t="shared" ref="H78:J80" si="10">H79</f>
        <v>110.4</v>
      </c>
      <c r="I78" s="19">
        <f t="shared" si="10"/>
        <v>110.4</v>
      </c>
      <c r="J78" s="19">
        <f t="shared" si="10"/>
        <v>110.4</v>
      </c>
    </row>
    <row r="79" spans="2:10" s="1" customFormat="1" ht="28.5" customHeight="1" x14ac:dyDescent="0.2">
      <c r="B79" s="51" t="s">
        <v>105</v>
      </c>
      <c r="C79" s="21" t="s">
        <v>9</v>
      </c>
      <c r="D79" s="21" t="s">
        <v>11</v>
      </c>
      <c r="E79" s="21" t="s">
        <v>82</v>
      </c>
      <c r="F79" s="23" t="s">
        <v>106</v>
      </c>
      <c r="G79" s="48"/>
      <c r="H79" s="19">
        <f t="shared" si="10"/>
        <v>110.4</v>
      </c>
      <c r="I79" s="19">
        <f t="shared" si="10"/>
        <v>110.4</v>
      </c>
      <c r="J79" s="19">
        <f t="shared" si="10"/>
        <v>110.4</v>
      </c>
    </row>
    <row r="80" spans="2:10" s="1" customFormat="1" ht="25.5" customHeight="1" x14ac:dyDescent="0.2">
      <c r="B80" s="20" t="s">
        <v>107</v>
      </c>
      <c r="C80" s="21" t="s">
        <v>9</v>
      </c>
      <c r="D80" s="21" t="s">
        <v>11</v>
      </c>
      <c r="E80" s="21" t="s">
        <v>82</v>
      </c>
      <c r="F80" s="21" t="s">
        <v>108</v>
      </c>
      <c r="G80" s="47"/>
      <c r="H80" s="19">
        <f t="shared" si="10"/>
        <v>110.4</v>
      </c>
      <c r="I80" s="19">
        <f t="shared" si="10"/>
        <v>110.4</v>
      </c>
      <c r="J80" s="19">
        <f t="shared" si="10"/>
        <v>110.4</v>
      </c>
    </row>
    <row r="81" spans="2:14" s="1" customFormat="1" ht="18" customHeight="1" x14ac:dyDescent="0.2">
      <c r="B81" s="52" t="s">
        <v>109</v>
      </c>
      <c r="C81" s="21" t="s">
        <v>9</v>
      </c>
      <c r="D81" s="21" t="s">
        <v>11</v>
      </c>
      <c r="E81" s="21" t="s">
        <v>82</v>
      </c>
      <c r="F81" s="21" t="s">
        <v>108</v>
      </c>
      <c r="G81" s="47" t="s">
        <v>110</v>
      </c>
      <c r="H81" s="19">
        <v>110.4</v>
      </c>
      <c r="I81" s="19">
        <v>110.4</v>
      </c>
      <c r="J81" s="19">
        <v>110.4</v>
      </c>
    </row>
    <row r="82" spans="2:14" s="53" customFormat="1" ht="27" customHeight="1" x14ac:dyDescent="0.2">
      <c r="B82" s="39" t="s">
        <v>111</v>
      </c>
      <c r="C82" s="21" t="s">
        <v>9</v>
      </c>
      <c r="D82" s="21" t="s">
        <v>11</v>
      </c>
      <c r="E82" s="21" t="s">
        <v>82</v>
      </c>
      <c r="F82" s="23" t="s">
        <v>15</v>
      </c>
      <c r="G82" s="21"/>
      <c r="H82" s="19">
        <f>H83</f>
        <v>3511.4</v>
      </c>
      <c r="I82" s="19">
        <f>I83</f>
        <v>3511.4</v>
      </c>
      <c r="J82" s="19">
        <f>J83</f>
        <v>3511.4</v>
      </c>
      <c r="K82" s="1"/>
      <c r="L82" s="1"/>
      <c r="M82" s="1"/>
      <c r="N82" s="1"/>
    </row>
    <row r="83" spans="2:14" s="53" customFormat="1" ht="15.75" customHeight="1" x14ac:dyDescent="0.2">
      <c r="B83" s="30" t="s">
        <v>16</v>
      </c>
      <c r="C83" s="21" t="s">
        <v>9</v>
      </c>
      <c r="D83" s="21" t="s">
        <v>11</v>
      </c>
      <c r="E83" s="21" t="s">
        <v>82</v>
      </c>
      <c r="F83" s="23" t="s">
        <v>17</v>
      </c>
      <c r="G83" s="21"/>
      <c r="H83" s="19">
        <f>H84+H87+H90+H93+H102+H97</f>
        <v>3511.4</v>
      </c>
      <c r="I83" s="19">
        <f>I84+I87+I90+I93+I102+I97</f>
        <v>3511.4</v>
      </c>
      <c r="J83" s="19">
        <f>J84+J87+J90+J93+J102+J97</f>
        <v>3511.4</v>
      </c>
      <c r="K83" s="1"/>
      <c r="L83" s="1"/>
      <c r="M83" s="1"/>
      <c r="N83" s="1"/>
    </row>
    <row r="84" spans="2:14" s="53" customFormat="1" ht="28.5" customHeight="1" x14ac:dyDescent="0.2">
      <c r="B84" s="30" t="s">
        <v>112</v>
      </c>
      <c r="C84" s="21" t="s">
        <v>9</v>
      </c>
      <c r="D84" s="21" t="s">
        <v>11</v>
      </c>
      <c r="E84" s="21" t="s">
        <v>82</v>
      </c>
      <c r="F84" s="23" t="s">
        <v>113</v>
      </c>
      <c r="G84" s="21"/>
      <c r="H84" s="19">
        <f t="shared" ref="H84:J85" si="11">H85</f>
        <v>390</v>
      </c>
      <c r="I84" s="19">
        <f t="shared" si="11"/>
        <v>390</v>
      </c>
      <c r="J84" s="19">
        <f t="shared" si="11"/>
        <v>390</v>
      </c>
      <c r="K84" s="1"/>
      <c r="L84" s="1"/>
      <c r="M84" s="1"/>
      <c r="N84" s="1"/>
    </row>
    <row r="85" spans="2:14" s="53" customFormat="1" ht="29.25" customHeight="1" x14ac:dyDescent="0.2">
      <c r="B85" s="20" t="s">
        <v>114</v>
      </c>
      <c r="C85" s="21" t="s">
        <v>9</v>
      </c>
      <c r="D85" s="21" t="s">
        <v>11</v>
      </c>
      <c r="E85" s="21" t="s">
        <v>82</v>
      </c>
      <c r="F85" s="23" t="s">
        <v>115</v>
      </c>
      <c r="G85" s="21"/>
      <c r="H85" s="19">
        <f t="shared" si="11"/>
        <v>390</v>
      </c>
      <c r="I85" s="19">
        <f t="shared" si="11"/>
        <v>390</v>
      </c>
      <c r="J85" s="19">
        <f t="shared" si="11"/>
        <v>390</v>
      </c>
      <c r="K85" s="1"/>
      <c r="L85" s="1"/>
      <c r="M85" s="1"/>
      <c r="N85" s="1"/>
    </row>
    <row r="86" spans="2:14" s="53" customFormat="1" ht="15.75" customHeight="1" x14ac:dyDescent="0.2">
      <c r="B86" s="54" t="s">
        <v>109</v>
      </c>
      <c r="C86" s="21" t="s">
        <v>9</v>
      </c>
      <c r="D86" s="21" t="s">
        <v>11</v>
      </c>
      <c r="E86" s="21" t="s">
        <v>82</v>
      </c>
      <c r="F86" s="23" t="s">
        <v>115</v>
      </c>
      <c r="G86" s="21" t="s">
        <v>110</v>
      </c>
      <c r="H86" s="19">
        <v>390</v>
      </c>
      <c r="I86" s="19">
        <v>390</v>
      </c>
      <c r="J86" s="19">
        <v>390</v>
      </c>
      <c r="K86" s="1"/>
      <c r="L86" s="1"/>
      <c r="M86" s="1"/>
      <c r="N86" s="1"/>
    </row>
    <row r="87" spans="2:14" s="53" customFormat="1" ht="30.75" customHeight="1" x14ac:dyDescent="0.2">
      <c r="B87" s="20" t="s">
        <v>116</v>
      </c>
      <c r="C87" s="21" t="s">
        <v>9</v>
      </c>
      <c r="D87" s="21" t="s">
        <v>11</v>
      </c>
      <c r="E87" s="21" t="s">
        <v>82</v>
      </c>
      <c r="F87" s="23" t="s">
        <v>117</v>
      </c>
      <c r="G87" s="21"/>
      <c r="H87" s="19">
        <f t="shared" ref="H87:J88" si="12">H88</f>
        <v>80</v>
      </c>
      <c r="I87" s="19">
        <f t="shared" si="12"/>
        <v>80</v>
      </c>
      <c r="J87" s="19">
        <f t="shared" si="12"/>
        <v>80</v>
      </c>
      <c r="K87" s="1"/>
      <c r="L87" s="1"/>
      <c r="M87" s="1"/>
      <c r="N87" s="1"/>
    </row>
    <row r="88" spans="2:14" s="53" customFormat="1" ht="18.75" customHeight="1" x14ac:dyDescent="0.2">
      <c r="B88" s="20" t="s">
        <v>118</v>
      </c>
      <c r="C88" s="21" t="s">
        <v>9</v>
      </c>
      <c r="D88" s="21" t="s">
        <v>11</v>
      </c>
      <c r="E88" s="21" t="s">
        <v>82</v>
      </c>
      <c r="F88" s="23" t="s">
        <v>119</v>
      </c>
      <c r="G88" s="21"/>
      <c r="H88" s="19">
        <f>H89</f>
        <v>80</v>
      </c>
      <c r="I88" s="19">
        <f t="shared" si="12"/>
        <v>80</v>
      </c>
      <c r="J88" s="19">
        <f t="shared" si="12"/>
        <v>80</v>
      </c>
      <c r="K88" s="1"/>
      <c r="L88" s="1"/>
      <c r="M88" s="1"/>
      <c r="N88" s="1"/>
    </row>
    <row r="89" spans="2:14" s="53" customFormat="1" ht="24.75" customHeight="1" x14ac:dyDescent="0.2">
      <c r="B89" s="20" t="s">
        <v>34</v>
      </c>
      <c r="C89" s="21" t="s">
        <v>9</v>
      </c>
      <c r="D89" s="21" t="s">
        <v>11</v>
      </c>
      <c r="E89" s="21" t="s">
        <v>82</v>
      </c>
      <c r="F89" s="23" t="s">
        <v>119</v>
      </c>
      <c r="G89" s="21" t="s">
        <v>35</v>
      </c>
      <c r="H89" s="19">
        <v>80</v>
      </c>
      <c r="I89" s="19">
        <v>80</v>
      </c>
      <c r="J89" s="19">
        <v>80</v>
      </c>
      <c r="K89" s="1"/>
      <c r="L89" s="1"/>
      <c r="M89" s="1"/>
      <c r="N89" s="1"/>
    </row>
    <row r="90" spans="2:14" s="53" customFormat="1" ht="24.75" customHeight="1" x14ac:dyDescent="0.2">
      <c r="B90" s="30" t="s">
        <v>120</v>
      </c>
      <c r="C90" s="21" t="s">
        <v>9</v>
      </c>
      <c r="D90" s="21" t="s">
        <v>11</v>
      </c>
      <c r="E90" s="21" t="s">
        <v>82</v>
      </c>
      <c r="F90" s="23" t="s">
        <v>121</v>
      </c>
      <c r="G90" s="21"/>
      <c r="H90" s="19">
        <f t="shared" ref="H90:J91" si="13">H91</f>
        <v>10</v>
      </c>
      <c r="I90" s="19">
        <f t="shared" si="13"/>
        <v>10</v>
      </c>
      <c r="J90" s="19">
        <f t="shared" si="13"/>
        <v>10</v>
      </c>
      <c r="K90" s="1"/>
      <c r="L90" s="1"/>
      <c r="M90" s="1"/>
      <c r="N90" s="1"/>
    </row>
    <row r="91" spans="2:14" s="53" customFormat="1" ht="26.25" customHeight="1" x14ac:dyDescent="0.2">
      <c r="B91" s="30" t="s">
        <v>122</v>
      </c>
      <c r="C91" s="21" t="s">
        <v>9</v>
      </c>
      <c r="D91" s="21" t="s">
        <v>11</v>
      </c>
      <c r="E91" s="21" t="s">
        <v>82</v>
      </c>
      <c r="F91" s="23" t="s">
        <v>123</v>
      </c>
      <c r="G91" s="21"/>
      <c r="H91" s="19">
        <f t="shared" si="13"/>
        <v>10</v>
      </c>
      <c r="I91" s="19">
        <f t="shared" si="13"/>
        <v>10</v>
      </c>
      <c r="J91" s="19">
        <f t="shared" si="13"/>
        <v>10</v>
      </c>
      <c r="K91" s="1"/>
      <c r="L91" s="1"/>
      <c r="M91" s="1"/>
      <c r="N91" s="1"/>
    </row>
    <row r="92" spans="2:14" s="53" customFormat="1" ht="27.75" customHeight="1" x14ac:dyDescent="0.2">
      <c r="B92" s="20" t="s">
        <v>34</v>
      </c>
      <c r="C92" s="21" t="s">
        <v>9</v>
      </c>
      <c r="D92" s="21" t="s">
        <v>11</v>
      </c>
      <c r="E92" s="21" t="s">
        <v>82</v>
      </c>
      <c r="F92" s="23" t="s">
        <v>123</v>
      </c>
      <c r="G92" s="21" t="s">
        <v>35</v>
      </c>
      <c r="H92" s="19">
        <v>10</v>
      </c>
      <c r="I92" s="19">
        <v>10</v>
      </c>
      <c r="J92" s="19">
        <v>10</v>
      </c>
      <c r="K92" s="1"/>
      <c r="L92" s="1"/>
      <c r="M92" s="1"/>
      <c r="N92" s="1"/>
    </row>
    <row r="93" spans="2:14" s="53" customFormat="1" ht="50.25" customHeight="1" x14ac:dyDescent="0.2">
      <c r="B93" s="40" t="s">
        <v>124</v>
      </c>
      <c r="C93" s="21" t="s">
        <v>9</v>
      </c>
      <c r="D93" s="21" t="s">
        <v>11</v>
      </c>
      <c r="E93" s="21" t="s">
        <v>82</v>
      </c>
      <c r="F93" s="23" t="s">
        <v>125</v>
      </c>
      <c r="G93" s="21"/>
      <c r="H93" s="19">
        <f>H94</f>
        <v>2744</v>
      </c>
      <c r="I93" s="19">
        <f>I94</f>
        <v>2744</v>
      </c>
      <c r="J93" s="19">
        <f>J94</f>
        <v>2744</v>
      </c>
      <c r="K93" s="1"/>
      <c r="L93" s="1"/>
      <c r="M93" s="1"/>
      <c r="N93" s="1"/>
    </row>
    <row r="94" spans="2:14" s="53" customFormat="1" ht="78" customHeight="1" x14ac:dyDescent="0.2">
      <c r="B94" s="45" t="s">
        <v>126</v>
      </c>
      <c r="C94" s="21" t="s">
        <v>9</v>
      </c>
      <c r="D94" s="21" t="s">
        <v>11</v>
      </c>
      <c r="E94" s="21" t="s">
        <v>82</v>
      </c>
      <c r="F94" s="23" t="s">
        <v>127</v>
      </c>
      <c r="G94" s="21"/>
      <c r="H94" s="19">
        <f>H95+H96</f>
        <v>2744</v>
      </c>
      <c r="I94" s="19">
        <f>I95+I96</f>
        <v>2744</v>
      </c>
      <c r="J94" s="19">
        <f>J95+J96</f>
        <v>2744</v>
      </c>
      <c r="K94" s="1"/>
      <c r="L94" s="1"/>
      <c r="M94" s="1"/>
      <c r="N94" s="1"/>
    </row>
    <row r="95" spans="2:14" s="53" customFormat="1" ht="14.25" customHeight="1" x14ac:dyDescent="0.2">
      <c r="B95" s="55" t="s">
        <v>128</v>
      </c>
      <c r="C95" s="21" t="s">
        <v>9</v>
      </c>
      <c r="D95" s="21" t="s">
        <v>11</v>
      </c>
      <c r="E95" s="21" t="s">
        <v>82</v>
      </c>
      <c r="F95" s="23" t="s">
        <v>127</v>
      </c>
      <c r="G95" s="21" t="s">
        <v>129</v>
      </c>
      <c r="H95" s="19">
        <v>2360.4</v>
      </c>
      <c r="I95" s="19">
        <v>2360.4</v>
      </c>
      <c r="J95" s="19">
        <v>2360.4</v>
      </c>
      <c r="K95" s="1"/>
      <c r="L95" s="1"/>
      <c r="M95" s="1"/>
      <c r="N95" s="1"/>
    </row>
    <row r="96" spans="2:14" s="53" customFormat="1" ht="29.25" customHeight="1" x14ac:dyDescent="0.2">
      <c r="B96" s="20" t="s">
        <v>34</v>
      </c>
      <c r="C96" s="21" t="s">
        <v>9</v>
      </c>
      <c r="D96" s="21" t="s">
        <v>11</v>
      </c>
      <c r="E96" s="21" t="s">
        <v>82</v>
      </c>
      <c r="F96" s="23" t="s">
        <v>127</v>
      </c>
      <c r="G96" s="21" t="s">
        <v>35</v>
      </c>
      <c r="H96" s="19">
        <v>383.6</v>
      </c>
      <c r="I96" s="19">
        <v>383.6</v>
      </c>
      <c r="J96" s="19">
        <v>383.6</v>
      </c>
      <c r="K96" s="1"/>
      <c r="L96" s="1"/>
      <c r="M96" s="1"/>
      <c r="N96" s="1"/>
    </row>
    <row r="97" spans="2:14" s="53" customFormat="1" ht="29.25" customHeight="1" x14ac:dyDescent="0.2">
      <c r="B97" s="30" t="s">
        <v>18</v>
      </c>
      <c r="C97" s="21" t="s">
        <v>9</v>
      </c>
      <c r="D97" s="21" t="s">
        <v>11</v>
      </c>
      <c r="E97" s="21" t="s">
        <v>82</v>
      </c>
      <c r="F97" s="23" t="s">
        <v>19</v>
      </c>
      <c r="G97" s="28"/>
      <c r="H97" s="19">
        <f>H98+H100</f>
        <v>147</v>
      </c>
      <c r="I97" s="19">
        <f>I98+I100</f>
        <v>147</v>
      </c>
      <c r="J97" s="19">
        <f>J98+J100</f>
        <v>147</v>
      </c>
      <c r="K97" s="1"/>
      <c r="L97" s="1"/>
      <c r="M97" s="1"/>
      <c r="N97" s="1"/>
    </row>
    <row r="98" spans="2:14" s="53" customFormat="1" ht="15.75" customHeight="1" x14ac:dyDescent="0.2">
      <c r="B98" s="55" t="s">
        <v>130</v>
      </c>
      <c r="C98" s="21" t="s">
        <v>9</v>
      </c>
      <c r="D98" s="21" t="s">
        <v>11</v>
      </c>
      <c r="E98" s="21" t="s">
        <v>82</v>
      </c>
      <c r="F98" s="21" t="s">
        <v>131</v>
      </c>
      <c r="G98" s="28"/>
      <c r="H98" s="19">
        <f>H99</f>
        <v>138</v>
      </c>
      <c r="I98" s="19">
        <f>I99</f>
        <v>138</v>
      </c>
      <c r="J98" s="19">
        <f>J99</f>
        <v>138</v>
      </c>
      <c r="K98" s="1"/>
      <c r="L98" s="1"/>
      <c r="M98" s="1"/>
      <c r="N98" s="1"/>
    </row>
    <row r="99" spans="2:14" s="53" customFormat="1" ht="14.25" customHeight="1" x14ac:dyDescent="0.2">
      <c r="B99" s="20" t="s">
        <v>38</v>
      </c>
      <c r="C99" s="21" t="s">
        <v>9</v>
      </c>
      <c r="D99" s="21" t="s">
        <v>11</v>
      </c>
      <c r="E99" s="21" t="s">
        <v>82</v>
      </c>
      <c r="F99" s="21" t="s">
        <v>131</v>
      </c>
      <c r="G99" s="28" t="s">
        <v>39</v>
      </c>
      <c r="H99" s="19">
        <v>138</v>
      </c>
      <c r="I99" s="19">
        <v>138</v>
      </c>
      <c r="J99" s="19">
        <v>138</v>
      </c>
      <c r="K99" s="1"/>
      <c r="L99" s="1"/>
      <c r="M99" s="1"/>
      <c r="N99" s="1"/>
    </row>
    <row r="100" spans="2:14" s="53" customFormat="1" ht="18" customHeight="1" x14ac:dyDescent="0.2">
      <c r="B100" s="20" t="s">
        <v>132</v>
      </c>
      <c r="C100" s="21" t="s">
        <v>9</v>
      </c>
      <c r="D100" s="21" t="s">
        <v>11</v>
      </c>
      <c r="E100" s="21" t="s">
        <v>82</v>
      </c>
      <c r="F100" s="21" t="s">
        <v>133</v>
      </c>
      <c r="G100" s="28"/>
      <c r="H100" s="19">
        <f>H101</f>
        <v>9</v>
      </c>
      <c r="I100" s="19">
        <f>I101</f>
        <v>9</v>
      </c>
      <c r="J100" s="19">
        <f>J101</f>
        <v>9</v>
      </c>
      <c r="K100" s="1"/>
      <c r="L100" s="1"/>
      <c r="M100" s="1"/>
      <c r="N100" s="1"/>
    </row>
    <row r="101" spans="2:14" s="53" customFormat="1" ht="15.75" customHeight="1" x14ac:dyDescent="0.2">
      <c r="B101" s="20" t="s">
        <v>38</v>
      </c>
      <c r="C101" s="21" t="s">
        <v>9</v>
      </c>
      <c r="D101" s="21" t="s">
        <v>11</v>
      </c>
      <c r="E101" s="21" t="s">
        <v>82</v>
      </c>
      <c r="F101" s="21" t="s">
        <v>133</v>
      </c>
      <c r="G101" s="28" t="s">
        <v>39</v>
      </c>
      <c r="H101" s="19">
        <v>9</v>
      </c>
      <c r="I101" s="19">
        <v>9</v>
      </c>
      <c r="J101" s="19">
        <v>9</v>
      </c>
      <c r="K101" s="1"/>
      <c r="L101" s="1"/>
      <c r="M101" s="1"/>
      <c r="N101" s="1"/>
    </row>
    <row r="102" spans="2:14" s="53" customFormat="1" ht="27.75" customHeight="1" x14ac:dyDescent="0.2">
      <c r="B102" s="38" t="s">
        <v>134</v>
      </c>
      <c r="C102" s="21" t="s">
        <v>9</v>
      </c>
      <c r="D102" s="21" t="s">
        <v>11</v>
      </c>
      <c r="E102" s="21" t="s">
        <v>82</v>
      </c>
      <c r="F102" s="23" t="s">
        <v>135</v>
      </c>
      <c r="G102" s="48"/>
      <c r="H102" s="19">
        <f t="shared" ref="H102:J103" si="14">H103</f>
        <v>140.4</v>
      </c>
      <c r="I102" s="19">
        <f t="shared" si="14"/>
        <v>140.4</v>
      </c>
      <c r="J102" s="19">
        <f t="shared" si="14"/>
        <v>140.4</v>
      </c>
      <c r="K102" s="1"/>
      <c r="L102" s="1"/>
      <c r="M102" s="1"/>
      <c r="N102" s="1"/>
    </row>
    <row r="103" spans="2:14" s="53" customFormat="1" ht="16.5" customHeight="1" x14ac:dyDescent="0.2">
      <c r="B103" s="50" t="s">
        <v>136</v>
      </c>
      <c r="C103" s="21" t="s">
        <v>9</v>
      </c>
      <c r="D103" s="21" t="s">
        <v>11</v>
      </c>
      <c r="E103" s="21" t="s">
        <v>82</v>
      </c>
      <c r="F103" s="23" t="s">
        <v>137</v>
      </c>
      <c r="G103" s="48"/>
      <c r="H103" s="19">
        <f t="shared" si="14"/>
        <v>140.4</v>
      </c>
      <c r="I103" s="19">
        <f t="shared" si="14"/>
        <v>140.4</v>
      </c>
      <c r="J103" s="19">
        <f t="shared" si="14"/>
        <v>140.4</v>
      </c>
      <c r="K103" s="1"/>
      <c r="L103" s="1"/>
      <c r="M103" s="1"/>
      <c r="N103" s="1"/>
    </row>
    <row r="104" spans="2:14" s="53" customFormat="1" ht="29.25" customHeight="1" x14ac:dyDescent="0.2">
      <c r="B104" s="50" t="s">
        <v>34</v>
      </c>
      <c r="C104" s="21" t="s">
        <v>9</v>
      </c>
      <c r="D104" s="21" t="s">
        <v>11</v>
      </c>
      <c r="E104" s="21" t="s">
        <v>82</v>
      </c>
      <c r="F104" s="23" t="s">
        <v>137</v>
      </c>
      <c r="G104" s="48" t="s">
        <v>35</v>
      </c>
      <c r="H104" s="19">
        <v>140.4</v>
      </c>
      <c r="I104" s="19">
        <v>140.4</v>
      </c>
      <c r="J104" s="19">
        <v>140.4</v>
      </c>
      <c r="K104" s="1"/>
      <c r="L104" s="1"/>
      <c r="M104" s="1"/>
      <c r="N104" s="1"/>
    </row>
    <row r="105" spans="2:14" s="53" customFormat="1" ht="40.5" customHeight="1" x14ac:dyDescent="0.2">
      <c r="B105" s="20" t="s">
        <v>138</v>
      </c>
      <c r="C105" s="21" t="s">
        <v>9</v>
      </c>
      <c r="D105" s="21" t="s">
        <v>11</v>
      </c>
      <c r="E105" s="21" t="s">
        <v>82</v>
      </c>
      <c r="F105" s="23" t="s">
        <v>139</v>
      </c>
      <c r="G105" s="21"/>
      <c r="H105" s="19">
        <f>H106+H112</f>
        <v>240</v>
      </c>
      <c r="I105" s="19">
        <f>I106+I112</f>
        <v>840</v>
      </c>
      <c r="J105" s="19">
        <f>J106+J112</f>
        <v>840</v>
      </c>
      <c r="K105" s="1"/>
      <c r="L105" s="1"/>
      <c r="M105" s="1"/>
      <c r="N105" s="1"/>
    </row>
    <row r="106" spans="2:14" s="53" customFormat="1" ht="17.25" hidden="1" customHeight="1" x14ac:dyDescent="0.2">
      <c r="B106" s="38" t="s">
        <v>48</v>
      </c>
      <c r="C106" s="21" t="s">
        <v>9</v>
      </c>
      <c r="D106" s="21" t="s">
        <v>11</v>
      </c>
      <c r="E106" s="21" t="s">
        <v>82</v>
      </c>
      <c r="F106" s="23" t="s">
        <v>140</v>
      </c>
      <c r="G106" s="48"/>
      <c r="H106" s="19">
        <f t="shared" ref="H106:J107" si="15">H107</f>
        <v>0</v>
      </c>
      <c r="I106" s="19">
        <f t="shared" si="15"/>
        <v>0</v>
      </c>
      <c r="J106" s="19">
        <f t="shared" si="15"/>
        <v>0</v>
      </c>
      <c r="K106" s="1"/>
      <c r="L106" s="1"/>
      <c r="M106" s="1"/>
      <c r="N106" s="1"/>
    </row>
    <row r="107" spans="2:14" s="53" customFormat="1" ht="27" hidden="1" customHeight="1" x14ac:dyDescent="0.2">
      <c r="B107" s="38" t="s">
        <v>141</v>
      </c>
      <c r="C107" s="21" t="s">
        <v>9</v>
      </c>
      <c r="D107" s="21" t="s">
        <v>11</v>
      </c>
      <c r="E107" s="21" t="s">
        <v>82</v>
      </c>
      <c r="F107" s="23" t="s">
        <v>142</v>
      </c>
      <c r="G107" s="48"/>
      <c r="H107" s="19">
        <f t="shared" si="15"/>
        <v>0</v>
      </c>
      <c r="I107" s="19">
        <f t="shared" si="15"/>
        <v>0</v>
      </c>
      <c r="J107" s="19">
        <f t="shared" si="15"/>
        <v>0</v>
      </c>
      <c r="K107" s="1"/>
      <c r="L107" s="1"/>
      <c r="M107" s="1"/>
      <c r="N107" s="1"/>
    </row>
    <row r="108" spans="2:14" s="53" customFormat="1" ht="27" hidden="1" customHeight="1" x14ac:dyDescent="0.2">
      <c r="B108" s="38" t="s">
        <v>143</v>
      </c>
      <c r="C108" s="21" t="s">
        <v>9</v>
      </c>
      <c r="D108" s="21" t="s">
        <v>11</v>
      </c>
      <c r="E108" s="21" t="s">
        <v>82</v>
      </c>
      <c r="F108" s="23" t="s">
        <v>144</v>
      </c>
      <c r="G108" s="48"/>
      <c r="H108" s="19">
        <f>H109+H110+H111</f>
        <v>0</v>
      </c>
      <c r="I108" s="19">
        <f>I109+I110+I111</f>
        <v>0</v>
      </c>
      <c r="J108" s="19">
        <f>J109+J110+J111</f>
        <v>0</v>
      </c>
      <c r="K108" s="1"/>
      <c r="L108" s="1"/>
      <c r="M108" s="1"/>
      <c r="N108" s="1"/>
    </row>
    <row r="109" spans="2:14" s="53" customFormat="1" ht="27" hidden="1" customHeight="1" x14ac:dyDescent="0.2">
      <c r="B109" s="20" t="s">
        <v>34</v>
      </c>
      <c r="C109" s="21" t="s">
        <v>9</v>
      </c>
      <c r="D109" s="21" t="s">
        <v>11</v>
      </c>
      <c r="E109" s="21" t="s">
        <v>82</v>
      </c>
      <c r="F109" s="23" t="s">
        <v>144</v>
      </c>
      <c r="G109" s="48" t="s">
        <v>35</v>
      </c>
      <c r="H109" s="19"/>
      <c r="I109" s="19"/>
      <c r="J109" s="19"/>
      <c r="K109" s="1"/>
      <c r="L109" s="1"/>
      <c r="M109" s="1"/>
      <c r="N109" s="1"/>
    </row>
    <row r="110" spans="2:14" s="53" customFormat="1" ht="14.25" hidden="1" customHeight="1" x14ac:dyDescent="0.2">
      <c r="B110" s="49" t="s">
        <v>145</v>
      </c>
      <c r="C110" s="21" t="s">
        <v>9</v>
      </c>
      <c r="D110" s="21" t="s">
        <v>11</v>
      </c>
      <c r="E110" s="21" t="s">
        <v>82</v>
      </c>
      <c r="F110" s="23" t="s">
        <v>144</v>
      </c>
      <c r="G110" s="48" t="s">
        <v>101</v>
      </c>
      <c r="H110" s="19"/>
      <c r="I110" s="19"/>
      <c r="J110" s="19"/>
      <c r="K110" s="1"/>
      <c r="L110" s="1"/>
      <c r="M110" s="1"/>
      <c r="N110" s="1"/>
    </row>
    <row r="111" spans="2:14" s="53" customFormat="1" ht="18" hidden="1" customHeight="1" x14ac:dyDescent="0.2">
      <c r="B111" s="56" t="s">
        <v>146</v>
      </c>
      <c r="C111" s="21" t="s">
        <v>9</v>
      </c>
      <c r="D111" s="21" t="s">
        <v>11</v>
      </c>
      <c r="E111" s="21" t="s">
        <v>82</v>
      </c>
      <c r="F111" s="23" t="s">
        <v>144</v>
      </c>
      <c r="G111" s="48" t="s">
        <v>147</v>
      </c>
      <c r="H111" s="19"/>
      <c r="I111" s="19"/>
      <c r="J111" s="19"/>
      <c r="K111" s="1"/>
      <c r="L111" s="1"/>
      <c r="M111" s="1"/>
      <c r="N111" s="1"/>
    </row>
    <row r="112" spans="2:14" s="53" customFormat="1" ht="17.25" customHeight="1" x14ac:dyDescent="0.2">
      <c r="B112" s="38" t="s">
        <v>16</v>
      </c>
      <c r="C112" s="21" t="s">
        <v>9</v>
      </c>
      <c r="D112" s="21" t="s">
        <v>11</v>
      </c>
      <c r="E112" s="21" t="s">
        <v>82</v>
      </c>
      <c r="F112" s="23" t="s">
        <v>148</v>
      </c>
      <c r="G112" s="21"/>
      <c r="H112" s="19">
        <f>H113+H116</f>
        <v>240</v>
      </c>
      <c r="I112" s="19">
        <f>I113+I116</f>
        <v>840</v>
      </c>
      <c r="J112" s="19">
        <f>J113+J116</f>
        <v>840</v>
      </c>
      <c r="K112" s="1"/>
      <c r="L112" s="1"/>
      <c r="M112" s="1"/>
      <c r="N112" s="1"/>
    </row>
    <row r="113" spans="2:14" s="53" customFormat="1" ht="39.75" hidden="1" customHeight="1" x14ac:dyDescent="0.2">
      <c r="B113" s="38" t="s">
        <v>149</v>
      </c>
      <c r="C113" s="21" t="s">
        <v>9</v>
      </c>
      <c r="D113" s="21" t="s">
        <v>11</v>
      </c>
      <c r="E113" s="21" t="s">
        <v>82</v>
      </c>
      <c r="F113" s="23" t="s">
        <v>150</v>
      </c>
      <c r="G113" s="21"/>
      <c r="H113" s="19">
        <f t="shared" ref="H113:J114" si="16">H114</f>
        <v>0</v>
      </c>
      <c r="I113" s="19">
        <f t="shared" si="16"/>
        <v>0</v>
      </c>
      <c r="J113" s="19">
        <f t="shared" si="16"/>
        <v>0</v>
      </c>
      <c r="K113" s="1"/>
      <c r="L113" s="1"/>
      <c r="M113" s="1"/>
      <c r="N113" s="1"/>
    </row>
    <row r="114" spans="2:14" s="53" customFormat="1" ht="15" hidden="1" customHeight="1" x14ac:dyDescent="0.2">
      <c r="B114" s="49" t="s">
        <v>151</v>
      </c>
      <c r="C114" s="21" t="s">
        <v>9</v>
      </c>
      <c r="D114" s="21" t="s">
        <v>11</v>
      </c>
      <c r="E114" s="21" t="s">
        <v>82</v>
      </c>
      <c r="F114" s="23" t="s">
        <v>152</v>
      </c>
      <c r="G114" s="21"/>
      <c r="H114" s="19">
        <f t="shared" si="16"/>
        <v>0</v>
      </c>
      <c r="I114" s="19">
        <f t="shared" si="16"/>
        <v>0</v>
      </c>
      <c r="J114" s="19">
        <f t="shared" si="16"/>
        <v>0</v>
      </c>
      <c r="K114" s="1"/>
      <c r="L114" s="1"/>
      <c r="M114" s="1"/>
      <c r="N114" s="1"/>
    </row>
    <row r="115" spans="2:14" s="53" customFormat="1" ht="27" hidden="1" customHeight="1" x14ac:dyDescent="0.2">
      <c r="B115" s="20" t="s">
        <v>34</v>
      </c>
      <c r="C115" s="21" t="s">
        <v>9</v>
      </c>
      <c r="D115" s="21" t="s">
        <v>11</v>
      </c>
      <c r="E115" s="21" t="s">
        <v>82</v>
      </c>
      <c r="F115" s="23" t="s">
        <v>152</v>
      </c>
      <c r="G115" s="21" t="s">
        <v>35</v>
      </c>
      <c r="H115" s="19">
        <v>0</v>
      </c>
      <c r="I115" s="19">
        <v>0</v>
      </c>
      <c r="J115" s="19">
        <v>0</v>
      </c>
      <c r="K115" s="1"/>
      <c r="L115" s="1"/>
      <c r="M115" s="1"/>
      <c r="N115" s="1"/>
    </row>
    <row r="116" spans="2:14" s="53" customFormat="1" ht="27" customHeight="1" x14ac:dyDescent="0.2">
      <c r="B116" s="38" t="s">
        <v>153</v>
      </c>
      <c r="C116" s="21" t="s">
        <v>9</v>
      </c>
      <c r="D116" s="21" t="s">
        <v>11</v>
      </c>
      <c r="E116" s="21" t="s">
        <v>82</v>
      </c>
      <c r="F116" s="23" t="s">
        <v>154</v>
      </c>
      <c r="G116" s="48"/>
      <c r="H116" s="19">
        <f>H117</f>
        <v>240</v>
      </c>
      <c r="I116" s="19">
        <f>I117</f>
        <v>840</v>
      </c>
      <c r="J116" s="19">
        <f>J117</f>
        <v>840</v>
      </c>
      <c r="K116" s="1"/>
      <c r="L116" s="1"/>
      <c r="M116" s="1"/>
      <c r="N116" s="1"/>
    </row>
    <row r="117" spans="2:14" s="53" customFormat="1" ht="28.5" customHeight="1" x14ac:dyDescent="0.2">
      <c r="B117" s="38" t="s">
        <v>143</v>
      </c>
      <c r="C117" s="21" t="s">
        <v>9</v>
      </c>
      <c r="D117" s="21" t="s">
        <v>11</v>
      </c>
      <c r="E117" s="21" t="s">
        <v>82</v>
      </c>
      <c r="F117" s="23" t="s">
        <v>663</v>
      </c>
      <c r="G117" s="48"/>
      <c r="H117" s="19">
        <f>H118+H119</f>
        <v>240</v>
      </c>
      <c r="I117" s="19">
        <f>I118+I119</f>
        <v>840</v>
      </c>
      <c r="J117" s="19">
        <f>J118+J119</f>
        <v>840</v>
      </c>
      <c r="K117" s="1"/>
      <c r="L117" s="1"/>
      <c r="M117" s="1"/>
      <c r="N117" s="1"/>
    </row>
    <row r="118" spans="2:14" s="53" customFormat="1" ht="13.5" customHeight="1" x14ac:dyDescent="0.2">
      <c r="B118" s="49" t="s">
        <v>145</v>
      </c>
      <c r="C118" s="21" t="s">
        <v>9</v>
      </c>
      <c r="D118" s="21" t="s">
        <v>11</v>
      </c>
      <c r="E118" s="21" t="s">
        <v>82</v>
      </c>
      <c r="F118" s="23" t="s">
        <v>663</v>
      </c>
      <c r="G118" s="48" t="s">
        <v>101</v>
      </c>
      <c r="H118" s="19">
        <f>340-200</f>
        <v>140</v>
      </c>
      <c r="I118" s="19">
        <v>340</v>
      </c>
      <c r="J118" s="57">
        <v>340</v>
      </c>
      <c r="K118" s="1"/>
      <c r="L118" s="1"/>
      <c r="M118" s="1"/>
      <c r="N118" s="1"/>
    </row>
    <row r="119" spans="2:14" s="53" customFormat="1" ht="16.5" customHeight="1" x14ac:dyDescent="0.2">
      <c r="B119" s="56" t="s">
        <v>146</v>
      </c>
      <c r="C119" s="21" t="s">
        <v>9</v>
      </c>
      <c r="D119" s="21" t="s">
        <v>11</v>
      </c>
      <c r="E119" s="21" t="s">
        <v>82</v>
      </c>
      <c r="F119" s="23" t="s">
        <v>663</v>
      </c>
      <c r="G119" s="48" t="s">
        <v>147</v>
      </c>
      <c r="H119" s="19">
        <f>500-500+100</f>
        <v>100</v>
      </c>
      <c r="I119" s="19">
        <v>500</v>
      </c>
      <c r="J119" s="57">
        <v>500</v>
      </c>
      <c r="K119" s="1"/>
      <c r="L119" s="1"/>
      <c r="M119" s="1"/>
      <c r="N119" s="1"/>
    </row>
    <row r="120" spans="2:14" s="53" customFormat="1" ht="42.75" customHeight="1" x14ac:dyDescent="0.2">
      <c r="B120" s="20" t="s">
        <v>54</v>
      </c>
      <c r="C120" s="21" t="s">
        <v>9</v>
      </c>
      <c r="D120" s="21" t="s">
        <v>11</v>
      </c>
      <c r="E120" s="21" t="s">
        <v>82</v>
      </c>
      <c r="F120" s="23" t="s">
        <v>55</v>
      </c>
      <c r="G120" s="21"/>
      <c r="H120" s="19">
        <f t="shared" ref="H120:J123" si="17">H121</f>
        <v>30</v>
      </c>
      <c r="I120" s="19">
        <f t="shared" si="17"/>
        <v>30</v>
      </c>
      <c r="J120" s="19">
        <f t="shared" si="17"/>
        <v>30</v>
      </c>
      <c r="K120" s="1"/>
      <c r="L120" s="1"/>
      <c r="M120" s="1"/>
      <c r="N120" s="1"/>
    </row>
    <row r="121" spans="2:14" s="53" customFormat="1" ht="15.75" customHeight="1" x14ac:dyDescent="0.2">
      <c r="B121" s="20" t="s">
        <v>16</v>
      </c>
      <c r="C121" s="21" t="s">
        <v>9</v>
      </c>
      <c r="D121" s="21" t="s">
        <v>11</v>
      </c>
      <c r="E121" s="21" t="s">
        <v>82</v>
      </c>
      <c r="F121" s="23" t="s">
        <v>56</v>
      </c>
      <c r="G121" s="21"/>
      <c r="H121" s="19">
        <f t="shared" si="17"/>
        <v>30</v>
      </c>
      <c r="I121" s="19">
        <f t="shared" si="17"/>
        <v>30</v>
      </c>
      <c r="J121" s="19">
        <f t="shared" si="17"/>
        <v>30</v>
      </c>
      <c r="K121" s="1"/>
      <c r="L121" s="1"/>
      <c r="M121" s="1"/>
      <c r="N121" s="1"/>
    </row>
    <row r="122" spans="2:14" s="53" customFormat="1" ht="30" customHeight="1" x14ac:dyDescent="0.2">
      <c r="B122" s="20" t="s">
        <v>155</v>
      </c>
      <c r="C122" s="21" t="s">
        <v>9</v>
      </c>
      <c r="D122" s="21" t="s">
        <v>11</v>
      </c>
      <c r="E122" s="21" t="s">
        <v>82</v>
      </c>
      <c r="F122" s="23" t="s">
        <v>156</v>
      </c>
      <c r="G122" s="21"/>
      <c r="H122" s="19">
        <f t="shared" si="17"/>
        <v>30</v>
      </c>
      <c r="I122" s="19">
        <f t="shared" si="17"/>
        <v>30</v>
      </c>
      <c r="J122" s="19">
        <f t="shared" si="17"/>
        <v>30</v>
      </c>
      <c r="K122" s="1"/>
      <c r="L122" s="1"/>
      <c r="M122" s="1"/>
      <c r="N122" s="1"/>
    </row>
    <row r="123" spans="2:14" s="53" customFormat="1" ht="55.5" customHeight="1" x14ac:dyDescent="0.2">
      <c r="B123" s="20" t="s">
        <v>157</v>
      </c>
      <c r="C123" s="21" t="s">
        <v>9</v>
      </c>
      <c r="D123" s="21" t="s">
        <v>11</v>
      </c>
      <c r="E123" s="21" t="s">
        <v>82</v>
      </c>
      <c r="F123" s="23" t="s">
        <v>158</v>
      </c>
      <c r="G123" s="21"/>
      <c r="H123" s="19">
        <f>H124</f>
        <v>30</v>
      </c>
      <c r="I123" s="19">
        <f t="shared" si="17"/>
        <v>30</v>
      </c>
      <c r="J123" s="19">
        <f t="shared" si="17"/>
        <v>30</v>
      </c>
      <c r="K123" s="1"/>
      <c r="L123" s="1"/>
      <c r="M123" s="1"/>
      <c r="N123" s="1"/>
    </row>
    <row r="124" spans="2:14" s="53" customFormat="1" ht="24.75" customHeight="1" x14ac:dyDescent="0.2">
      <c r="B124" s="20" t="s">
        <v>34</v>
      </c>
      <c r="C124" s="21" t="s">
        <v>9</v>
      </c>
      <c r="D124" s="21" t="s">
        <v>11</v>
      </c>
      <c r="E124" s="21" t="s">
        <v>82</v>
      </c>
      <c r="F124" s="23" t="s">
        <v>158</v>
      </c>
      <c r="G124" s="48" t="s">
        <v>35</v>
      </c>
      <c r="H124" s="19">
        <f>10+20</f>
        <v>30</v>
      </c>
      <c r="I124" s="19">
        <f>10+20</f>
        <v>30</v>
      </c>
      <c r="J124" s="19">
        <f>10+20</f>
        <v>30</v>
      </c>
      <c r="K124" s="1"/>
      <c r="L124" s="1"/>
      <c r="M124" s="1"/>
      <c r="N124" s="1"/>
    </row>
    <row r="125" spans="2:14" s="53" customFormat="1" ht="17.25" hidden="1" customHeight="1" x14ac:dyDescent="0.2">
      <c r="B125" s="15" t="s">
        <v>159</v>
      </c>
      <c r="C125" s="16" t="s">
        <v>9</v>
      </c>
      <c r="D125" s="16" t="s">
        <v>13</v>
      </c>
      <c r="E125" s="16"/>
      <c r="F125" s="23"/>
      <c r="G125" s="21"/>
      <c r="H125" s="17">
        <f t="shared" ref="H125:J130" si="18">H126</f>
        <v>0</v>
      </c>
      <c r="I125" s="17">
        <f t="shared" si="18"/>
        <v>0</v>
      </c>
      <c r="J125" s="17">
        <f t="shared" si="18"/>
        <v>0</v>
      </c>
      <c r="K125" s="1"/>
      <c r="L125" s="1"/>
      <c r="M125" s="1"/>
      <c r="N125" s="1"/>
    </row>
    <row r="126" spans="2:14" s="53" customFormat="1" ht="19.5" hidden="1" customHeight="1" x14ac:dyDescent="0.2">
      <c r="B126" s="15" t="s">
        <v>160</v>
      </c>
      <c r="C126" s="16" t="s">
        <v>9</v>
      </c>
      <c r="D126" s="16" t="s">
        <v>13</v>
      </c>
      <c r="E126" s="16" t="s">
        <v>161</v>
      </c>
      <c r="F126" s="23"/>
      <c r="G126" s="21"/>
      <c r="H126" s="19">
        <f t="shared" si="18"/>
        <v>0</v>
      </c>
      <c r="I126" s="19">
        <f t="shared" si="18"/>
        <v>0</v>
      </c>
      <c r="J126" s="19">
        <f t="shared" si="18"/>
        <v>0</v>
      </c>
      <c r="K126" s="1"/>
      <c r="L126" s="1"/>
      <c r="M126" s="1"/>
      <c r="N126" s="1"/>
    </row>
    <row r="127" spans="2:14" s="53" customFormat="1" ht="27" hidden="1" customHeight="1" x14ac:dyDescent="0.2">
      <c r="B127" s="20" t="s">
        <v>14</v>
      </c>
      <c r="C127" s="34" t="s">
        <v>9</v>
      </c>
      <c r="D127" s="34" t="s">
        <v>13</v>
      </c>
      <c r="E127" s="34" t="s">
        <v>161</v>
      </c>
      <c r="F127" s="34" t="s">
        <v>15</v>
      </c>
      <c r="G127" s="21"/>
      <c r="H127" s="19">
        <f t="shared" si="18"/>
        <v>0</v>
      </c>
      <c r="I127" s="19">
        <f t="shared" si="18"/>
        <v>0</v>
      </c>
      <c r="J127" s="19">
        <f t="shared" si="18"/>
        <v>0</v>
      </c>
      <c r="K127" s="1"/>
      <c r="L127" s="1"/>
      <c r="M127" s="1"/>
      <c r="N127" s="1"/>
    </row>
    <row r="128" spans="2:14" s="53" customFormat="1" ht="17.25" hidden="1" customHeight="1" x14ac:dyDescent="0.2">
      <c r="B128" s="29" t="s">
        <v>16</v>
      </c>
      <c r="C128" s="34" t="s">
        <v>9</v>
      </c>
      <c r="D128" s="34" t="s">
        <v>13</v>
      </c>
      <c r="E128" s="34" t="s">
        <v>161</v>
      </c>
      <c r="F128" s="35" t="s">
        <v>17</v>
      </c>
      <c r="G128" s="21"/>
      <c r="H128" s="19">
        <f t="shared" si="18"/>
        <v>0</v>
      </c>
      <c r="I128" s="19">
        <f t="shared" si="18"/>
        <v>0</v>
      </c>
      <c r="J128" s="19">
        <f t="shared" si="18"/>
        <v>0</v>
      </c>
      <c r="K128" s="1"/>
      <c r="L128" s="1"/>
      <c r="M128" s="1"/>
      <c r="N128" s="1"/>
    </row>
    <row r="129" spans="2:14" s="53" customFormat="1" ht="27.75" hidden="1" customHeight="1" x14ac:dyDescent="0.2">
      <c r="B129" s="30" t="s">
        <v>18</v>
      </c>
      <c r="C129" s="34" t="s">
        <v>9</v>
      </c>
      <c r="D129" s="34" t="s">
        <v>13</v>
      </c>
      <c r="E129" s="34" t="s">
        <v>161</v>
      </c>
      <c r="F129" s="35" t="s">
        <v>19</v>
      </c>
      <c r="G129" s="21"/>
      <c r="H129" s="19">
        <f t="shared" si="18"/>
        <v>0</v>
      </c>
      <c r="I129" s="19">
        <f t="shared" si="18"/>
        <v>0</v>
      </c>
      <c r="J129" s="19">
        <f t="shared" si="18"/>
        <v>0</v>
      </c>
      <c r="K129" s="1"/>
      <c r="L129" s="1"/>
      <c r="M129" s="1"/>
      <c r="N129" s="1"/>
    </row>
    <row r="130" spans="2:14" s="53" customFormat="1" ht="25.5" hidden="1" customHeight="1" x14ac:dyDescent="0.2">
      <c r="B130" s="20" t="s">
        <v>162</v>
      </c>
      <c r="C130" s="21" t="s">
        <v>9</v>
      </c>
      <c r="D130" s="21" t="s">
        <v>13</v>
      </c>
      <c r="E130" s="21" t="s">
        <v>161</v>
      </c>
      <c r="F130" s="23" t="s">
        <v>163</v>
      </c>
      <c r="G130" s="21"/>
      <c r="H130" s="19">
        <f t="shared" si="18"/>
        <v>0</v>
      </c>
      <c r="I130" s="19">
        <f t="shared" si="18"/>
        <v>0</v>
      </c>
      <c r="J130" s="19">
        <f t="shared" si="18"/>
        <v>0</v>
      </c>
      <c r="K130" s="1"/>
      <c r="L130" s="1"/>
      <c r="M130" s="1"/>
      <c r="N130" s="1"/>
    </row>
    <row r="131" spans="2:14" s="53" customFormat="1" ht="25.5" hidden="1" customHeight="1" x14ac:dyDescent="0.2">
      <c r="B131" s="20" t="s">
        <v>22</v>
      </c>
      <c r="C131" s="21" t="s">
        <v>9</v>
      </c>
      <c r="D131" s="21" t="s">
        <v>13</v>
      </c>
      <c r="E131" s="21" t="s">
        <v>161</v>
      </c>
      <c r="F131" s="23" t="s">
        <v>163</v>
      </c>
      <c r="G131" s="21" t="s">
        <v>23</v>
      </c>
      <c r="H131" s="19"/>
      <c r="I131" s="19"/>
      <c r="J131" s="19"/>
      <c r="K131" s="1"/>
      <c r="L131" s="1"/>
      <c r="M131" s="1"/>
      <c r="N131" s="1"/>
    </row>
    <row r="132" spans="2:14" s="59" customFormat="1" ht="17.25" customHeight="1" x14ac:dyDescent="0.2">
      <c r="B132" s="58" t="s">
        <v>164</v>
      </c>
      <c r="C132" s="16" t="s">
        <v>9</v>
      </c>
      <c r="D132" s="16" t="s">
        <v>161</v>
      </c>
      <c r="E132" s="16"/>
      <c r="F132" s="16"/>
      <c r="G132" s="16"/>
      <c r="H132" s="17">
        <f>H133+H151</f>
        <v>7478.0000000000009</v>
      </c>
      <c r="I132" s="17">
        <f>I133+I151</f>
        <v>5540.9000000000005</v>
      </c>
      <c r="J132" s="17">
        <f>J133+J151</f>
        <v>18340.900000000001</v>
      </c>
    </row>
    <row r="133" spans="2:14" s="59" customFormat="1" ht="15.75" customHeight="1" x14ac:dyDescent="0.2">
      <c r="B133" s="60" t="s">
        <v>165</v>
      </c>
      <c r="C133" s="16" t="s">
        <v>9</v>
      </c>
      <c r="D133" s="16" t="s">
        <v>161</v>
      </c>
      <c r="E133" s="16" t="s">
        <v>166</v>
      </c>
      <c r="F133" s="16"/>
      <c r="G133" s="16"/>
      <c r="H133" s="19">
        <f t="shared" ref="H133:J134" si="19">H134</f>
        <v>5750.7000000000007</v>
      </c>
      <c r="I133" s="19">
        <f t="shared" si="19"/>
        <v>5170.7000000000007</v>
      </c>
      <c r="J133" s="19">
        <f t="shared" si="19"/>
        <v>5670.7000000000007</v>
      </c>
    </row>
    <row r="134" spans="2:14" s="53" customFormat="1" ht="39" customHeight="1" x14ac:dyDescent="0.2">
      <c r="B134" s="20" t="s">
        <v>54</v>
      </c>
      <c r="C134" s="21" t="s">
        <v>9</v>
      </c>
      <c r="D134" s="21" t="s">
        <v>161</v>
      </c>
      <c r="E134" s="21" t="s">
        <v>166</v>
      </c>
      <c r="F134" s="23" t="s">
        <v>55</v>
      </c>
      <c r="G134" s="21"/>
      <c r="H134" s="19">
        <f t="shared" si="19"/>
        <v>5750.7000000000007</v>
      </c>
      <c r="I134" s="19">
        <f t="shared" si="19"/>
        <v>5170.7000000000007</v>
      </c>
      <c r="J134" s="19">
        <f t="shared" si="19"/>
        <v>5670.7000000000007</v>
      </c>
      <c r="K134" s="1"/>
      <c r="L134" s="1"/>
      <c r="M134" s="1"/>
      <c r="N134" s="1"/>
    </row>
    <row r="135" spans="2:14" s="53" customFormat="1" ht="16.5" customHeight="1" x14ac:dyDescent="0.2">
      <c r="B135" s="29" t="s">
        <v>16</v>
      </c>
      <c r="C135" s="21" t="s">
        <v>9</v>
      </c>
      <c r="D135" s="21" t="s">
        <v>161</v>
      </c>
      <c r="E135" s="21" t="s">
        <v>166</v>
      </c>
      <c r="F135" s="23" t="s">
        <v>56</v>
      </c>
      <c r="G135" s="21"/>
      <c r="H135" s="19">
        <f>H136+H147</f>
        <v>5750.7000000000007</v>
      </c>
      <c r="I135" s="19">
        <f>I136+I147</f>
        <v>5170.7000000000007</v>
      </c>
      <c r="J135" s="19">
        <f>J136+J147</f>
        <v>5670.7000000000007</v>
      </c>
      <c r="K135" s="1"/>
      <c r="L135" s="1"/>
      <c r="M135" s="1"/>
      <c r="N135" s="1"/>
    </row>
    <row r="136" spans="2:14" s="53" customFormat="1" ht="29.25" customHeight="1" x14ac:dyDescent="0.2">
      <c r="B136" s="20" t="s">
        <v>155</v>
      </c>
      <c r="C136" s="21" t="s">
        <v>9</v>
      </c>
      <c r="D136" s="21" t="s">
        <v>161</v>
      </c>
      <c r="E136" s="21" t="s">
        <v>166</v>
      </c>
      <c r="F136" s="23" t="s">
        <v>156</v>
      </c>
      <c r="G136" s="21"/>
      <c r="H136" s="19">
        <f>H143+H141+H137+H139+H145</f>
        <v>1714.1</v>
      </c>
      <c r="I136" s="19">
        <f>I143+I141+I137+I139+I145</f>
        <v>1144.0999999999999</v>
      </c>
      <c r="J136" s="19">
        <f>J143+J141+J137+J139+J145</f>
        <v>1644.1</v>
      </c>
      <c r="K136" s="1"/>
      <c r="L136" s="1"/>
      <c r="M136" s="1"/>
      <c r="N136" s="1"/>
    </row>
    <row r="137" spans="2:14" s="53" customFormat="1" ht="15.75" customHeight="1" x14ac:dyDescent="0.2">
      <c r="B137" s="20" t="s">
        <v>167</v>
      </c>
      <c r="C137" s="21" t="s">
        <v>9</v>
      </c>
      <c r="D137" s="21" t="s">
        <v>161</v>
      </c>
      <c r="E137" s="21" t="s">
        <v>166</v>
      </c>
      <c r="F137" s="23" t="s">
        <v>168</v>
      </c>
      <c r="G137" s="48"/>
      <c r="H137" s="19">
        <f>H138</f>
        <v>140.30000000000001</v>
      </c>
      <c r="I137" s="19">
        <f>I138</f>
        <v>140.30000000000001</v>
      </c>
      <c r="J137" s="19">
        <f>J138</f>
        <v>140.30000000000001</v>
      </c>
      <c r="K137" s="1"/>
      <c r="L137" s="1"/>
      <c r="M137" s="1"/>
      <c r="N137" s="1"/>
    </row>
    <row r="138" spans="2:14" s="53" customFormat="1" ht="29.25" customHeight="1" x14ac:dyDescent="0.2">
      <c r="B138" s="20" t="s">
        <v>34</v>
      </c>
      <c r="C138" s="21" t="s">
        <v>9</v>
      </c>
      <c r="D138" s="21" t="s">
        <v>161</v>
      </c>
      <c r="E138" s="21" t="s">
        <v>166</v>
      </c>
      <c r="F138" s="23" t="s">
        <v>168</v>
      </c>
      <c r="G138" s="48" t="s">
        <v>35</v>
      </c>
      <c r="H138" s="19">
        <v>140.30000000000001</v>
      </c>
      <c r="I138" s="19">
        <v>140.30000000000001</v>
      </c>
      <c r="J138" s="19">
        <v>140.30000000000001</v>
      </c>
      <c r="K138" s="1"/>
      <c r="L138" s="1"/>
      <c r="M138" s="1"/>
      <c r="N138" s="1"/>
    </row>
    <row r="139" spans="2:14" s="53" customFormat="1" ht="29.25" customHeight="1" x14ac:dyDescent="0.2">
      <c r="B139" s="20" t="s">
        <v>169</v>
      </c>
      <c r="C139" s="21" t="s">
        <v>9</v>
      </c>
      <c r="D139" s="21" t="s">
        <v>161</v>
      </c>
      <c r="E139" s="21" t="s">
        <v>166</v>
      </c>
      <c r="F139" s="23" t="s">
        <v>170</v>
      </c>
      <c r="G139" s="48"/>
      <c r="H139" s="19">
        <f>H140</f>
        <v>883.8</v>
      </c>
      <c r="I139" s="19">
        <f>I140</f>
        <v>883.8</v>
      </c>
      <c r="J139" s="19">
        <f>J140</f>
        <v>883.8</v>
      </c>
      <c r="K139" s="1"/>
      <c r="L139" s="1"/>
      <c r="M139" s="1"/>
      <c r="N139" s="1"/>
    </row>
    <row r="140" spans="2:14" s="53" customFormat="1" ht="29.25" customHeight="1" x14ac:dyDescent="0.2">
      <c r="B140" s="20" t="s">
        <v>34</v>
      </c>
      <c r="C140" s="21" t="s">
        <v>9</v>
      </c>
      <c r="D140" s="21" t="s">
        <v>161</v>
      </c>
      <c r="E140" s="21" t="s">
        <v>166</v>
      </c>
      <c r="F140" s="23" t="s">
        <v>170</v>
      </c>
      <c r="G140" s="48" t="s">
        <v>35</v>
      </c>
      <c r="H140" s="19">
        <v>883.8</v>
      </c>
      <c r="I140" s="19">
        <v>883.8</v>
      </c>
      <c r="J140" s="19">
        <v>883.8</v>
      </c>
      <c r="K140" s="1"/>
      <c r="L140" s="1"/>
      <c r="M140" s="1"/>
      <c r="N140" s="1"/>
    </row>
    <row r="141" spans="2:14" s="53" customFormat="1" ht="42" customHeight="1" x14ac:dyDescent="0.2">
      <c r="B141" s="20" t="s">
        <v>171</v>
      </c>
      <c r="C141" s="21" t="s">
        <v>9</v>
      </c>
      <c r="D141" s="21" t="s">
        <v>161</v>
      </c>
      <c r="E141" s="21" t="s">
        <v>166</v>
      </c>
      <c r="F141" s="23" t="s">
        <v>172</v>
      </c>
      <c r="G141" s="48"/>
      <c r="H141" s="19">
        <f>H142</f>
        <v>500</v>
      </c>
      <c r="I141" s="19">
        <f>I142</f>
        <v>0</v>
      </c>
      <c r="J141" s="19">
        <f>J142</f>
        <v>500</v>
      </c>
      <c r="K141" s="1"/>
      <c r="L141" s="1"/>
      <c r="M141" s="1"/>
      <c r="N141" s="1"/>
    </row>
    <row r="142" spans="2:14" s="53" customFormat="1" ht="29.25" customHeight="1" x14ac:dyDescent="0.2">
      <c r="B142" s="20" t="s">
        <v>34</v>
      </c>
      <c r="C142" s="21" t="s">
        <v>9</v>
      </c>
      <c r="D142" s="21" t="s">
        <v>161</v>
      </c>
      <c r="E142" s="21" t="s">
        <v>166</v>
      </c>
      <c r="F142" s="23" t="s">
        <v>172</v>
      </c>
      <c r="G142" s="48" t="s">
        <v>35</v>
      </c>
      <c r="H142" s="19">
        <v>500</v>
      </c>
      <c r="I142" s="19">
        <v>0</v>
      </c>
      <c r="J142" s="19">
        <v>500</v>
      </c>
      <c r="K142" s="1"/>
      <c r="L142" s="1"/>
      <c r="M142" s="1"/>
      <c r="N142" s="1"/>
    </row>
    <row r="143" spans="2:14" s="53" customFormat="1" ht="51" customHeight="1" x14ac:dyDescent="0.2">
      <c r="B143" s="20" t="s">
        <v>157</v>
      </c>
      <c r="C143" s="21" t="s">
        <v>9</v>
      </c>
      <c r="D143" s="21" t="s">
        <v>161</v>
      </c>
      <c r="E143" s="21" t="s">
        <v>166</v>
      </c>
      <c r="F143" s="23" t="s">
        <v>158</v>
      </c>
      <c r="G143" s="21"/>
      <c r="H143" s="19">
        <f>H144</f>
        <v>90</v>
      </c>
      <c r="I143" s="19">
        <f>I144</f>
        <v>20</v>
      </c>
      <c r="J143" s="19">
        <f>J144</f>
        <v>20</v>
      </c>
      <c r="K143" s="1"/>
      <c r="L143" s="1"/>
      <c r="M143" s="1"/>
      <c r="N143" s="1"/>
    </row>
    <row r="144" spans="2:14" s="53" customFormat="1" ht="24.75" customHeight="1" x14ac:dyDescent="0.2">
      <c r="B144" s="61" t="s">
        <v>34</v>
      </c>
      <c r="C144" s="21" t="s">
        <v>9</v>
      </c>
      <c r="D144" s="21" t="s">
        <v>161</v>
      </c>
      <c r="E144" s="21" t="s">
        <v>166</v>
      </c>
      <c r="F144" s="23" t="s">
        <v>158</v>
      </c>
      <c r="G144" s="48" t="s">
        <v>35</v>
      </c>
      <c r="H144" s="19">
        <v>90</v>
      </c>
      <c r="I144" s="19">
        <v>20</v>
      </c>
      <c r="J144" s="19">
        <v>20</v>
      </c>
      <c r="K144" s="1"/>
      <c r="L144" s="1"/>
      <c r="M144" s="1"/>
      <c r="N144" s="1"/>
    </row>
    <row r="145" spans="2:14" s="53" customFormat="1" ht="24.75" customHeight="1" x14ac:dyDescent="0.2">
      <c r="B145" s="61" t="s">
        <v>173</v>
      </c>
      <c r="C145" s="21" t="s">
        <v>9</v>
      </c>
      <c r="D145" s="21" t="s">
        <v>161</v>
      </c>
      <c r="E145" s="21" t="s">
        <v>166</v>
      </c>
      <c r="F145" s="23" t="s">
        <v>174</v>
      </c>
      <c r="G145" s="48"/>
      <c r="H145" s="19">
        <f>H146</f>
        <v>100</v>
      </c>
      <c r="I145" s="19">
        <f>I146</f>
        <v>100</v>
      </c>
      <c r="J145" s="19">
        <f>J146</f>
        <v>100</v>
      </c>
      <c r="K145" s="1"/>
      <c r="L145" s="1"/>
      <c r="M145" s="1"/>
      <c r="N145" s="1"/>
    </row>
    <row r="146" spans="2:14" s="53" customFormat="1" ht="24.75" customHeight="1" x14ac:dyDescent="0.2">
      <c r="B146" s="61" t="s">
        <v>34</v>
      </c>
      <c r="C146" s="21" t="s">
        <v>9</v>
      </c>
      <c r="D146" s="21" t="s">
        <v>161</v>
      </c>
      <c r="E146" s="21" t="s">
        <v>166</v>
      </c>
      <c r="F146" s="23" t="s">
        <v>174</v>
      </c>
      <c r="G146" s="48" t="s">
        <v>35</v>
      </c>
      <c r="H146" s="19">
        <v>100</v>
      </c>
      <c r="I146" s="19">
        <v>100</v>
      </c>
      <c r="J146" s="19">
        <v>100</v>
      </c>
      <c r="K146" s="1"/>
      <c r="L146" s="1"/>
      <c r="M146" s="1"/>
      <c r="N146" s="1"/>
    </row>
    <row r="147" spans="2:14" s="53" customFormat="1" ht="15" customHeight="1" x14ac:dyDescent="0.2">
      <c r="B147" s="41" t="s">
        <v>175</v>
      </c>
      <c r="C147" s="21" t="s">
        <v>9</v>
      </c>
      <c r="D147" s="21" t="s">
        <v>161</v>
      </c>
      <c r="E147" s="21" t="s">
        <v>166</v>
      </c>
      <c r="F147" s="23" t="s">
        <v>176</v>
      </c>
      <c r="G147" s="48"/>
      <c r="H147" s="19">
        <f>H148</f>
        <v>4036.6000000000004</v>
      </c>
      <c r="I147" s="19">
        <f>I148</f>
        <v>4026.6000000000004</v>
      </c>
      <c r="J147" s="19">
        <f>J148</f>
        <v>4026.6000000000004</v>
      </c>
      <c r="K147" s="1"/>
      <c r="L147" s="1"/>
      <c r="M147" s="1"/>
      <c r="N147" s="1"/>
    </row>
    <row r="148" spans="2:14" s="53" customFormat="1" ht="31.5" customHeight="1" x14ac:dyDescent="0.2">
      <c r="B148" s="42" t="s">
        <v>177</v>
      </c>
      <c r="C148" s="21" t="s">
        <v>9</v>
      </c>
      <c r="D148" s="21" t="s">
        <v>161</v>
      </c>
      <c r="E148" s="21" t="s">
        <v>166</v>
      </c>
      <c r="F148" s="23" t="s">
        <v>178</v>
      </c>
      <c r="G148" s="48"/>
      <c r="H148" s="19">
        <f>H149+H150</f>
        <v>4036.6000000000004</v>
      </c>
      <c r="I148" s="19">
        <f>I149+I150</f>
        <v>4026.6000000000004</v>
      </c>
      <c r="J148" s="19">
        <f>J149+J150</f>
        <v>4026.6000000000004</v>
      </c>
      <c r="K148" s="1"/>
      <c r="L148" s="1"/>
      <c r="M148" s="1"/>
      <c r="N148" s="1"/>
    </row>
    <row r="149" spans="2:14" s="53" customFormat="1" ht="24.75" customHeight="1" x14ac:dyDescent="0.2">
      <c r="B149" s="20" t="s">
        <v>22</v>
      </c>
      <c r="C149" s="21" t="s">
        <v>9</v>
      </c>
      <c r="D149" s="21" t="s">
        <v>161</v>
      </c>
      <c r="E149" s="21" t="s">
        <v>166</v>
      </c>
      <c r="F149" s="23" t="s">
        <v>178</v>
      </c>
      <c r="G149" s="48" t="s">
        <v>23</v>
      </c>
      <c r="H149" s="19">
        <f>3887.8+34.5</f>
        <v>3922.3</v>
      </c>
      <c r="I149" s="19">
        <f>3887.8+34.5</f>
        <v>3922.3</v>
      </c>
      <c r="J149" s="19">
        <f>3887.8+34.5</f>
        <v>3922.3</v>
      </c>
      <c r="K149" s="1"/>
      <c r="L149" s="1"/>
      <c r="M149" s="1"/>
      <c r="N149" s="1"/>
    </row>
    <row r="150" spans="2:14" s="53" customFormat="1" ht="24.75" customHeight="1" x14ac:dyDescent="0.2">
      <c r="B150" s="20" t="s">
        <v>34</v>
      </c>
      <c r="C150" s="21" t="s">
        <v>9</v>
      </c>
      <c r="D150" s="21" t="s">
        <v>161</v>
      </c>
      <c r="E150" s="21" t="s">
        <v>166</v>
      </c>
      <c r="F150" s="23" t="s">
        <v>178</v>
      </c>
      <c r="G150" s="48" t="s">
        <v>35</v>
      </c>
      <c r="H150" s="19">
        <v>114.3</v>
      </c>
      <c r="I150" s="19">
        <v>104.3</v>
      </c>
      <c r="J150" s="19">
        <v>104.3</v>
      </c>
      <c r="K150" s="1"/>
      <c r="L150" s="1"/>
      <c r="M150" s="1"/>
      <c r="N150" s="1"/>
    </row>
    <row r="151" spans="2:14" s="59" customFormat="1" ht="26.25" customHeight="1" x14ac:dyDescent="0.2">
      <c r="B151" s="58" t="s">
        <v>179</v>
      </c>
      <c r="C151" s="16" t="s">
        <v>9</v>
      </c>
      <c r="D151" s="16" t="s">
        <v>161</v>
      </c>
      <c r="E151" s="16" t="s">
        <v>180</v>
      </c>
      <c r="F151" s="16"/>
      <c r="G151" s="16"/>
      <c r="H151" s="19">
        <f>H152</f>
        <v>1727.3</v>
      </c>
      <c r="I151" s="19">
        <f>I152</f>
        <v>370.2</v>
      </c>
      <c r="J151" s="19">
        <f>J152</f>
        <v>12670.2</v>
      </c>
    </row>
    <row r="152" spans="2:14" s="53" customFormat="1" ht="38.25" x14ac:dyDescent="0.2">
      <c r="B152" s="20" t="s">
        <v>54</v>
      </c>
      <c r="C152" s="21" t="s">
        <v>9</v>
      </c>
      <c r="D152" s="21" t="s">
        <v>161</v>
      </c>
      <c r="E152" s="21" t="s">
        <v>180</v>
      </c>
      <c r="F152" s="23" t="s">
        <v>55</v>
      </c>
      <c r="G152" s="28"/>
      <c r="H152" s="19">
        <f>H153+H165</f>
        <v>1727.3</v>
      </c>
      <c r="I152" s="19">
        <f>I153+I165</f>
        <v>370.2</v>
      </c>
      <c r="J152" s="19">
        <f>J153+J165</f>
        <v>12670.2</v>
      </c>
      <c r="K152" s="1"/>
      <c r="L152" s="1"/>
      <c r="M152" s="1"/>
      <c r="N152" s="1"/>
    </row>
    <row r="153" spans="2:14" s="53" customFormat="1" ht="15" customHeight="1" x14ac:dyDescent="0.2">
      <c r="B153" s="38" t="s">
        <v>48</v>
      </c>
      <c r="C153" s="21" t="s">
        <v>9</v>
      </c>
      <c r="D153" s="21" t="s">
        <v>161</v>
      </c>
      <c r="E153" s="21" t="s">
        <v>180</v>
      </c>
      <c r="F153" s="23" t="s">
        <v>181</v>
      </c>
      <c r="G153" s="28"/>
      <c r="H153" s="19">
        <f>H154+H162</f>
        <v>1317.3</v>
      </c>
      <c r="I153" s="19">
        <f>I154+I162</f>
        <v>60.2</v>
      </c>
      <c r="J153" s="19">
        <f>J154+J162</f>
        <v>12360.2</v>
      </c>
      <c r="K153" s="1"/>
      <c r="L153" s="1"/>
      <c r="M153" s="1"/>
      <c r="N153" s="1"/>
    </row>
    <row r="154" spans="2:14" s="53" customFormat="1" ht="25.5" x14ac:dyDescent="0.2">
      <c r="B154" s="62" t="s">
        <v>182</v>
      </c>
      <c r="C154" s="21" t="s">
        <v>9</v>
      </c>
      <c r="D154" s="21" t="s">
        <v>161</v>
      </c>
      <c r="E154" s="21" t="s">
        <v>180</v>
      </c>
      <c r="F154" s="23" t="s">
        <v>183</v>
      </c>
      <c r="G154" s="28"/>
      <c r="H154" s="19">
        <f>H155+H157+H159</f>
        <v>1317.3</v>
      </c>
      <c r="I154" s="19">
        <f>I155+I157+I159</f>
        <v>60.2</v>
      </c>
      <c r="J154" s="19">
        <f>J155+J157+J159</f>
        <v>60.2</v>
      </c>
      <c r="K154" s="1"/>
      <c r="L154" s="1"/>
      <c r="M154" s="1"/>
      <c r="N154" s="1"/>
    </row>
    <row r="155" spans="2:14" s="53" customFormat="1" ht="25.5" x14ac:dyDescent="0.2">
      <c r="B155" s="63" t="s">
        <v>184</v>
      </c>
      <c r="C155" s="21" t="s">
        <v>9</v>
      </c>
      <c r="D155" s="21" t="s">
        <v>161</v>
      </c>
      <c r="E155" s="21" t="s">
        <v>180</v>
      </c>
      <c r="F155" s="23" t="s">
        <v>185</v>
      </c>
      <c r="G155" s="28"/>
      <c r="H155" s="19">
        <f>H156</f>
        <v>417.3</v>
      </c>
      <c r="I155" s="19">
        <f>I156</f>
        <v>60.2</v>
      </c>
      <c r="J155" s="19">
        <f>J156</f>
        <v>60.2</v>
      </c>
      <c r="K155" s="1"/>
      <c r="L155" s="1"/>
      <c r="M155" s="1"/>
      <c r="N155" s="1"/>
    </row>
    <row r="156" spans="2:14" s="65" customFormat="1" ht="25.5" x14ac:dyDescent="0.2">
      <c r="B156" s="63" t="s">
        <v>34</v>
      </c>
      <c r="C156" s="21" t="s">
        <v>9</v>
      </c>
      <c r="D156" s="21" t="s">
        <v>161</v>
      </c>
      <c r="E156" s="21" t="s">
        <v>180</v>
      </c>
      <c r="F156" s="23" t="s">
        <v>185</v>
      </c>
      <c r="G156" s="28" t="s">
        <v>35</v>
      </c>
      <c r="H156" s="19">
        <f>177.9+9.4+230</f>
        <v>417.3</v>
      </c>
      <c r="I156" s="19">
        <f>57.2+3</f>
        <v>60.2</v>
      </c>
      <c r="J156" s="19">
        <f>57.2+3</f>
        <v>60.2</v>
      </c>
      <c r="K156" s="64"/>
      <c r="L156" s="64"/>
      <c r="M156" s="64"/>
      <c r="N156" s="64"/>
    </row>
    <row r="157" spans="2:14" s="65" customFormat="1" ht="25.5" x14ac:dyDescent="0.2">
      <c r="B157" s="62" t="s">
        <v>186</v>
      </c>
      <c r="C157" s="21" t="s">
        <v>9</v>
      </c>
      <c r="D157" s="21" t="s">
        <v>161</v>
      </c>
      <c r="E157" s="21" t="s">
        <v>180</v>
      </c>
      <c r="F157" s="23" t="s">
        <v>187</v>
      </c>
      <c r="G157" s="28"/>
      <c r="H157" s="19">
        <f>H161+H158</f>
        <v>900</v>
      </c>
      <c r="I157" s="19">
        <f>I161+I158</f>
        <v>0</v>
      </c>
      <c r="J157" s="19">
        <f>J161+J158</f>
        <v>0</v>
      </c>
      <c r="K157" s="64"/>
      <c r="L157" s="64"/>
      <c r="M157" s="64"/>
      <c r="N157" s="64"/>
    </row>
    <row r="158" spans="2:14" s="65" customFormat="1" ht="25.5" x14ac:dyDescent="0.2">
      <c r="B158" s="63" t="s">
        <v>34</v>
      </c>
      <c r="C158" s="21" t="s">
        <v>9</v>
      </c>
      <c r="D158" s="21" t="s">
        <v>161</v>
      </c>
      <c r="E158" s="21" t="s">
        <v>180</v>
      </c>
      <c r="F158" s="23" t="s">
        <v>187</v>
      </c>
      <c r="G158" s="28" t="s">
        <v>35</v>
      </c>
      <c r="H158" s="19">
        <f>855+45</f>
        <v>900</v>
      </c>
      <c r="I158" s="19">
        <v>0</v>
      </c>
      <c r="J158" s="19">
        <v>0</v>
      </c>
      <c r="K158" s="64"/>
      <c r="L158" s="64"/>
      <c r="M158" s="64"/>
      <c r="N158" s="64"/>
    </row>
    <row r="159" spans="2:14" s="65" customFormat="1" hidden="1" x14ac:dyDescent="0.2">
      <c r="B159" s="63" t="s">
        <v>188</v>
      </c>
      <c r="C159" s="21" t="s">
        <v>9</v>
      </c>
      <c r="D159" s="21" t="s">
        <v>161</v>
      </c>
      <c r="E159" s="21" t="s">
        <v>180</v>
      </c>
      <c r="F159" s="23" t="s">
        <v>189</v>
      </c>
      <c r="G159" s="28"/>
      <c r="H159" s="19">
        <f>H161+H160</f>
        <v>0</v>
      </c>
      <c r="I159" s="19">
        <f>I161+I160</f>
        <v>0</v>
      </c>
      <c r="J159" s="19">
        <f>J161+J160</f>
        <v>0</v>
      </c>
      <c r="K159" s="64"/>
      <c r="L159" s="64"/>
      <c r="M159" s="64"/>
      <c r="N159" s="64"/>
    </row>
    <row r="160" spans="2:14" s="65" customFormat="1" ht="25.5" hidden="1" x14ac:dyDescent="0.2">
      <c r="B160" s="63" t="s">
        <v>34</v>
      </c>
      <c r="C160" s="21" t="s">
        <v>9</v>
      </c>
      <c r="D160" s="21" t="s">
        <v>161</v>
      </c>
      <c r="E160" s="21" t="s">
        <v>180</v>
      </c>
      <c r="F160" s="23" t="s">
        <v>189</v>
      </c>
      <c r="G160" s="28" t="s">
        <v>35</v>
      </c>
      <c r="H160" s="19">
        <v>0</v>
      </c>
      <c r="I160" s="19">
        <v>0</v>
      </c>
      <c r="J160" s="19">
        <v>0</v>
      </c>
      <c r="K160" s="64"/>
      <c r="L160" s="64"/>
      <c r="M160" s="64"/>
      <c r="N160" s="64"/>
    </row>
    <row r="161" spans="2:14" s="53" customFormat="1" hidden="1" x14ac:dyDescent="0.2">
      <c r="B161" s="63" t="s">
        <v>190</v>
      </c>
      <c r="C161" s="21" t="s">
        <v>9</v>
      </c>
      <c r="D161" s="21" t="s">
        <v>161</v>
      </c>
      <c r="E161" s="21" t="s">
        <v>180</v>
      </c>
      <c r="F161" s="23" t="s">
        <v>189</v>
      </c>
      <c r="G161" s="28" t="s">
        <v>191</v>
      </c>
      <c r="H161" s="19">
        <v>0</v>
      </c>
      <c r="I161" s="19">
        <v>0</v>
      </c>
      <c r="J161" s="19">
        <v>0</v>
      </c>
      <c r="K161" s="1"/>
      <c r="L161" s="1"/>
      <c r="M161" s="1"/>
      <c r="N161" s="1"/>
    </row>
    <row r="162" spans="2:14" s="53" customFormat="1" ht="25.5" x14ac:dyDescent="0.2">
      <c r="B162" s="40" t="s">
        <v>192</v>
      </c>
      <c r="C162" s="21" t="s">
        <v>9</v>
      </c>
      <c r="D162" s="21" t="s">
        <v>161</v>
      </c>
      <c r="E162" s="21" t="s">
        <v>180</v>
      </c>
      <c r="F162" s="23" t="s">
        <v>193</v>
      </c>
      <c r="G162" s="48"/>
      <c r="H162" s="19">
        <f t="shared" ref="H162:J163" si="20">H163</f>
        <v>0</v>
      </c>
      <c r="I162" s="19">
        <f t="shared" si="20"/>
        <v>0</v>
      </c>
      <c r="J162" s="19">
        <f t="shared" si="20"/>
        <v>12300</v>
      </c>
      <c r="K162" s="1"/>
      <c r="L162" s="1"/>
      <c r="M162" s="1"/>
      <c r="N162" s="1"/>
    </row>
    <row r="163" spans="2:14" s="53" customFormat="1" x14ac:dyDescent="0.2">
      <c r="B163" s="40" t="s">
        <v>194</v>
      </c>
      <c r="C163" s="21" t="s">
        <v>9</v>
      </c>
      <c r="D163" s="21" t="s">
        <v>161</v>
      </c>
      <c r="E163" s="21" t="s">
        <v>180</v>
      </c>
      <c r="F163" s="23" t="s">
        <v>195</v>
      </c>
      <c r="G163" s="48"/>
      <c r="H163" s="19">
        <f t="shared" si="20"/>
        <v>0</v>
      </c>
      <c r="I163" s="19">
        <f t="shared" si="20"/>
        <v>0</v>
      </c>
      <c r="J163" s="19">
        <f t="shared" si="20"/>
        <v>12300</v>
      </c>
      <c r="K163" s="1"/>
      <c r="L163" s="1"/>
      <c r="M163" s="1"/>
      <c r="N163" s="1"/>
    </row>
    <row r="164" spans="2:14" s="53" customFormat="1" ht="25.5" x14ac:dyDescent="0.2">
      <c r="B164" s="63" t="s">
        <v>34</v>
      </c>
      <c r="C164" s="21" t="s">
        <v>9</v>
      </c>
      <c r="D164" s="21" t="s">
        <v>161</v>
      </c>
      <c r="E164" s="21" t="s">
        <v>180</v>
      </c>
      <c r="F164" s="23" t="s">
        <v>195</v>
      </c>
      <c r="G164" s="48" t="s">
        <v>35</v>
      </c>
      <c r="H164" s="19">
        <v>0</v>
      </c>
      <c r="I164" s="19">
        <v>0</v>
      </c>
      <c r="J164" s="19">
        <v>12300</v>
      </c>
      <c r="K164" s="1"/>
      <c r="L164" s="1"/>
      <c r="M164" s="1"/>
      <c r="N164" s="1"/>
    </row>
    <row r="165" spans="2:14" s="53" customFormat="1" x14ac:dyDescent="0.2">
      <c r="B165" s="63" t="s">
        <v>16</v>
      </c>
      <c r="C165" s="21" t="s">
        <v>9</v>
      </c>
      <c r="D165" s="21" t="s">
        <v>161</v>
      </c>
      <c r="E165" s="21" t="s">
        <v>180</v>
      </c>
      <c r="F165" s="23" t="s">
        <v>56</v>
      </c>
      <c r="G165" s="28"/>
      <c r="H165" s="19">
        <f>H166</f>
        <v>410</v>
      </c>
      <c r="I165" s="19">
        <f>I166</f>
        <v>310</v>
      </c>
      <c r="J165" s="19">
        <f>J166</f>
        <v>310</v>
      </c>
      <c r="K165" s="1"/>
      <c r="L165" s="1"/>
      <c r="M165" s="1"/>
      <c r="N165" s="1"/>
    </row>
    <row r="166" spans="2:14" s="53" customFormat="1" ht="25.5" x14ac:dyDescent="0.2">
      <c r="B166" s="20" t="s">
        <v>155</v>
      </c>
      <c r="C166" s="21" t="s">
        <v>9</v>
      </c>
      <c r="D166" s="21" t="s">
        <v>161</v>
      </c>
      <c r="E166" s="21" t="s">
        <v>180</v>
      </c>
      <c r="F166" s="23" t="s">
        <v>156</v>
      </c>
      <c r="G166" s="48"/>
      <c r="H166" s="19">
        <f>H167+H169+H171</f>
        <v>410</v>
      </c>
      <c r="I166" s="19">
        <f>I167+I169+I171</f>
        <v>310</v>
      </c>
      <c r="J166" s="19">
        <f>J167+J169+J171</f>
        <v>310</v>
      </c>
      <c r="K166" s="1"/>
      <c r="L166" s="1"/>
      <c r="M166" s="1"/>
      <c r="N166" s="1"/>
    </row>
    <row r="167" spans="2:14" s="53" customFormat="1" ht="54" customHeight="1" x14ac:dyDescent="0.2">
      <c r="B167" s="20" t="s">
        <v>196</v>
      </c>
      <c r="C167" s="21" t="s">
        <v>9</v>
      </c>
      <c r="D167" s="21" t="s">
        <v>161</v>
      </c>
      <c r="E167" s="21" t="s">
        <v>180</v>
      </c>
      <c r="F167" s="23" t="s">
        <v>197</v>
      </c>
      <c r="G167" s="48"/>
      <c r="H167" s="19">
        <f>H168</f>
        <v>80</v>
      </c>
      <c r="I167" s="19">
        <f>I168</f>
        <v>20</v>
      </c>
      <c r="J167" s="19">
        <f>J168</f>
        <v>20</v>
      </c>
      <c r="K167" s="1"/>
      <c r="L167" s="1"/>
      <c r="M167" s="1"/>
      <c r="N167" s="1"/>
    </row>
    <row r="168" spans="2:14" s="53" customFormat="1" ht="25.5" x14ac:dyDescent="0.2">
      <c r="B168" s="20" t="s">
        <v>34</v>
      </c>
      <c r="C168" s="21" t="s">
        <v>9</v>
      </c>
      <c r="D168" s="21" t="s">
        <v>161</v>
      </c>
      <c r="E168" s="21" t="s">
        <v>180</v>
      </c>
      <c r="F168" s="23" t="s">
        <v>197</v>
      </c>
      <c r="G168" s="48" t="s">
        <v>35</v>
      </c>
      <c r="H168" s="19">
        <v>80</v>
      </c>
      <c r="I168" s="19">
        <v>20</v>
      </c>
      <c r="J168" s="19">
        <v>20</v>
      </c>
      <c r="K168" s="1"/>
      <c r="L168" s="1"/>
      <c r="M168" s="1"/>
      <c r="N168" s="1"/>
    </row>
    <row r="169" spans="2:14" s="53" customFormat="1" ht="25.5" x14ac:dyDescent="0.2">
      <c r="B169" s="20" t="s">
        <v>198</v>
      </c>
      <c r="C169" s="21" t="s">
        <v>9</v>
      </c>
      <c r="D169" s="21" t="s">
        <v>161</v>
      </c>
      <c r="E169" s="21" t="s">
        <v>180</v>
      </c>
      <c r="F169" s="23" t="s">
        <v>199</v>
      </c>
      <c r="G169" s="48"/>
      <c r="H169" s="19">
        <f>H170</f>
        <v>250</v>
      </c>
      <c r="I169" s="19">
        <f>I170</f>
        <v>250</v>
      </c>
      <c r="J169" s="19">
        <f>J170</f>
        <v>250</v>
      </c>
      <c r="K169" s="1"/>
      <c r="L169" s="1"/>
      <c r="M169" s="1"/>
      <c r="N169" s="1"/>
    </row>
    <row r="170" spans="2:14" s="53" customFormat="1" ht="25.5" x14ac:dyDescent="0.2">
      <c r="B170" s="20" t="s">
        <v>34</v>
      </c>
      <c r="C170" s="21" t="s">
        <v>9</v>
      </c>
      <c r="D170" s="21" t="s">
        <v>161</v>
      </c>
      <c r="E170" s="21" t="s">
        <v>180</v>
      </c>
      <c r="F170" s="23" t="s">
        <v>199</v>
      </c>
      <c r="G170" s="48" t="s">
        <v>35</v>
      </c>
      <c r="H170" s="19">
        <v>250</v>
      </c>
      <c r="I170" s="19">
        <v>250</v>
      </c>
      <c r="J170" s="19">
        <v>250</v>
      </c>
      <c r="K170" s="1"/>
      <c r="L170" s="1"/>
      <c r="M170" s="1"/>
      <c r="N170" s="1"/>
    </row>
    <row r="171" spans="2:14" s="53" customFormat="1" ht="51" x14ac:dyDescent="0.2">
      <c r="B171" s="20" t="s">
        <v>157</v>
      </c>
      <c r="C171" s="21" t="s">
        <v>9</v>
      </c>
      <c r="D171" s="21" t="s">
        <v>161</v>
      </c>
      <c r="E171" s="21" t="s">
        <v>180</v>
      </c>
      <c r="F171" s="23" t="s">
        <v>158</v>
      </c>
      <c r="G171" s="48"/>
      <c r="H171" s="19">
        <f>H172+H173</f>
        <v>80</v>
      </c>
      <c r="I171" s="19">
        <f>I172+I173</f>
        <v>40</v>
      </c>
      <c r="J171" s="19">
        <f>J172+J173</f>
        <v>40</v>
      </c>
      <c r="K171" s="1"/>
      <c r="L171" s="1"/>
      <c r="M171" s="1"/>
      <c r="N171" s="1"/>
    </row>
    <row r="172" spans="2:14" s="53" customFormat="1" ht="25.5" x14ac:dyDescent="0.2">
      <c r="B172" s="20" t="s">
        <v>34</v>
      </c>
      <c r="C172" s="21" t="s">
        <v>9</v>
      </c>
      <c r="D172" s="21" t="s">
        <v>161</v>
      </c>
      <c r="E172" s="21" t="s">
        <v>180</v>
      </c>
      <c r="F172" s="23" t="s">
        <v>158</v>
      </c>
      <c r="G172" s="48" t="s">
        <v>35</v>
      </c>
      <c r="H172" s="19">
        <v>55</v>
      </c>
      <c r="I172" s="19">
        <v>15</v>
      </c>
      <c r="J172" s="19">
        <v>15</v>
      </c>
      <c r="K172" s="1"/>
      <c r="L172" s="1"/>
      <c r="M172" s="1"/>
      <c r="N172" s="1"/>
    </row>
    <row r="173" spans="2:14" s="53" customFormat="1" x14ac:dyDescent="0.2">
      <c r="B173" s="40" t="s">
        <v>190</v>
      </c>
      <c r="C173" s="21" t="s">
        <v>9</v>
      </c>
      <c r="D173" s="21" t="s">
        <v>161</v>
      </c>
      <c r="E173" s="21" t="s">
        <v>180</v>
      </c>
      <c r="F173" s="23" t="s">
        <v>158</v>
      </c>
      <c r="G173" s="48" t="s">
        <v>191</v>
      </c>
      <c r="H173" s="19">
        <f>5+20</f>
        <v>25</v>
      </c>
      <c r="I173" s="19">
        <f>5+20</f>
        <v>25</v>
      </c>
      <c r="J173" s="19">
        <f>5+20</f>
        <v>25</v>
      </c>
      <c r="K173" s="1"/>
      <c r="L173" s="1"/>
      <c r="M173" s="1"/>
      <c r="N173" s="1"/>
    </row>
    <row r="174" spans="2:14" s="1" customFormat="1" x14ac:dyDescent="0.2">
      <c r="B174" s="58" t="s">
        <v>200</v>
      </c>
      <c r="C174" s="16" t="s">
        <v>9</v>
      </c>
      <c r="D174" s="16" t="s">
        <v>26</v>
      </c>
      <c r="E174" s="16"/>
      <c r="F174" s="16"/>
      <c r="G174" s="16"/>
      <c r="H174" s="19">
        <f>H175+H181+H190+H210</f>
        <v>37728.600000000006</v>
      </c>
      <c r="I174" s="19">
        <f>I175+I181+I190+I210</f>
        <v>38896.200000000004</v>
      </c>
      <c r="J174" s="19">
        <f>J175+J181+J190+J210</f>
        <v>29233.200000000004</v>
      </c>
    </row>
    <row r="175" spans="2:14" s="1" customFormat="1" x14ac:dyDescent="0.2">
      <c r="B175" s="58" t="s">
        <v>201</v>
      </c>
      <c r="C175" s="16" t="s">
        <v>9</v>
      </c>
      <c r="D175" s="16" t="s">
        <v>26</v>
      </c>
      <c r="E175" s="16" t="s">
        <v>11</v>
      </c>
      <c r="F175" s="16"/>
      <c r="G175" s="16"/>
      <c r="H175" s="19">
        <f t="shared" ref="H175:J179" si="21">H176</f>
        <v>565</v>
      </c>
      <c r="I175" s="19">
        <f t="shared" si="21"/>
        <v>565</v>
      </c>
      <c r="J175" s="19">
        <f t="shared" si="21"/>
        <v>565</v>
      </c>
    </row>
    <row r="176" spans="2:14" s="53" customFormat="1" ht="25.5" x14ac:dyDescent="0.2">
      <c r="B176" s="49" t="s">
        <v>202</v>
      </c>
      <c r="C176" s="21" t="s">
        <v>9</v>
      </c>
      <c r="D176" s="21" t="s">
        <v>26</v>
      </c>
      <c r="E176" s="21" t="s">
        <v>11</v>
      </c>
      <c r="F176" s="23" t="s">
        <v>203</v>
      </c>
      <c r="G176" s="28"/>
      <c r="H176" s="19">
        <f>H177</f>
        <v>565</v>
      </c>
      <c r="I176" s="19">
        <f t="shared" si="21"/>
        <v>565</v>
      </c>
      <c r="J176" s="19">
        <f t="shared" si="21"/>
        <v>565</v>
      </c>
      <c r="K176" s="1"/>
      <c r="L176" s="1"/>
      <c r="M176" s="1"/>
      <c r="N176" s="1"/>
    </row>
    <row r="177" spans="2:14" s="53" customFormat="1" x14ac:dyDescent="0.2">
      <c r="B177" s="29" t="s">
        <v>16</v>
      </c>
      <c r="C177" s="21" t="s">
        <v>9</v>
      </c>
      <c r="D177" s="21" t="s">
        <v>26</v>
      </c>
      <c r="E177" s="21" t="s">
        <v>11</v>
      </c>
      <c r="F177" s="23" t="s">
        <v>204</v>
      </c>
      <c r="G177" s="28"/>
      <c r="H177" s="19">
        <f>H178</f>
        <v>565</v>
      </c>
      <c r="I177" s="19">
        <f t="shared" si="21"/>
        <v>565</v>
      </c>
      <c r="J177" s="19">
        <f t="shared" si="21"/>
        <v>565</v>
      </c>
      <c r="K177" s="1"/>
      <c r="L177" s="1"/>
      <c r="M177" s="1"/>
      <c r="N177" s="1"/>
    </row>
    <row r="178" spans="2:14" s="53" customFormat="1" ht="27" customHeight="1" x14ac:dyDescent="0.2">
      <c r="B178" s="67" t="s">
        <v>205</v>
      </c>
      <c r="C178" s="21" t="s">
        <v>9</v>
      </c>
      <c r="D178" s="21" t="s">
        <v>26</v>
      </c>
      <c r="E178" s="21" t="s">
        <v>11</v>
      </c>
      <c r="F178" s="23" t="s">
        <v>206</v>
      </c>
      <c r="G178" s="28"/>
      <c r="H178" s="68">
        <f>H179</f>
        <v>565</v>
      </c>
      <c r="I178" s="68">
        <f t="shared" si="21"/>
        <v>565</v>
      </c>
      <c r="J178" s="68">
        <f t="shared" si="21"/>
        <v>565</v>
      </c>
      <c r="K178" s="1"/>
      <c r="L178" s="1"/>
      <c r="M178" s="1"/>
      <c r="N178" s="1"/>
    </row>
    <row r="179" spans="2:14" s="53" customFormat="1" ht="15.75" customHeight="1" x14ac:dyDescent="0.2">
      <c r="B179" s="20" t="s">
        <v>207</v>
      </c>
      <c r="C179" s="21" t="s">
        <v>9</v>
      </c>
      <c r="D179" s="21" t="s">
        <v>26</v>
      </c>
      <c r="E179" s="21" t="s">
        <v>11</v>
      </c>
      <c r="F179" s="69" t="s">
        <v>208</v>
      </c>
      <c r="G179" s="28"/>
      <c r="H179" s="68">
        <f>H180</f>
        <v>565</v>
      </c>
      <c r="I179" s="68">
        <f t="shared" si="21"/>
        <v>565</v>
      </c>
      <c r="J179" s="70">
        <f t="shared" si="21"/>
        <v>565</v>
      </c>
      <c r="K179" s="1"/>
      <c r="L179" s="1"/>
      <c r="M179" s="1"/>
      <c r="N179" s="1"/>
    </row>
    <row r="180" spans="2:14" s="53" customFormat="1" ht="25.5" x14ac:dyDescent="0.2">
      <c r="B180" s="20" t="s">
        <v>34</v>
      </c>
      <c r="C180" s="21" t="s">
        <v>9</v>
      </c>
      <c r="D180" s="21" t="s">
        <v>26</v>
      </c>
      <c r="E180" s="21" t="s">
        <v>11</v>
      </c>
      <c r="F180" s="31" t="s">
        <v>208</v>
      </c>
      <c r="G180" s="28" t="s">
        <v>35</v>
      </c>
      <c r="H180" s="68">
        <v>565</v>
      </c>
      <c r="I180" s="68">
        <v>565</v>
      </c>
      <c r="J180" s="70">
        <v>565</v>
      </c>
      <c r="K180" s="1"/>
      <c r="L180" s="1"/>
      <c r="M180" s="1"/>
      <c r="N180" s="1"/>
    </row>
    <row r="181" spans="2:14" s="59" customFormat="1" x14ac:dyDescent="0.2">
      <c r="B181" s="15" t="s">
        <v>209</v>
      </c>
      <c r="C181" s="16" t="s">
        <v>9</v>
      </c>
      <c r="D181" s="16" t="s">
        <v>26</v>
      </c>
      <c r="E181" s="16" t="s">
        <v>210</v>
      </c>
      <c r="F181" s="71"/>
      <c r="G181" s="16"/>
      <c r="H181" s="17">
        <f t="shared" ref="H181:J185" si="22">H182</f>
        <v>20225.900000000001</v>
      </c>
      <c r="I181" s="17">
        <f t="shared" si="22"/>
        <v>20563.300000000003</v>
      </c>
      <c r="J181" s="17">
        <f t="shared" si="22"/>
        <v>10670.300000000001</v>
      </c>
    </row>
    <row r="182" spans="2:14" s="53" customFormat="1" ht="24.75" customHeight="1" x14ac:dyDescent="0.2">
      <c r="B182" s="37" t="s">
        <v>211</v>
      </c>
      <c r="C182" s="21" t="s">
        <v>9</v>
      </c>
      <c r="D182" s="21" t="s">
        <v>26</v>
      </c>
      <c r="E182" s="21" t="s">
        <v>210</v>
      </c>
      <c r="F182" s="23" t="s">
        <v>212</v>
      </c>
      <c r="G182" s="28"/>
      <c r="H182" s="36">
        <f t="shared" si="22"/>
        <v>20225.900000000001</v>
      </c>
      <c r="I182" s="36">
        <f t="shared" si="22"/>
        <v>20563.300000000003</v>
      </c>
      <c r="J182" s="36">
        <f t="shared" si="22"/>
        <v>10670.300000000001</v>
      </c>
      <c r="K182" s="1"/>
      <c r="L182" s="1"/>
      <c r="M182" s="1"/>
      <c r="N182" s="1"/>
    </row>
    <row r="183" spans="2:14" s="53" customFormat="1" ht="17.25" customHeight="1" x14ac:dyDescent="0.2">
      <c r="B183" s="20" t="s">
        <v>16</v>
      </c>
      <c r="C183" s="21" t="s">
        <v>9</v>
      </c>
      <c r="D183" s="21" t="s">
        <v>26</v>
      </c>
      <c r="E183" s="21" t="s">
        <v>210</v>
      </c>
      <c r="F183" s="23" t="s">
        <v>213</v>
      </c>
      <c r="G183" s="28"/>
      <c r="H183" s="36">
        <f>H184+H187</f>
        <v>20225.900000000001</v>
      </c>
      <c r="I183" s="36">
        <f>I184+I187</f>
        <v>20563.300000000003</v>
      </c>
      <c r="J183" s="36">
        <f>J184+J187</f>
        <v>10670.300000000001</v>
      </c>
      <c r="K183" s="1"/>
      <c r="L183" s="1"/>
      <c r="M183" s="1"/>
      <c r="N183" s="1"/>
    </row>
    <row r="184" spans="2:14" s="53" customFormat="1" ht="28.5" customHeight="1" x14ac:dyDescent="0.2">
      <c r="B184" s="20" t="s">
        <v>214</v>
      </c>
      <c r="C184" s="21" t="s">
        <v>9</v>
      </c>
      <c r="D184" s="21" t="s">
        <v>26</v>
      </c>
      <c r="E184" s="21" t="s">
        <v>210</v>
      </c>
      <c r="F184" s="23" t="s">
        <v>215</v>
      </c>
      <c r="G184" s="28"/>
      <c r="H184" s="36">
        <f>H185</f>
        <v>4093.2</v>
      </c>
      <c r="I184" s="36">
        <f t="shared" si="22"/>
        <v>3977.9</v>
      </c>
      <c r="J184" s="36">
        <f t="shared" si="22"/>
        <v>3977.9</v>
      </c>
      <c r="K184" s="1"/>
      <c r="L184" s="1"/>
      <c r="M184" s="1"/>
      <c r="N184" s="1"/>
    </row>
    <row r="185" spans="2:14" s="53" customFormat="1" ht="28.5" customHeight="1" x14ac:dyDescent="0.2">
      <c r="B185" s="50" t="s">
        <v>216</v>
      </c>
      <c r="C185" s="21" t="s">
        <v>9</v>
      </c>
      <c r="D185" s="21" t="s">
        <v>26</v>
      </c>
      <c r="E185" s="21" t="s">
        <v>210</v>
      </c>
      <c r="F185" s="23" t="s">
        <v>217</v>
      </c>
      <c r="G185" s="28"/>
      <c r="H185" s="36">
        <f>H186</f>
        <v>4093.2</v>
      </c>
      <c r="I185" s="36">
        <f t="shared" si="22"/>
        <v>3977.9</v>
      </c>
      <c r="J185" s="36">
        <f t="shared" si="22"/>
        <v>3977.9</v>
      </c>
      <c r="K185" s="1"/>
      <c r="L185" s="1"/>
      <c r="M185" s="1"/>
      <c r="N185" s="1"/>
    </row>
    <row r="186" spans="2:14" s="53" customFormat="1" ht="15.75" customHeight="1" x14ac:dyDescent="0.2">
      <c r="B186" s="72" t="s">
        <v>145</v>
      </c>
      <c r="C186" s="21" t="s">
        <v>9</v>
      </c>
      <c r="D186" s="21" t="s">
        <v>26</v>
      </c>
      <c r="E186" s="21" t="s">
        <v>210</v>
      </c>
      <c r="F186" s="23" t="s">
        <v>217</v>
      </c>
      <c r="G186" s="28" t="s">
        <v>101</v>
      </c>
      <c r="H186" s="19">
        <f>3929.5+163.7</f>
        <v>4093.2</v>
      </c>
      <c r="I186" s="19">
        <f>3818.8+159.1</f>
        <v>3977.9</v>
      </c>
      <c r="J186" s="19">
        <f>3818.8+159.1</f>
        <v>3977.9</v>
      </c>
      <c r="K186" s="1"/>
      <c r="L186" s="1"/>
      <c r="M186" s="1"/>
      <c r="N186" s="1"/>
    </row>
    <row r="187" spans="2:14" s="53" customFormat="1" ht="30" customHeight="1" x14ac:dyDescent="0.2">
      <c r="B187" s="72" t="s">
        <v>218</v>
      </c>
      <c r="C187" s="21" t="s">
        <v>9</v>
      </c>
      <c r="D187" s="21" t="s">
        <v>26</v>
      </c>
      <c r="E187" s="21" t="s">
        <v>210</v>
      </c>
      <c r="F187" s="23" t="s">
        <v>219</v>
      </c>
      <c r="G187" s="73"/>
      <c r="H187" s="19">
        <f t="shared" ref="H187:J188" si="23">H188</f>
        <v>16132.7</v>
      </c>
      <c r="I187" s="19">
        <f t="shared" si="23"/>
        <v>16585.400000000001</v>
      </c>
      <c r="J187" s="19">
        <f t="shared" si="23"/>
        <v>6692.4000000000015</v>
      </c>
      <c r="K187" s="1"/>
      <c r="L187" s="1"/>
      <c r="M187" s="1"/>
      <c r="N187" s="1"/>
    </row>
    <row r="188" spans="2:14" s="53" customFormat="1" ht="29.25" customHeight="1" x14ac:dyDescent="0.2">
      <c r="B188" s="72" t="s">
        <v>220</v>
      </c>
      <c r="C188" s="21" t="s">
        <v>9</v>
      </c>
      <c r="D188" s="21" t="s">
        <v>26</v>
      </c>
      <c r="E188" s="21" t="s">
        <v>210</v>
      </c>
      <c r="F188" s="23" t="s">
        <v>221</v>
      </c>
      <c r="G188" s="73"/>
      <c r="H188" s="19">
        <f t="shared" si="23"/>
        <v>16132.7</v>
      </c>
      <c r="I188" s="19">
        <f t="shared" si="23"/>
        <v>16585.400000000001</v>
      </c>
      <c r="J188" s="19">
        <f t="shared" si="23"/>
        <v>6692.4000000000015</v>
      </c>
      <c r="K188" s="1"/>
      <c r="L188" s="1"/>
      <c r="M188" s="1"/>
      <c r="N188" s="1"/>
    </row>
    <row r="189" spans="2:14" s="53" customFormat="1" ht="16.5" customHeight="1" x14ac:dyDescent="0.2">
      <c r="B189" s="72" t="s">
        <v>145</v>
      </c>
      <c r="C189" s="21" t="s">
        <v>9</v>
      </c>
      <c r="D189" s="21" t="s">
        <v>26</v>
      </c>
      <c r="E189" s="21" t="s">
        <v>210</v>
      </c>
      <c r="F189" s="23" t="s">
        <v>221</v>
      </c>
      <c r="G189" s="28" t="s">
        <v>101</v>
      </c>
      <c r="H189" s="19">
        <f>20225.9-4093.2</f>
        <v>16132.7</v>
      </c>
      <c r="I189" s="19">
        <f>17938.3-3977.9+2625</f>
        <v>16585.400000000001</v>
      </c>
      <c r="J189" s="19">
        <f>18683.4-3977.9-10656.1+2643</f>
        <v>6692.4000000000015</v>
      </c>
      <c r="K189" s="1"/>
      <c r="L189" s="1"/>
      <c r="M189" s="1"/>
      <c r="N189" s="1"/>
    </row>
    <row r="190" spans="2:14" s="75" customFormat="1" ht="14.25" customHeight="1" x14ac:dyDescent="0.2">
      <c r="B190" s="74" t="s">
        <v>222</v>
      </c>
      <c r="C190" s="16" t="s">
        <v>9</v>
      </c>
      <c r="D190" s="16" t="s">
        <v>26</v>
      </c>
      <c r="E190" s="16" t="s">
        <v>166</v>
      </c>
      <c r="F190" s="16"/>
      <c r="G190" s="16"/>
      <c r="H190" s="17">
        <f>H191+H205</f>
        <v>15799.900000000001</v>
      </c>
      <c r="I190" s="17">
        <f>I191+I205</f>
        <v>16801.900000000001</v>
      </c>
      <c r="J190" s="17">
        <f>J191+J205</f>
        <v>17131.900000000001</v>
      </c>
      <c r="K190" s="59"/>
      <c r="L190" s="59"/>
      <c r="M190" s="59"/>
      <c r="N190" s="59"/>
    </row>
    <row r="191" spans="2:14" s="75" customFormat="1" ht="28.5" customHeight="1" x14ac:dyDescent="0.2">
      <c r="B191" s="20" t="s">
        <v>211</v>
      </c>
      <c r="C191" s="21" t="s">
        <v>9</v>
      </c>
      <c r="D191" s="21" t="s">
        <v>26</v>
      </c>
      <c r="E191" s="21" t="s">
        <v>166</v>
      </c>
      <c r="F191" s="21" t="s">
        <v>212</v>
      </c>
      <c r="G191" s="21"/>
      <c r="H191" s="17">
        <f>H192+H198</f>
        <v>15799.900000000001</v>
      </c>
      <c r="I191" s="17">
        <f>I192+I198</f>
        <v>16801.900000000001</v>
      </c>
      <c r="J191" s="17">
        <f>J192+J198</f>
        <v>17131.900000000001</v>
      </c>
      <c r="K191" s="59"/>
      <c r="L191" s="59"/>
      <c r="M191" s="59"/>
      <c r="N191" s="59"/>
    </row>
    <row r="192" spans="2:14" s="75" customFormat="1" ht="15" customHeight="1" x14ac:dyDescent="0.2">
      <c r="B192" s="38" t="s">
        <v>48</v>
      </c>
      <c r="C192" s="21" t="s">
        <v>9</v>
      </c>
      <c r="D192" s="21" t="s">
        <v>26</v>
      </c>
      <c r="E192" s="21" t="s">
        <v>166</v>
      </c>
      <c r="F192" s="23" t="s">
        <v>223</v>
      </c>
      <c r="G192" s="21"/>
      <c r="H192" s="19">
        <f>H193</f>
        <v>2370.3000000000002</v>
      </c>
      <c r="I192" s="19">
        <f>I193</f>
        <v>3551.9</v>
      </c>
      <c r="J192" s="19">
        <f>J193</f>
        <v>3581.9</v>
      </c>
      <c r="K192" s="59"/>
      <c r="L192" s="59"/>
      <c r="M192" s="59"/>
      <c r="N192" s="59"/>
    </row>
    <row r="193" spans="2:14" s="75" customFormat="1" ht="28.5" customHeight="1" x14ac:dyDescent="0.2">
      <c r="B193" s="20" t="s">
        <v>224</v>
      </c>
      <c r="C193" s="21" t="s">
        <v>9</v>
      </c>
      <c r="D193" s="21" t="s">
        <v>26</v>
      </c>
      <c r="E193" s="21" t="s">
        <v>166</v>
      </c>
      <c r="F193" s="23" t="s">
        <v>225</v>
      </c>
      <c r="G193" s="21"/>
      <c r="H193" s="19">
        <f>H194+H196</f>
        <v>2370.3000000000002</v>
      </c>
      <c r="I193" s="19">
        <f>I194+I196</f>
        <v>3551.9</v>
      </c>
      <c r="J193" s="19">
        <f>J194+J196</f>
        <v>3581.9</v>
      </c>
      <c r="K193" s="59"/>
      <c r="L193" s="59"/>
      <c r="M193" s="59"/>
      <c r="N193" s="59"/>
    </row>
    <row r="194" spans="2:14" s="75" customFormat="1" ht="45.75" customHeight="1" x14ac:dyDescent="0.2">
      <c r="B194" s="20" t="s">
        <v>226</v>
      </c>
      <c r="C194" s="21" t="s">
        <v>9</v>
      </c>
      <c r="D194" s="21" t="s">
        <v>26</v>
      </c>
      <c r="E194" s="21" t="s">
        <v>166</v>
      </c>
      <c r="F194" s="23" t="s">
        <v>227</v>
      </c>
      <c r="G194" s="21"/>
      <c r="H194" s="19">
        <f>H195</f>
        <v>631.9</v>
      </c>
      <c r="I194" s="19">
        <f>I195</f>
        <v>631.9</v>
      </c>
      <c r="J194" s="19">
        <f>J195</f>
        <v>631.9</v>
      </c>
      <c r="K194" s="59"/>
      <c r="L194" s="59"/>
      <c r="M194" s="59"/>
      <c r="N194" s="59"/>
    </row>
    <row r="195" spans="2:14" s="75" customFormat="1" ht="27.75" customHeight="1" x14ac:dyDescent="0.2">
      <c r="B195" s="20" t="s">
        <v>34</v>
      </c>
      <c r="C195" s="21" t="s">
        <v>9</v>
      </c>
      <c r="D195" s="21" t="s">
        <v>26</v>
      </c>
      <c r="E195" s="21" t="s">
        <v>166</v>
      </c>
      <c r="F195" s="23" t="s">
        <v>227</v>
      </c>
      <c r="G195" s="21" t="s">
        <v>35</v>
      </c>
      <c r="H195" s="19">
        <f>612.9+19</f>
        <v>631.9</v>
      </c>
      <c r="I195" s="19">
        <f>612.9+19</f>
        <v>631.9</v>
      </c>
      <c r="J195" s="19">
        <f>612.9+19</f>
        <v>631.9</v>
      </c>
      <c r="K195" s="59"/>
      <c r="L195" s="59"/>
      <c r="M195" s="59"/>
      <c r="N195" s="59"/>
    </row>
    <row r="196" spans="2:14" s="75" customFormat="1" ht="29.25" customHeight="1" x14ac:dyDescent="0.2">
      <c r="B196" s="20" t="s">
        <v>228</v>
      </c>
      <c r="C196" s="21" t="s">
        <v>9</v>
      </c>
      <c r="D196" s="21" t="s">
        <v>26</v>
      </c>
      <c r="E196" s="21" t="s">
        <v>166</v>
      </c>
      <c r="F196" s="23" t="s">
        <v>229</v>
      </c>
      <c r="G196" s="21"/>
      <c r="H196" s="19">
        <f>H197</f>
        <v>1738.4</v>
      </c>
      <c r="I196" s="19">
        <f>I197</f>
        <v>2920</v>
      </c>
      <c r="J196" s="19">
        <f>J197</f>
        <v>2950</v>
      </c>
      <c r="K196" s="59"/>
      <c r="L196" s="59"/>
      <c r="M196" s="59"/>
      <c r="N196" s="59"/>
    </row>
    <row r="197" spans="2:14" s="75" customFormat="1" ht="27.75" customHeight="1" x14ac:dyDescent="0.2">
      <c r="B197" s="20" t="s">
        <v>34</v>
      </c>
      <c r="C197" s="21" t="s">
        <v>9</v>
      </c>
      <c r="D197" s="21" t="s">
        <v>26</v>
      </c>
      <c r="E197" s="21" t="s">
        <v>166</v>
      </c>
      <c r="F197" s="23" t="s">
        <v>229</v>
      </c>
      <c r="G197" s="21" t="s">
        <v>35</v>
      </c>
      <c r="H197" s="19">
        <v>1738.4</v>
      </c>
      <c r="I197" s="19">
        <v>2920</v>
      </c>
      <c r="J197" s="19">
        <v>2950</v>
      </c>
      <c r="K197" s="59"/>
      <c r="L197" s="59"/>
      <c r="M197" s="59"/>
      <c r="N197" s="59"/>
    </row>
    <row r="198" spans="2:14" s="75" customFormat="1" ht="15.75" customHeight="1" x14ac:dyDescent="0.2">
      <c r="B198" s="20" t="s">
        <v>16</v>
      </c>
      <c r="C198" s="21" t="s">
        <v>9</v>
      </c>
      <c r="D198" s="21" t="s">
        <v>26</v>
      </c>
      <c r="E198" s="21" t="s">
        <v>166</v>
      </c>
      <c r="F198" s="23" t="s">
        <v>213</v>
      </c>
      <c r="G198" s="48"/>
      <c r="H198" s="19">
        <f>H199+H202</f>
        <v>13429.6</v>
      </c>
      <c r="I198" s="19">
        <f>I199+I202</f>
        <v>13250</v>
      </c>
      <c r="J198" s="19">
        <f>J199+J202</f>
        <v>13550</v>
      </c>
      <c r="K198" s="59"/>
      <c r="L198" s="59"/>
      <c r="M198" s="59"/>
      <c r="N198" s="59"/>
    </row>
    <row r="199" spans="2:14" s="75" customFormat="1" ht="27.75" customHeight="1" x14ac:dyDescent="0.2">
      <c r="B199" s="20" t="s">
        <v>230</v>
      </c>
      <c r="C199" s="21" t="s">
        <v>9</v>
      </c>
      <c r="D199" s="21" t="s">
        <v>26</v>
      </c>
      <c r="E199" s="21" t="s">
        <v>166</v>
      </c>
      <c r="F199" s="23" t="s">
        <v>231</v>
      </c>
      <c r="G199" s="48"/>
      <c r="H199" s="19">
        <f t="shared" ref="H199:J200" si="24">H200</f>
        <v>13050</v>
      </c>
      <c r="I199" s="19">
        <f t="shared" si="24"/>
        <v>13000</v>
      </c>
      <c r="J199" s="19">
        <f t="shared" si="24"/>
        <v>13300</v>
      </c>
      <c r="K199" s="59"/>
      <c r="L199" s="59"/>
      <c r="M199" s="59"/>
      <c r="N199" s="59"/>
    </row>
    <row r="200" spans="2:14" s="75" customFormat="1" ht="27.75" customHeight="1" x14ac:dyDescent="0.2">
      <c r="B200" s="20" t="s">
        <v>232</v>
      </c>
      <c r="C200" s="21" t="s">
        <v>9</v>
      </c>
      <c r="D200" s="21" t="s">
        <v>26</v>
      </c>
      <c r="E200" s="21" t="s">
        <v>166</v>
      </c>
      <c r="F200" s="23" t="s">
        <v>233</v>
      </c>
      <c r="G200" s="48"/>
      <c r="H200" s="19">
        <f t="shared" si="24"/>
        <v>13050</v>
      </c>
      <c r="I200" s="19">
        <f t="shared" si="24"/>
        <v>13000</v>
      </c>
      <c r="J200" s="19">
        <f t="shared" si="24"/>
        <v>13300</v>
      </c>
      <c r="K200" s="59"/>
      <c r="L200" s="59"/>
      <c r="M200" s="59"/>
      <c r="N200" s="59"/>
    </row>
    <row r="201" spans="2:14" s="75" customFormat="1" ht="27.75" customHeight="1" x14ac:dyDescent="0.2">
      <c r="B201" s="20" t="s">
        <v>34</v>
      </c>
      <c r="C201" s="21" t="s">
        <v>9</v>
      </c>
      <c r="D201" s="21" t="s">
        <v>26</v>
      </c>
      <c r="E201" s="21" t="s">
        <v>166</v>
      </c>
      <c r="F201" s="23" t="s">
        <v>233</v>
      </c>
      <c r="G201" s="48" t="s">
        <v>35</v>
      </c>
      <c r="H201" s="19">
        <f>12000+1050</f>
        <v>13050</v>
      </c>
      <c r="I201" s="19">
        <v>13000</v>
      </c>
      <c r="J201" s="19">
        <v>13300</v>
      </c>
      <c r="K201" s="59"/>
      <c r="L201" s="59"/>
      <c r="M201" s="59"/>
      <c r="N201" s="59"/>
    </row>
    <row r="202" spans="2:14" s="75" customFormat="1" ht="27.75" customHeight="1" x14ac:dyDescent="0.2">
      <c r="B202" s="76" t="s">
        <v>234</v>
      </c>
      <c r="C202" s="21" t="s">
        <v>9</v>
      </c>
      <c r="D202" s="21" t="s">
        <v>26</v>
      </c>
      <c r="E202" s="21" t="s">
        <v>166</v>
      </c>
      <c r="F202" s="23" t="s">
        <v>235</v>
      </c>
      <c r="G202" s="21"/>
      <c r="H202" s="19">
        <f t="shared" ref="H202:J203" si="25">H203</f>
        <v>379.6</v>
      </c>
      <c r="I202" s="19">
        <f t="shared" si="25"/>
        <v>250</v>
      </c>
      <c r="J202" s="19">
        <f t="shared" si="25"/>
        <v>250</v>
      </c>
      <c r="K202" s="59"/>
      <c r="L202" s="59"/>
      <c r="M202" s="59"/>
      <c r="N202" s="59"/>
    </row>
    <row r="203" spans="2:14" s="75" customFormat="1" ht="15.75" customHeight="1" x14ac:dyDescent="0.2">
      <c r="B203" s="49" t="s">
        <v>236</v>
      </c>
      <c r="C203" s="21" t="s">
        <v>9</v>
      </c>
      <c r="D203" s="21" t="s">
        <v>26</v>
      </c>
      <c r="E203" s="21" t="s">
        <v>166</v>
      </c>
      <c r="F203" s="23" t="s">
        <v>237</v>
      </c>
      <c r="G203" s="21"/>
      <c r="H203" s="19">
        <f t="shared" si="25"/>
        <v>379.6</v>
      </c>
      <c r="I203" s="19">
        <f t="shared" si="25"/>
        <v>250</v>
      </c>
      <c r="J203" s="19">
        <f t="shared" si="25"/>
        <v>250</v>
      </c>
      <c r="K203" s="59"/>
      <c r="L203" s="59"/>
      <c r="M203" s="59"/>
      <c r="N203" s="59"/>
    </row>
    <row r="204" spans="2:14" s="75" customFormat="1" ht="27.75" customHeight="1" x14ac:dyDescent="0.2">
      <c r="B204" s="20" t="s">
        <v>34</v>
      </c>
      <c r="C204" s="21" t="s">
        <v>9</v>
      </c>
      <c r="D204" s="21" t="s">
        <v>26</v>
      </c>
      <c r="E204" s="21" t="s">
        <v>166</v>
      </c>
      <c r="F204" s="23" t="s">
        <v>237</v>
      </c>
      <c r="G204" s="21" t="s">
        <v>35</v>
      </c>
      <c r="H204" s="19">
        <v>379.6</v>
      </c>
      <c r="I204" s="19">
        <v>250</v>
      </c>
      <c r="J204" s="19">
        <v>250</v>
      </c>
      <c r="K204" s="59"/>
      <c r="L204" s="59"/>
      <c r="M204" s="59"/>
      <c r="N204" s="59"/>
    </row>
    <row r="205" spans="2:14" s="75" customFormat="1" ht="40.5" hidden="1" customHeight="1" x14ac:dyDescent="0.2">
      <c r="B205" s="20" t="s">
        <v>54</v>
      </c>
      <c r="C205" s="21" t="s">
        <v>9</v>
      </c>
      <c r="D205" s="21" t="s">
        <v>26</v>
      </c>
      <c r="E205" s="21" t="s">
        <v>166</v>
      </c>
      <c r="F205" s="23" t="s">
        <v>55</v>
      </c>
      <c r="G205" s="21"/>
      <c r="H205" s="19">
        <f t="shared" ref="H205:J208" si="26">H206</f>
        <v>0</v>
      </c>
      <c r="I205" s="19">
        <f t="shared" si="26"/>
        <v>0</v>
      </c>
      <c r="J205" s="19">
        <f t="shared" si="26"/>
        <v>0</v>
      </c>
      <c r="K205" s="59"/>
      <c r="L205" s="59"/>
      <c r="M205" s="59"/>
      <c r="N205" s="59"/>
    </row>
    <row r="206" spans="2:14" s="75" customFormat="1" ht="16.5" hidden="1" customHeight="1" x14ac:dyDescent="0.2">
      <c r="B206" s="20" t="s">
        <v>16</v>
      </c>
      <c r="C206" s="21" t="s">
        <v>9</v>
      </c>
      <c r="D206" s="21" t="s">
        <v>26</v>
      </c>
      <c r="E206" s="21" t="s">
        <v>166</v>
      </c>
      <c r="F206" s="23" t="s">
        <v>56</v>
      </c>
      <c r="G206" s="21"/>
      <c r="H206" s="19">
        <f t="shared" si="26"/>
        <v>0</v>
      </c>
      <c r="I206" s="19">
        <f t="shared" si="26"/>
        <v>0</v>
      </c>
      <c r="J206" s="19">
        <f t="shared" si="26"/>
        <v>0</v>
      </c>
      <c r="K206" s="59"/>
      <c r="L206" s="59"/>
      <c r="M206" s="59"/>
      <c r="N206" s="59"/>
    </row>
    <row r="207" spans="2:14" s="75" customFormat="1" ht="23.25" hidden="1" customHeight="1" x14ac:dyDescent="0.2">
      <c r="B207" s="20" t="s">
        <v>155</v>
      </c>
      <c r="C207" s="21" t="s">
        <v>9</v>
      </c>
      <c r="D207" s="21" t="s">
        <v>26</v>
      </c>
      <c r="E207" s="21" t="s">
        <v>166</v>
      </c>
      <c r="F207" s="23" t="s">
        <v>156</v>
      </c>
      <c r="G207" s="21"/>
      <c r="H207" s="19">
        <f t="shared" si="26"/>
        <v>0</v>
      </c>
      <c r="I207" s="19">
        <f t="shared" si="26"/>
        <v>0</v>
      </c>
      <c r="J207" s="19">
        <f t="shared" si="26"/>
        <v>0</v>
      </c>
      <c r="K207" s="59"/>
      <c r="L207" s="59"/>
      <c r="M207" s="59"/>
      <c r="N207" s="59"/>
    </row>
    <row r="208" spans="2:14" s="75" customFormat="1" ht="27.75" hidden="1" customHeight="1" x14ac:dyDescent="0.2">
      <c r="B208" s="20" t="s">
        <v>198</v>
      </c>
      <c r="C208" s="21" t="s">
        <v>9</v>
      </c>
      <c r="D208" s="21" t="s">
        <v>26</v>
      </c>
      <c r="E208" s="21" t="s">
        <v>166</v>
      </c>
      <c r="F208" s="23" t="s">
        <v>199</v>
      </c>
      <c r="G208" s="21"/>
      <c r="H208" s="19">
        <f t="shared" si="26"/>
        <v>0</v>
      </c>
      <c r="I208" s="19">
        <f t="shared" si="26"/>
        <v>0</v>
      </c>
      <c r="J208" s="19">
        <f t="shared" si="26"/>
        <v>0</v>
      </c>
      <c r="K208" s="59"/>
      <c r="L208" s="59"/>
      <c r="M208" s="59"/>
      <c r="N208" s="59"/>
    </row>
    <row r="209" spans="2:14" s="75" customFormat="1" ht="27.75" hidden="1" customHeight="1" x14ac:dyDescent="0.2">
      <c r="B209" s="20" t="s">
        <v>34</v>
      </c>
      <c r="C209" s="21" t="s">
        <v>9</v>
      </c>
      <c r="D209" s="21" t="s">
        <v>26</v>
      </c>
      <c r="E209" s="21" t="s">
        <v>166</v>
      </c>
      <c r="F209" s="23" t="s">
        <v>199</v>
      </c>
      <c r="G209" s="21" t="s">
        <v>35</v>
      </c>
      <c r="H209" s="19">
        <f>1050-1050</f>
        <v>0</v>
      </c>
      <c r="I209" s="19">
        <v>0</v>
      </c>
      <c r="J209" s="19">
        <v>0</v>
      </c>
      <c r="K209" s="59"/>
      <c r="L209" s="59"/>
      <c r="M209" s="59"/>
      <c r="N209" s="59"/>
    </row>
    <row r="210" spans="2:14" s="75" customFormat="1" x14ac:dyDescent="0.2">
      <c r="B210" s="77" t="s">
        <v>238</v>
      </c>
      <c r="C210" s="16" t="s">
        <v>9</v>
      </c>
      <c r="D210" s="16" t="s">
        <v>26</v>
      </c>
      <c r="E210" s="16" t="s">
        <v>239</v>
      </c>
      <c r="F210" s="71"/>
      <c r="G210" s="16"/>
      <c r="H210" s="17">
        <f>H211</f>
        <v>1137.8</v>
      </c>
      <c r="I210" s="17">
        <f>I211</f>
        <v>966.00000000000011</v>
      </c>
      <c r="J210" s="17">
        <f>J211</f>
        <v>866.00000000000011</v>
      </c>
      <c r="K210" s="59"/>
      <c r="L210" s="59"/>
      <c r="M210" s="59"/>
      <c r="N210" s="59"/>
    </row>
    <row r="211" spans="2:14" s="53" customFormat="1" ht="25.5" x14ac:dyDescent="0.2">
      <c r="B211" s="20" t="s">
        <v>240</v>
      </c>
      <c r="C211" s="21" t="s">
        <v>9</v>
      </c>
      <c r="D211" s="21" t="s">
        <v>26</v>
      </c>
      <c r="E211" s="21" t="s">
        <v>239</v>
      </c>
      <c r="F211" s="23" t="s">
        <v>241</v>
      </c>
      <c r="G211" s="21"/>
      <c r="H211" s="19">
        <f>H212+H218</f>
        <v>1137.8</v>
      </c>
      <c r="I211" s="19">
        <f>I212+I218</f>
        <v>966.00000000000011</v>
      </c>
      <c r="J211" s="19">
        <f>J212+J218</f>
        <v>866.00000000000011</v>
      </c>
      <c r="K211" s="1"/>
      <c r="L211" s="1"/>
      <c r="M211" s="1"/>
      <c r="N211" s="1"/>
    </row>
    <row r="212" spans="2:14" s="53" customFormat="1" x14ac:dyDescent="0.2">
      <c r="B212" s="33" t="s">
        <v>242</v>
      </c>
      <c r="C212" s="21" t="s">
        <v>9</v>
      </c>
      <c r="D212" s="21" t="s">
        <v>26</v>
      </c>
      <c r="E212" s="21" t="s">
        <v>239</v>
      </c>
      <c r="F212" s="23" t="s">
        <v>243</v>
      </c>
      <c r="G212" s="21"/>
      <c r="H212" s="19">
        <f t="shared" ref="H212:J214" si="27">H213</f>
        <v>107.5</v>
      </c>
      <c r="I212" s="19">
        <f t="shared" si="27"/>
        <v>200</v>
      </c>
      <c r="J212" s="19">
        <f t="shared" si="27"/>
        <v>100</v>
      </c>
      <c r="K212" s="1"/>
      <c r="L212" s="1"/>
      <c r="M212" s="1"/>
      <c r="N212" s="1"/>
    </row>
    <row r="213" spans="2:14" s="53" customFormat="1" x14ac:dyDescent="0.2">
      <c r="B213" s="33" t="s">
        <v>244</v>
      </c>
      <c r="C213" s="21" t="s">
        <v>9</v>
      </c>
      <c r="D213" s="21" t="s">
        <v>26</v>
      </c>
      <c r="E213" s="21" t="s">
        <v>239</v>
      </c>
      <c r="F213" s="23" t="s">
        <v>245</v>
      </c>
      <c r="G213" s="21"/>
      <c r="H213" s="19">
        <f>H214+H216</f>
        <v>107.5</v>
      </c>
      <c r="I213" s="19">
        <f>I214+I216</f>
        <v>200</v>
      </c>
      <c r="J213" s="19">
        <f>J214+J216</f>
        <v>100</v>
      </c>
      <c r="K213" s="1"/>
      <c r="L213" s="1"/>
      <c r="M213" s="1"/>
      <c r="N213" s="1"/>
    </row>
    <row r="214" spans="2:14" s="53" customFormat="1" x14ac:dyDescent="0.2">
      <c r="B214" s="33" t="s">
        <v>246</v>
      </c>
      <c r="C214" s="21" t="s">
        <v>9</v>
      </c>
      <c r="D214" s="21" t="s">
        <v>26</v>
      </c>
      <c r="E214" s="21" t="s">
        <v>239</v>
      </c>
      <c r="F214" s="23" t="s">
        <v>247</v>
      </c>
      <c r="G214" s="21"/>
      <c r="H214" s="19">
        <f t="shared" si="27"/>
        <v>7.5</v>
      </c>
      <c r="I214" s="19">
        <f t="shared" si="27"/>
        <v>100</v>
      </c>
      <c r="J214" s="19">
        <f t="shared" si="27"/>
        <v>0</v>
      </c>
      <c r="K214" s="1"/>
      <c r="L214" s="1"/>
      <c r="M214" s="1"/>
      <c r="N214" s="1"/>
    </row>
    <row r="215" spans="2:14" s="53" customFormat="1" ht="25.5" x14ac:dyDescent="0.2">
      <c r="B215" s="33" t="s">
        <v>34</v>
      </c>
      <c r="C215" s="21" t="s">
        <v>9</v>
      </c>
      <c r="D215" s="21" t="s">
        <v>26</v>
      </c>
      <c r="E215" s="21" t="s">
        <v>239</v>
      </c>
      <c r="F215" s="23" t="s">
        <v>247</v>
      </c>
      <c r="G215" s="21" t="s">
        <v>35</v>
      </c>
      <c r="H215" s="19">
        <v>7.5</v>
      </c>
      <c r="I215" s="19">
        <v>100</v>
      </c>
      <c r="J215" s="19">
        <v>0</v>
      </c>
      <c r="K215" s="1"/>
      <c r="L215" s="1"/>
      <c r="M215" s="1"/>
      <c r="N215" s="1"/>
    </row>
    <row r="216" spans="2:14" s="53" customFormat="1" ht="25.5" x14ac:dyDescent="0.2">
      <c r="B216" s="33" t="s">
        <v>248</v>
      </c>
      <c r="C216" s="21" t="s">
        <v>9</v>
      </c>
      <c r="D216" s="21" t="s">
        <v>26</v>
      </c>
      <c r="E216" s="21" t="s">
        <v>239</v>
      </c>
      <c r="F216" s="23" t="s">
        <v>249</v>
      </c>
      <c r="G216" s="21"/>
      <c r="H216" s="19">
        <f>H217</f>
        <v>100</v>
      </c>
      <c r="I216" s="19">
        <f>I217</f>
        <v>100</v>
      </c>
      <c r="J216" s="19">
        <f>J217</f>
        <v>100</v>
      </c>
      <c r="K216" s="1"/>
      <c r="L216" s="1"/>
      <c r="M216" s="1"/>
      <c r="N216" s="1"/>
    </row>
    <row r="217" spans="2:14" s="53" customFormat="1" ht="25.5" x14ac:dyDescent="0.2">
      <c r="B217" s="33" t="s">
        <v>34</v>
      </c>
      <c r="C217" s="21" t="s">
        <v>9</v>
      </c>
      <c r="D217" s="21" t="s">
        <v>26</v>
      </c>
      <c r="E217" s="21" t="s">
        <v>239</v>
      </c>
      <c r="F217" s="23" t="s">
        <v>249</v>
      </c>
      <c r="G217" s="21" t="s">
        <v>35</v>
      </c>
      <c r="H217" s="19">
        <v>100</v>
      </c>
      <c r="I217" s="19">
        <v>100</v>
      </c>
      <c r="J217" s="19">
        <v>100</v>
      </c>
      <c r="K217" s="1"/>
      <c r="L217" s="1"/>
      <c r="M217" s="1"/>
      <c r="N217" s="1"/>
    </row>
    <row r="218" spans="2:14" s="53" customFormat="1" x14ac:dyDescent="0.2">
      <c r="B218" s="20" t="s">
        <v>16</v>
      </c>
      <c r="C218" s="21" t="s">
        <v>9</v>
      </c>
      <c r="D218" s="21" t="s">
        <v>26</v>
      </c>
      <c r="E218" s="21" t="s">
        <v>239</v>
      </c>
      <c r="F218" s="23" t="s">
        <v>250</v>
      </c>
      <c r="G218" s="21"/>
      <c r="H218" s="19">
        <f>H219</f>
        <v>1030.3</v>
      </c>
      <c r="I218" s="19">
        <f>I219</f>
        <v>766.00000000000011</v>
      </c>
      <c r="J218" s="19">
        <f>J219</f>
        <v>766.00000000000011</v>
      </c>
      <c r="K218" s="1"/>
      <c r="L218" s="1"/>
      <c r="M218" s="1"/>
      <c r="N218" s="1"/>
    </row>
    <row r="219" spans="2:14" s="53" customFormat="1" ht="25.5" x14ac:dyDescent="0.2">
      <c r="B219" s="20" t="s">
        <v>251</v>
      </c>
      <c r="C219" s="21" t="s">
        <v>9</v>
      </c>
      <c r="D219" s="21" t="s">
        <v>26</v>
      </c>
      <c r="E219" s="21" t="s">
        <v>239</v>
      </c>
      <c r="F219" s="23" t="s">
        <v>252</v>
      </c>
      <c r="G219" s="21"/>
      <c r="H219" s="19">
        <f>H220+H222</f>
        <v>1030.3</v>
      </c>
      <c r="I219" s="19">
        <f>I220+I222</f>
        <v>766.00000000000011</v>
      </c>
      <c r="J219" s="19">
        <f>J220+J222</f>
        <v>766.00000000000011</v>
      </c>
      <c r="K219" s="1"/>
      <c r="L219" s="1"/>
      <c r="M219" s="1"/>
      <c r="N219" s="1"/>
    </row>
    <row r="220" spans="2:14" s="53" customFormat="1" ht="25.5" x14ac:dyDescent="0.2">
      <c r="B220" s="33" t="s">
        <v>253</v>
      </c>
      <c r="C220" s="21" t="s">
        <v>9</v>
      </c>
      <c r="D220" s="21" t="s">
        <v>26</v>
      </c>
      <c r="E220" s="21" t="s">
        <v>239</v>
      </c>
      <c r="F220" s="23" t="s">
        <v>254</v>
      </c>
      <c r="G220" s="21"/>
      <c r="H220" s="19">
        <f>H221</f>
        <v>400.5</v>
      </c>
      <c r="I220" s="19">
        <f>I221</f>
        <v>470.30000000000013</v>
      </c>
      <c r="J220" s="19">
        <f>J221</f>
        <v>470.30000000000013</v>
      </c>
      <c r="K220" s="1"/>
      <c r="L220" s="1"/>
      <c r="M220" s="1"/>
      <c r="N220" s="1"/>
    </row>
    <row r="221" spans="2:14" s="53" customFormat="1" ht="41.25" customHeight="1" x14ac:dyDescent="0.2">
      <c r="B221" s="61" t="s">
        <v>94</v>
      </c>
      <c r="C221" s="21" t="s">
        <v>9</v>
      </c>
      <c r="D221" s="21" t="s">
        <v>26</v>
      </c>
      <c r="E221" s="21" t="s">
        <v>239</v>
      </c>
      <c r="F221" s="23" t="s">
        <v>254</v>
      </c>
      <c r="G221" s="21" t="s">
        <v>95</v>
      </c>
      <c r="H221" s="19">
        <f>380.5+20</f>
        <v>400.5</v>
      </c>
      <c r="I221" s="19">
        <f>1048.9+55.2-602.1-31.7</f>
        <v>470.30000000000013</v>
      </c>
      <c r="J221" s="57">
        <f>1048.9+55.2-602.1-31.7</f>
        <v>470.30000000000013</v>
      </c>
      <c r="K221" s="1"/>
      <c r="L221" s="1"/>
      <c r="M221" s="1"/>
      <c r="N221" s="1"/>
    </row>
    <row r="222" spans="2:14" s="53" customFormat="1" ht="30.75" customHeight="1" x14ac:dyDescent="0.2">
      <c r="B222" s="61" t="s">
        <v>255</v>
      </c>
      <c r="C222" s="21" t="s">
        <v>9</v>
      </c>
      <c r="D222" s="21" t="s">
        <v>26</v>
      </c>
      <c r="E222" s="21" t="s">
        <v>239</v>
      </c>
      <c r="F222" s="23" t="s">
        <v>256</v>
      </c>
      <c r="G222" s="21"/>
      <c r="H222" s="19">
        <f>H223</f>
        <v>629.79999999999995</v>
      </c>
      <c r="I222" s="19">
        <f>I223</f>
        <v>295.7</v>
      </c>
      <c r="J222" s="19">
        <f>J223</f>
        <v>295.7</v>
      </c>
      <c r="K222" s="1"/>
      <c r="L222" s="1"/>
      <c r="M222" s="1"/>
      <c r="N222" s="1"/>
    </row>
    <row r="223" spans="2:14" s="53" customFormat="1" ht="41.25" customHeight="1" x14ac:dyDescent="0.2">
      <c r="B223" s="61" t="s">
        <v>94</v>
      </c>
      <c r="C223" s="21" t="s">
        <v>9</v>
      </c>
      <c r="D223" s="21" t="s">
        <v>26</v>
      </c>
      <c r="E223" s="21" t="s">
        <v>239</v>
      </c>
      <c r="F223" s="23" t="s">
        <v>256</v>
      </c>
      <c r="G223" s="21" t="s">
        <v>95</v>
      </c>
      <c r="H223" s="19">
        <f>598.3+31.5</f>
        <v>629.79999999999995</v>
      </c>
      <c r="I223" s="19">
        <f>280.9+14.8</f>
        <v>295.7</v>
      </c>
      <c r="J223" s="19">
        <f>280.9+14.8</f>
        <v>295.7</v>
      </c>
      <c r="K223" s="1"/>
      <c r="L223" s="1"/>
      <c r="M223" s="1"/>
      <c r="N223" s="1"/>
    </row>
    <row r="224" spans="2:14" s="59" customFormat="1" x14ac:dyDescent="0.2">
      <c r="B224" s="15" t="s">
        <v>257</v>
      </c>
      <c r="C224" s="16" t="s">
        <v>9</v>
      </c>
      <c r="D224" s="16" t="s">
        <v>69</v>
      </c>
      <c r="E224" s="16"/>
      <c r="F224" s="16"/>
      <c r="G224" s="16"/>
      <c r="H224" s="17">
        <f>H225+H244+H277</f>
        <v>164254.09999999998</v>
      </c>
      <c r="I224" s="17">
        <f>I225+I244+I277</f>
        <v>44180.4</v>
      </c>
      <c r="J224" s="17">
        <f>J225+J244+J277</f>
        <v>44808.4</v>
      </c>
    </row>
    <row r="225" spans="2:10" s="59" customFormat="1" x14ac:dyDescent="0.2">
      <c r="B225" s="15" t="s">
        <v>258</v>
      </c>
      <c r="C225" s="16" t="s">
        <v>9</v>
      </c>
      <c r="D225" s="16" t="s">
        <v>69</v>
      </c>
      <c r="E225" s="16" t="s">
        <v>11</v>
      </c>
      <c r="F225" s="16"/>
      <c r="G225" s="16"/>
      <c r="H225" s="17">
        <f>H230+H226</f>
        <v>8803.7999999999993</v>
      </c>
      <c r="I225" s="17">
        <f>I230+I226</f>
        <v>13727</v>
      </c>
      <c r="J225" s="17">
        <f>J230+J226</f>
        <v>12927</v>
      </c>
    </row>
    <row r="226" spans="2:10" s="59" customFormat="1" ht="38.25" hidden="1" x14ac:dyDescent="0.2">
      <c r="B226" s="37" t="s">
        <v>259</v>
      </c>
      <c r="C226" s="21" t="s">
        <v>9</v>
      </c>
      <c r="D226" s="21" t="s">
        <v>69</v>
      </c>
      <c r="E226" s="21" t="s">
        <v>11</v>
      </c>
      <c r="F226" s="23" t="s">
        <v>260</v>
      </c>
      <c r="G226" s="21"/>
      <c r="H226" s="19">
        <f>H227</f>
        <v>0</v>
      </c>
      <c r="I226" s="19">
        <f>I227</f>
        <v>0</v>
      </c>
      <c r="J226" s="19">
        <f>J227</f>
        <v>0</v>
      </c>
    </row>
    <row r="227" spans="2:10" s="59" customFormat="1" ht="25.5" hidden="1" x14ac:dyDescent="0.2">
      <c r="B227" s="78" t="s">
        <v>261</v>
      </c>
      <c r="C227" s="21" t="s">
        <v>9</v>
      </c>
      <c r="D227" s="21" t="s">
        <v>69</v>
      </c>
      <c r="E227" s="21" t="s">
        <v>11</v>
      </c>
      <c r="F227" s="23" t="s">
        <v>260</v>
      </c>
      <c r="G227" s="21"/>
      <c r="H227" s="19">
        <f t="shared" ref="H227:J228" si="28">H228</f>
        <v>0</v>
      </c>
      <c r="I227" s="19">
        <f t="shared" si="28"/>
        <v>0</v>
      </c>
      <c r="J227" s="19">
        <f t="shared" si="28"/>
        <v>0</v>
      </c>
    </row>
    <row r="228" spans="2:10" s="59" customFormat="1" ht="25.5" hidden="1" x14ac:dyDescent="0.2">
      <c r="B228" s="78" t="s">
        <v>262</v>
      </c>
      <c r="C228" s="21" t="s">
        <v>9</v>
      </c>
      <c r="D228" s="21" t="s">
        <v>69</v>
      </c>
      <c r="E228" s="21" t="s">
        <v>11</v>
      </c>
      <c r="F228" s="23" t="s">
        <v>263</v>
      </c>
      <c r="G228" s="21"/>
      <c r="H228" s="19">
        <f t="shared" si="28"/>
        <v>0</v>
      </c>
      <c r="I228" s="19">
        <f t="shared" si="28"/>
        <v>0</v>
      </c>
      <c r="J228" s="19">
        <f t="shared" si="28"/>
        <v>0</v>
      </c>
    </row>
    <row r="229" spans="2:10" s="59" customFormat="1" ht="25.5" hidden="1" x14ac:dyDescent="0.2">
      <c r="B229" s="20" t="s">
        <v>34</v>
      </c>
      <c r="C229" s="21" t="s">
        <v>9</v>
      </c>
      <c r="D229" s="21" t="s">
        <v>69</v>
      </c>
      <c r="E229" s="21" t="s">
        <v>11</v>
      </c>
      <c r="F229" s="23" t="s">
        <v>263</v>
      </c>
      <c r="G229" s="21" t="s">
        <v>35</v>
      </c>
      <c r="H229" s="19">
        <v>0</v>
      </c>
      <c r="I229" s="19">
        <v>0</v>
      </c>
      <c r="J229" s="19">
        <v>0</v>
      </c>
    </row>
    <row r="230" spans="2:10" s="1" customFormat="1" ht="40.5" customHeight="1" x14ac:dyDescent="0.2">
      <c r="B230" s="20" t="s">
        <v>264</v>
      </c>
      <c r="C230" s="21" t="s">
        <v>9</v>
      </c>
      <c r="D230" s="21" t="s">
        <v>69</v>
      </c>
      <c r="E230" s="21" t="s">
        <v>11</v>
      </c>
      <c r="F230" s="23" t="s">
        <v>265</v>
      </c>
      <c r="G230" s="28"/>
      <c r="H230" s="19">
        <f>H237+H231</f>
        <v>8803.7999999999993</v>
      </c>
      <c r="I230" s="19">
        <f t="shared" ref="I230:J230" si="29">I237+I231</f>
        <v>13727</v>
      </c>
      <c r="J230" s="19">
        <f t="shared" si="29"/>
        <v>12927</v>
      </c>
    </row>
    <row r="231" spans="2:10" s="1" customFormat="1" ht="16.5" customHeight="1" x14ac:dyDescent="0.2">
      <c r="B231" s="20" t="s">
        <v>266</v>
      </c>
      <c r="C231" s="21" t="s">
        <v>9</v>
      </c>
      <c r="D231" s="21" t="s">
        <v>69</v>
      </c>
      <c r="E231" s="21" t="s">
        <v>11</v>
      </c>
      <c r="F231" s="35" t="s">
        <v>267</v>
      </c>
      <c r="G231" s="79"/>
      <c r="H231" s="80">
        <f>H232</f>
        <v>8435.4</v>
      </c>
      <c r="I231" s="80">
        <f t="shared" ref="I231:J233" si="30">I232</f>
        <v>12295.8</v>
      </c>
      <c r="J231" s="80">
        <f t="shared" si="30"/>
        <v>12295.8</v>
      </c>
    </row>
    <row r="232" spans="2:10" s="1" customFormat="1" ht="12.75" customHeight="1" x14ac:dyDescent="0.2">
      <c r="B232" s="81" t="s">
        <v>268</v>
      </c>
      <c r="C232" s="21" t="s">
        <v>9</v>
      </c>
      <c r="D232" s="21" t="s">
        <v>69</v>
      </c>
      <c r="E232" s="21" t="s">
        <v>11</v>
      </c>
      <c r="F232" s="35" t="s">
        <v>269</v>
      </c>
      <c r="G232" s="79"/>
      <c r="H232" s="80">
        <f>H233+H235</f>
        <v>8435.4</v>
      </c>
      <c r="I232" s="80">
        <f t="shared" ref="I232:J232" si="31">I233+I235</f>
        <v>12295.8</v>
      </c>
      <c r="J232" s="80">
        <f t="shared" si="31"/>
        <v>12295.8</v>
      </c>
    </row>
    <row r="233" spans="2:10" s="1" customFormat="1" ht="40.5" customHeight="1" x14ac:dyDescent="0.2">
      <c r="B233" s="81" t="s">
        <v>270</v>
      </c>
      <c r="C233" s="21" t="s">
        <v>9</v>
      </c>
      <c r="D233" s="21" t="s">
        <v>69</v>
      </c>
      <c r="E233" s="21" t="s">
        <v>11</v>
      </c>
      <c r="F233" s="35" t="s">
        <v>271</v>
      </c>
      <c r="G233" s="79"/>
      <c r="H233" s="19">
        <f>H234</f>
        <v>3454.2999999999997</v>
      </c>
      <c r="I233" s="19">
        <f t="shared" si="30"/>
        <v>5035.1000000000004</v>
      </c>
      <c r="J233" s="19">
        <f t="shared" si="30"/>
        <v>5035.1000000000004</v>
      </c>
    </row>
    <row r="234" spans="2:10" s="1" customFormat="1" ht="13.5" customHeight="1" x14ac:dyDescent="0.2">
      <c r="B234" s="82" t="s">
        <v>272</v>
      </c>
      <c r="C234" s="21" t="s">
        <v>9</v>
      </c>
      <c r="D234" s="21" t="s">
        <v>69</v>
      </c>
      <c r="E234" s="21" t="s">
        <v>11</v>
      </c>
      <c r="F234" s="35" t="s">
        <v>271</v>
      </c>
      <c r="G234" s="79" t="s">
        <v>273</v>
      </c>
      <c r="H234" s="19">
        <f>3350.6+103.7</f>
        <v>3454.2999999999997</v>
      </c>
      <c r="I234" s="19">
        <f>4884.1+151</f>
        <v>5035.1000000000004</v>
      </c>
      <c r="J234" s="19">
        <f>4884.1+151</f>
        <v>5035.1000000000004</v>
      </c>
    </row>
    <row r="235" spans="2:10" s="1" customFormat="1" ht="26.25" customHeight="1" x14ac:dyDescent="0.2">
      <c r="B235" s="81" t="s">
        <v>274</v>
      </c>
      <c r="C235" s="21" t="s">
        <v>9</v>
      </c>
      <c r="D235" s="21" t="s">
        <v>69</v>
      </c>
      <c r="E235" s="21" t="s">
        <v>11</v>
      </c>
      <c r="F235" s="35" t="s">
        <v>275</v>
      </c>
      <c r="G235" s="79"/>
      <c r="H235" s="19">
        <f>H236</f>
        <v>4981.1000000000004</v>
      </c>
      <c r="I235" s="19">
        <f t="shared" ref="I235:J235" si="32">I236</f>
        <v>7260.7</v>
      </c>
      <c r="J235" s="19">
        <f t="shared" si="32"/>
        <v>7260.7</v>
      </c>
    </row>
    <row r="236" spans="2:10" s="1" customFormat="1" ht="13.5" customHeight="1" x14ac:dyDescent="0.2">
      <c r="B236" s="82" t="s">
        <v>272</v>
      </c>
      <c r="C236" s="21" t="s">
        <v>9</v>
      </c>
      <c r="D236" s="21" t="s">
        <v>69</v>
      </c>
      <c r="E236" s="21" t="s">
        <v>11</v>
      </c>
      <c r="F236" s="35" t="s">
        <v>275</v>
      </c>
      <c r="G236" s="79" t="s">
        <v>273</v>
      </c>
      <c r="H236" s="19">
        <f>4831.6+149.5</f>
        <v>4981.1000000000004</v>
      </c>
      <c r="I236" s="19">
        <f>7042.9+217.8</f>
        <v>7260.7</v>
      </c>
      <c r="J236" s="19">
        <f>7042.9+217.8</f>
        <v>7260.7</v>
      </c>
    </row>
    <row r="237" spans="2:10" s="1" customFormat="1" ht="16.5" customHeight="1" x14ac:dyDescent="0.2">
      <c r="B237" s="20" t="s">
        <v>48</v>
      </c>
      <c r="C237" s="21" t="s">
        <v>9</v>
      </c>
      <c r="D237" s="21" t="s">
        <v>69</v>
      </c>
      <c r="E237" s="21" t="s">
        <v>11</v>
      </c>
      <c r="F237" s="23" t="s">
        <v>276</v>
      </c>
      <c r="G237" s="28"/>
      <c r="H237" s="19">
        <f>H238+H241</f>
        <v>368.4</v>
      </c>
      <c r="I237" s="19">
        <f>I238+I241</f>
        <v>1431.2</v>
      </c>
      <c r="J237" s="19">
        <f>J238+J241</f>
        <v>631.20000000000005</v>
      </c>
    </row>
    <row r="238" spans="2:10" s="1" customFormat="1" ht="24" customHeight="1" x14ac:dyDescent="0.2">
      <c r="B238" s="20" t="s">
        <v>277</v>
      </c>
      <c r="C238" s="21" t="s">
        <v>9</v>
      </c>
      <c r="D238" s="21" t="s">
        <v>69</v>
      </c>
      <c r="E238" s="21" t="s">
        <v>11</v>
      </c>
      <c r="F238" s="23" t="s">
        <v>278</v>
      </c>
      <c r="G238" s="28"/>
      <c r="H238" s="19">
        <f t="shared" ref="H238:J239" si="33">H239</f>
        <v>368.4</v>
      </c>
      <c r="I238" s="19">
        <f t="shared" si="33"/>
        <v>631.20000000000005</v>
      </c>
      <c r="J238" s="19">
        <f t="shared" si="33"/>
        <v>631.20000000000005</v>
      </c>
    </row>
    <row r="239" spans="2:10" s="1" customFormat="1" ht="28.5" customHeight="1" x14ac:dyDescent="0.2">
      <c r="B239" s="20" t="s">
        <v>279</v>
      </c>
      <c r="C239" s="21" t="s">
        <v>9</v>
      </c>
      <c r="D239" s="21" t="s">
        <v>69</v>
      </c>
      <c r="E239" s="21" t="s">
        <v>11</v>
      </c>
      <c r="F239" s="23" t="s">
        <v>280</v>
      </c>
      <c r="G239" s="28"/>
      <c r="H239" s="19">
        <f t="shared" si="33"/>
        <v>368.4</v>
      </c>
      <c r="I239" s="19">
        <f t="shared" si="33"/>
        <v>631.20000000000005</v>
      </c>
      <c r="J239" s="19">
        <f t="shared" si="33"/>
        <v>631.20000000000005</v>
      </c>
    </row>
    <row r="240" spans="2:10" s="1" customFormat="1" ht="28.5" customHeight="1" x14ac:dyDescent="0.2">
      <c r="B240" s="20" t="s">
        <v>34</v>
      </c>
      <c r="C240" s="21" t="s">
        <v>9</v>
      </c>
      <c r="D240" s="21" t="s">
        <v>69</v>
      </c>
      <c r="E240" s="21" t="s">
        <v>11</v>
      </c>
      <c r="F240" s="23" t="s">
        <v>280</v>
      </c>
      <c r="G240" s="28" t="s">
        <v>35</v>
      </c>
      <c r="H240" s="19">
        <f>710.1+368.4-710.1</f>
        <v>368.4</v>
      </c>
      <c r="I240" s="19">
        <f>1000-368.8</f>
        <v>631.20000000000005</v>
      </c>
      <c r="J240" s="57">
        <f>1000-368.8</f>
        <v>631.20000000000005</v>
      </c>
    </row>
    <row r="241" spans="2:14" s="1" customFormat="1" ht="25.5" customHeight="1" x14ac:dyDescent="0.2">
      <c r="B241" s="38" t="s">
        <v>281</v>
      </c>
      <c r="C241" s="21" t="s">
        <v>9</v>
      </c>
      <c r="D241" s="21" t="s">
        <v>69</v>
      </c>
      <c r="E241" s="21" t="s">
        <v>11</v>
      </c>
      <c r="F241" s="23" t="s">
        <v>282</v>
      </c>
      <c r="G241" s="28"/>
      <c r="H241" s="19">
        <f t="shared" ref="H241:J242" si="34">H242</f>
        <v>0</v>
      </c>
      <c r="I241" s="19">
        <f t="shared" si="34"/>
        <v>800</v>
      </c>
      <c r="J241" s="19">
        <f t="shared" si="34"/>
        <v>0</v>
      </c>
    </row>
    <row r="242" spans="2:14" s="1" customFormat="1" ht="24" customHeight="1" x14ac:dyDescent="0.2">
      <c r="B242" s="38" t="s">
        <v>283</v>
      </c>
      <c r="C242" s="21" t="s">
        <v>9</v>
      </c>
      <c r="D242" s="21" t="s">
        <v>69</v>
      </c>
      <c r="E242" s="21" t="s">
        <v>11</v>
      </c>
      <c r="F242" s="23" t="s">
        <v>284</v>
      </c>
      <c r="G242" s="28"/>
      <c r="H242" s="19">
        <f t="shared" si="34"/>
        <v>0</v>
      </c>
      <c r="I242" s="19">
        <f t="shared" si="34"/>
        <v>800</v>
      </c>
      <c r="J242" s="19">
        <f t="shared" si="34"/>
        <v>0</v>
      </c>
    </row>
    <row r="243" spans="2:14" s="1" customFormat="1" ht="28.5" customHeight="1" x14ac:dyDescent="0.2">
      <c r="B243" s="20" t="s">
        <v>34</v>
      </c>
      <c r="C243" s="21" t="s">
        <v>9</v>
      </c>
      <c r="D243" s="21" t="s">
        <v>69</v>
      </c>
      <c r="E243" s="21" t="s">
        <v>11</v>
      </c>
      <c r="F243" s="23" t="s">
        <v>284</v>
      </c>
      <c r="G243" s="28" t="s">
        <v>35</v>
      </c>
      <c r="H243" s="19">
        <f>1500-1500</f>
        <v>0</v>
      </c>
      <c r="I243" s="19">
        <v>800</v>
      </c>
      <c r="J243" s="19">
        <v>0</v>
      </c>
    </row>
    <row r="244" spans="2:14" s="75" customFormat="1" x14ac:dyDescent="0.2">
      <c r="B244" s="15" t="s">
        <v>285</v>
      </c>
      <c r="C244" s="16" t="s">
        <v>9</v>
      </c>
      <c r="D244" s="16" t="s">
        <v>69</v>
      </c>
      <c r="E244" s="16" t="s">
        <v>13</v>
      </c>
      <c r="F244" s="71"/>
      <c r="G244" s="16"/>
      <c r="H244" s="17">
        <f>H245+H272</f>
        <v>124174.09999999999</v>
      </c>
      <c r="I244" s="17">
        <f>I245+I272</f>
        <v>7915.1</v>
      </c>
      <c r="J244" s="17">
        <f>J245+J272</f>
        <v>9450</v>
      </c>
      <c r="K244" s="59"/>
      <c r="L244" s="59"/>
      <c r="M244" s="59"/>
      <c r="N244" s="59"/>
    </row>
    <row r="245" spans="2:14" s="75" customFormat="1" ht="40.5" customHeight="1" x14ac:dyDescent="0.2">
      <c r="B245" s="20" t="s">
        <v>286</v>
      </c>
      <c r="C245" s="21" t="s">
        <v>9</v>
      </c>
      <c r="D245" s="21" t="s">
        <v>69</v>
      </c>
      <c r="E245" s="21" t="s">
        <v>13</v>
      </c>
      <c r="F245" s="23" t="s">
        <v>287</v>
      </c>
      <c r="G245" s="21"/>
      <c r="H245" s="19">
        <f>H246+H263</f>
        <v>124174.09999999999</v>
      </c>
      <c r="I245" s="19">
        <f>I246+I263</f>
        <v>7815.1</v>
      </c>
      <c r="J245" s="19">
        <f>J246+J263</f>
        <v>9050</v>
      </c>
      <c r="K245" s="59"/>
      <c r="L245" s="59"/>
      <c r="M245" s="59"/>
      <c r="N245" s="59"/>
    </row>
    <row r="246" spans="2:14" s="75" customFormat="1" ht="28.5" customHeight="1" x14ac:dyDescent="0.2">
      <c r="B246" s="38" t="s">
        <v>48</v>
      </c>
      <c r="C246" s="21" t="s">
        <v>9</v>
      </c>
      <c r="D246" s="21" t="s">
        <v>69</v>
      </c>
      <c r="E246" s="21" t="s">
        <v>13</v>
      </c>
      <c r="F246" s="23" t="s">
        <v>288</v>
      </c>
      <c r="G246" s="48"/>
      <c r="H246" s="19">
        <f>H247+H254+H257+H260</f>
        <v>118454.9</v>
      </c>
      <c r="I246" s="19">
        <f>I247+I254+I257+I260</f>
        <v>5000</v>
      </c>
      <c r="J246" s="19">
        <f>J247+J254+J257+J260</f>
        <v>6700</v>
      </c>
      <c r="K246" s="59"/>
      <c r="L246" s="59"/>
      <c r="M246" s="59"/>
      <c r="N246" s="59"/>
    </row>
    <row r="247" spans="2:14" s="75" customFormat="1" ht="40.5" customHeight="1" x14ac:dyDescent="0.2">
      <c r="B247" s="20" t="s">
        <v>289</v>
      </c>
      <c r="C247" s="21" t="s">
        <v>9</v>
      </c>
      <c r="D247" s="21" t="s">
        <v>69</v>
      </c>
      <c r="E247" s="21" t="s">
        <v>13</v>
      </c>
      <c r="F247" s="23" t="s">
        <v>290</v>
      </c>
      <c r="G247" s="48"/>
      <c r="H247" s="19">
        <f>H248+H251</f>
        <v>111902</v>
      </c>
      <c r="I247" s="19">
        <f>I248+I251</f>
        <v>0</v>
      </c>
      <c r="J247" s="19">
        <f>J248+J251</f>
        <v>0</v>
      </c>
      <c r="K247" s="59"/>
      <c r="L247" s="59"/>
      <c r="M247" s="59"/>
      <c r="N247" s="59"/>
    </row>
    <row r="248" spans="2:14" s="75" customFormat="1" ht="30.75" customHeight="1" x14ac:dyDescent="0.2">
      <c r="B248" s="20" t="s">
        <v>291</v>
      </c>
      <c r="C248" s="21" t="s">
        <v>9</v>
      </c>
      <c r="D248" s="21" t="s">
        <v>69</v>
      </c>
      <c r="E248" s="21" t="s">
        <v>13</v>
      </c>
      <c r="F248" s="23" t="s">
        <v>292</v>
      </c>
      <c r="G248" s="48"/>
      <c r="H248" s="19">
        <f>H249+H250</f>
        <v>18396.2</v>
      </c>
      <c r="I248" s="19">
        <f>I249+I250</f>
        <v>0</v>
      </c>
      <c r="J248" s="19">
        <f>J249+J250</f>
        <v>0</v>
      </c>
      <c r="K248" s="59"/>
      <c r="L248" s="59"/>
      <c r="M248" s="59"/>
      <c r="N248" s="59"/>
    </row>
    <row r="249" spans="2:14" s="75" customFormat="1" ht="28.5" hidden="1" customHeight="1" x14ac:dyDescent="0.2">
      <c r="B249" s="20" t="s">
        <v>34</v>
      </c>
      <c r="C249" s="21" t="s">
        <v>9</v>
      </c>
      <c r="D249" s="21" t="s">
        <v>69</v>
      </c>
      <c r="E249" s="21" t="s">
        <v>13</v>
      </c>
      <c r="F249" s="23" t="s">
        <v>292</v>
      </c>
      <c r="G249" s="48" t="s">
        <v>35</v>
      </c>
      <c r="H249" s="19"/>
      <c r="I249" s="19"/>
      <c r="J249" s="19"/>
      <c r="K249" s="59"/>
      <c r="L249" s="59"/>
      <c r="M249" s="59"/>
      <c r="N249" s="59"/>
    </row>
    <row r="250" spans="2:14" s="75" customFormat="1" ht="16.5" customHeight="1" x14ac:dyDescent="0.2">
      <c r="B250" s="49" t="s">
        <v>272</v>
      </c>
      <c r="C250" s="21" t="s">
        <v>9</v>
      </c>
      <c r="D250" s="21" t="s">
        <v>69</v>
      </c>
      <c r="E250" s="21" t="s">
        <v>13</v>
      </c>
      <c r="F250" s="23" t="s">
        <v>292</v>
      </c>
      <c r="G250" s="48" t="s">
        <v>273</v>
      </c>
      <c r="H250" s="19">
        <f>17844.3+551.9</f>
        <v>18396.2</v>
      </c>
      <c r="I250" s="19">
        <v>0</v>
      </c>
      <c r="J250" s="19">
        <v>0</v>
      </c>
      <c r="K250" s="59"/>
      <c r="L250" s="59"/>
      <c r="M250" s="59"/>
      <c r="N250" s="59"/>
    </row>
    <row r="251" spans="2:14" s="75" customFormat="1" ht="40.5" customHeight="1" x14ac:dyDescent="0.2">
      <c r="B251" s="49" t="s">
        <v>293</v>
      </c>
      <c r="C251" s="21" t="s">
        <v>9</v>
      </c>
      <c r="D251" s="28" t="s">
        <v>69</v>
      </c>
      <c r="E251" s="28" t="s">
        <v>13</v>
      </c>
      <c r="F251" s="23" t="s">
        <v>294</v>
      </c>
      <c r="G251" s="48"/>
      <c r="H251" s="19">
        <f>H252+H253</f>
        <v>93505.8</v>
      </c>
      <c r="I251" s="19">
        <f>I252+I253</f>
        <v>0</v>
      </c>
      <c r="J251" s="19">
        <f>J252+J253</f>
        <v>0</v>
      </c>
      <c r="K251" s="59"/>
      <c r="L251" s="59"/>
      <c r="M251" s="59"/>
      <c r="N251" s="59"/>
    </row>
    <row r="252" spans="2:14" s="75" customFormat="1" ht="25.5" hidden="1" customHeight="1" x14ac:dyDescent="0.2">
      <c r="B252" s="20" t="s">
        <v>34</v>
      </c>
      <c r="C252" s="21" t="s">
        <v>9</v>
      </c>
      <c r="D252" s="28" t="s">
        <v>69</v>
      </c>
      <c r="E252" s="28" t="s">
        <v>13</v>
      </c>
      <c r="F252" s="23" t="s">
        <v>294</v>
      </c>
      <c r="G252" s="48" t="s">
        <v>35</v>
      </c>
      <c r="H252" s="19">
        <v>0</v>
      </c>
      <c r="I252" s="19">
        <v>0</v>
      </c>
      <c r="J252" s="19">
        <v>0</v>
      </c>
      <c r="K252" s="59"/>
      <c r="L252" s="59"/>
      <c r="M252" s="59"/>
      <c r="N252" s="59"/>
    </row>
    <row r="253" spans="2:14" s="75" customFormat="1" ht="15.75" customHeight="1" x14ac:dyDescent="0.2">
      <c r="B253" s="49" t="s">
        <v>272</v>
      </c>
      <c r="C253" s="21" t="s">
        <v>9</v>
      </c>
      <c r="D253" s="28" t="s">
        <v>69</v>
      </c>
      <c r="E253" s="28" t="s">
        <v>13</v>
      </c>
      <c r="F253" s="23" t="s">
        <v>294</v>
      </c>
      <c r="G253" s="48" t="s">
        <v>273</v>
      </c>
      <c r="H253" s="19">
        <f>109124.6+3375-18424-569.8</f>
        <v>93505.8</v>
      </c>
      <c r="I253" s="19">
        <v>0</v>
      </c>
      <c r="J253" s="19">
        <v>0</v>
      </c>
      <c r="K253" s="59"/>
      <c r="L253" s="59"/>
      <c r="M253" s="59"/>
      <c r="N253" s="59"/>
    </row>
    <row r="254" spans="2:14" s="75" customFormat="1" ht="26.25" customHeight="1" x14ac:dyDescent="0.2">
      <c r="B254" s="37" t="s">
        <v>295</v>
      </c>
      <c r="C254" s="21" t="s">
        <v>9</v>
      </c>
      <c r="D254" s="21" t="s">
        <v>69</v>
      </c>
      <c r="E254" s="21" t="s">
        <v>13</v>
      </c>
      <c r="F254" s="23" t="s">
        <v>296</v>
      </c>
      <c r="G254" s="28"/>
      <c r="H254" s="19">
        <f t="shared" ref="H254:J255" si="35">H255</f>
        <v>1000</v>
      </c>
      <c r="I254" s="19">
        <f t="shared" si="35"/>
        <v>1000</v>
      </c>
      <c r="J254" s="19">
        <f t="shared" si="35"/>
        <v>1000</v>
      </c>
      <c r="K254" s="59"/>
      <c r="L254" s="59"/>
      <c r="M254" s="59"/>
      <c r="N254" s="59"/>
    </row>
    <row r="255" spans="2:14" s="75" customFormat="1" ht="15.75" customHeight="1" x14ac:dyDescent="0.2">
      <c r="B255" s="37" t="s">
        <v>297</v>
      </c>
      <c r="C255" s="21" t="s">
        <v>9</v>
      </c>
      <c r="D255" s="28" t="s">
        <v>69</v>
      </c>
      <c r="E255" s="28" t="s">
        <v>13</v>
      </c>
      <c r="F255" s="23" t="s">
        <v>298</v>
      </c>
      <c r="G255" s="28"/>
      <c r="H255" s="19">
        <f t="shared" si="35"/>
        <v>1000</v>
      </c>
      <c r="I255" s="19">
        <f t="shared" si="35"/>
        <v>1000</v>
      </c>
      <c r="J255" s="19">
        <f t="shared" si="35"/>
        <v>1000</v>
      </c>
      <c r="K255" s="59"/>
      <c r="L255" s="59"/>
      <c r="M255" s="59"/>
      <c r="N255" s="59"/>
    </row>
    <row r="256" spans="2:14" s="75" customFormat="1" ht="28.5" customHeight="1" x14ac:dyDescent="0.2">
      <c r="B256" s="37" t="s">
        <v>34</v>
      </c>
      <c r="C256" s="21" t="s">
        <v>9</v>
      </c>
      <c r="D256" s="28" t="s">
        <v>69</v>
      </c>
      <c r="E256" s="28" t="s">
        <v>13</v>
      </c>
      <c r="F256" s="23" t="s">
        <v>298</v>
      </c>
      <c r="G256" s="28" t="s">
        <v>35</v>
      </c>
      <c r="H256" s="19">
        <v>1000</v>
      </c>
      <c r="I256" s="19">
        <v>1000</v>
      </c>
      <c r="J256" s="57">
        <v>1000</v>
      </c>
      <c r="K256" s="59"/>
      <c r="L256" s="59"/>
      <c r="M256" s="59"/>
      <c r="N256" s="59"/>
    </row>
    <row r="257" spans="2:14" s="75" customFormat="1" ht="27.75" customHeight="1" x14ac:dyDescent="0.2">
      <c r="B257" s="37" t="s">
        <v>299</v>
      </c>
      <c r="C257" s="21" t="s">
        <v>9</v>
      </c>
      <c r="D257" s="28" t="s">
        <v>69</v>
      </c>
      <c r="E257" s="28" t="s">
        <v>13</v>
      </c>
      <c r="F257" s="23" t="s">
        <v>300</v>
      </c>
      <c r="G257" s="28"/>
      <c r="H257" s="19">
        <f t="shared" ref="H257:J258" si="36">H258</f>
        <v>3000</v>
      </c>
      <c r="I257" s="19">
        <f t="shared" si="36"/>
        <v>1000</v>
      </c>
      <c r="J257" s="19">
        <f t="shared" si="36"/>
        <v>1000</v>
      </c>
      <c r="K257" s="59"/>
      <c r="L257" s="59"/>
      <c r="M257" s="59"/>
      <c r="N257" s="59"/>
    </row>
    <row r="258" spans="2:14" s="75" customFormat="1" ht="15" customHeight="1" x14ac:dyDescent="0.2">
      <c r="B258" s="37" t="s">
        <v>297</v>
      </c>
      <c r="C258" s="21" t="s">
        <v>301</v>
      </c>
      <c r="D258" s="28" t="s">
        <v>69</v>
      </c>
      <c r="E258" s="28" t="s">
        <v>13</v>
      </c>
      <c r="F258" s="23" t="s">
        <v>302</v>
      </c>
      <c r="G258" s="28"/>
      <c r="H258" s="19">
        <f t="shared" si="36"/>
        <v>3000</v>
      </c>
      <c r="I258" s="19">
        <f t="shared" si="36"/>
        <v>1000</v>
      </c>
      <c r="J258" s="19">
        <f t="shared" si="36"/>
        <v>1000</v>
      </c>
      <c r="K258" s="59"/>
      <c r="L258" s="59"/>
      <c r="M258" s="59"/>
      <c r="N258" s="59"/>
    </row>
    <row r="259" spans="2:14" s="75" customFormat="1" ht="28.5" customHeight="1" x14ac:dyDescent="0.2">
      <c r="B259" s="20" t="s">
        <v>34</v>
      </c>
      <c r="C259" s="21" t="s">
        <v>9</v>
      </c>
      <c r="D259" s="28" t="s">
        <v>69</v>
      </c>
      <c r="E259" s="28" t="s">
        <v>13</v>
      </c>
      <c r="F259" s="23" t="s">
        <v>302</v>
      </c>
      <c r="G259" s="28" t="s">
        <v>35</v>
      </c>
      <c r="H259" s="19">
        <v>3000</v>
      </c>
      <c r="I259" s="19">
        <v>1000</v>
      </c>
      <c r="J259" s="57">
        <v>1000</v>
      </c>
      <c r="K259" s="59"/>
      <c r="L259" s="59"/>
      <c r="M259" s="59"/>
      <c r="N259" s="59"/>
    </row>
    <row r="260" spans="2:14" s="75" customFormat="1" ht="16.5" customHeight="1" x14ac:dyDescent="0.2">
      <c r="B260" s="20" t="s">
        <v>303</v>
      </c>
      <c r="C260" s="21" t="s">
        <v>9</v>
      </c>
      <c r="D260" s="28" t="s">
        <v>69</v>
      </c>
      <c r="E260" s="28" t="s">
        <v>13</v>
      </c>
      <c r="F260" s="23" t="s">
        <v>304</v>
      </c>
      <c r="G260" s="28"/>
      <c r="H260" s="19">
        <f t="shared" ref="H260:J261" si="37">H261</f>
        <v>2552.9</v>
      </c>
      <c r="I260" s="19">
        <f t="shared" si="37"/>
        <v>3000</v>
      </c>
      <c r="J260" s="19">
        <f t="shared" si="37"/>
        <v>4700</v>
      </c>
      <c r="K260" s="59"/>
      <c r="L260" s="59"/>
      <c r="M260" s="59"/>
      <c r="N260" s="59"/>
    </row>
    <row r="261" spans="2:14" s="75" customFormat="1" ht="28.5" customHeight="1" x14ac:dyDescent="0.2">
      <c r="B261" s="37" t="s">
        <v>305</v>
      </c>
      <c r="C261" s="21" t="s">
        <v>9</v>
      </c>
      <c r="D261" s="28" t="s">
        <v>69</v>
      </c>
      <c r="E261" s="28" t="s">
        <v>13</v>
      </c>
      <c r="F261" s="23" t="s">
        <v>306</v>
      </c>
      <c r="G261" s="48"/>
      <c r="H261" s="19">
        <f t="shared" si="37"/>
        <v>2552.9</v>
      </c>
      <c r="I261" s="19">
        <f t="shared" si="37"/>
        <v>3000</v>
      </c>
      <c r="J261" s="19">
        <f t="shared" si="37"/>
        <v>4700</v>
      </c>
      <c r="K261" s="59"/>
      <c r="L261" s="59"/>
      <c r="M261" s="59"/>
      <c r="N261" s="59"/>
    </row>
    <row r="262" spans="2:14" s="75" customFormat="1" ht="39" customHeight="1" x14ac:dyDescent="0.2">
      <c r="B262" s="83" t="s">
        <v>307</v>
      </c>
      <c r="C262" s="21" t="s">
        <v>9</v>
      </c>
      <c r="D262" s="28" t="s">
        <v>69</v>
      </c>
      <c r="E262" s="28" t="s">
        <v>13</v>
      </c>
      <c r="F262" s="23" t="s">
        <v>306</v>
      </c>
      <c r="G262" s="48" t="s">
        <v>308</v>
      </c>
      <c r="H262" s="19">
        <f>5000-2447.1</f>
        <v>2552.9</v>
      </c>
      <c r="I262" s="19">
        <f>5000-2000</f>
        <v>3000</v>
      </c>
      <c r="J262" s="57">
        <f>5000-300</f>
        <v>4700</v>
      </c>
      <c r="K262" s="59"/>
      <c r="L262" s="59"/>
      <c r="M262" s="59"/>
      <c r="N262" s="59"/>
    </row>
    <row r="263" spans="2:14" s="75" customFormat="1" ht="16.5" customHeight="1" x14ac:dyDescent="0.2">
      <c r="B263" s="20" t="s">
        <v>16</v>
      </c>
      <c r="C263" s="21" t="s">
        <v>9</v>
      </c>
      <c r="D263" s="28" t="s">
        <v>69</v>
      </c>
      <c r="E263" s="28" t="s">
        <v>13</v>
      </c>
      <c r="F263" s="23" t="s">
        <v>309</v>
      </c>
      <c r="G263" s="48"/>
      <c r="H263" s="19">
        <f>H264</f>
        <v>5719.2</v>
      </c>
      <c r="I263" s="19">
        <f>I264</f>
        <v>2815.1</v>
      </c>
      <c r="J263" s="19">
        <f>J264</f>
        <v>2350</v>
      </c>
      <c r="K263" s="59"/>
      <c r="L263" s="59"/>
      <c r="M263" s="59"/>
      <c r="N263" s="59"/>
    </row>
    <row r="264" spans="2:14" s="75" customFormat="1" ht="42.75" customHeight="1" x14ac:dyDescent="0.2">
      <c r="B264" s="20" t="s">
        <v>310</v>
      </c>
      <c r="C264" s="21" t="s">
        <v>9</v>
      </c>
      <c r="D264" s="28" t="s">
        <v>69</v>
      </c>
      <c r="E264" s="28" t="s">
        <v>13</v>
      </c>
      <c r="F264" s="23" t="s">
        <v>311</v>
      </c>
      <c r="G264" s="48"/>
      <c r="H264" s="19">
        <f>H265+H268+H270</f>
        <v>5719.2</v>
      </c>
      <c r="I264" s="19">
        <f>I265+I268+I270</f>
        <v>2815.1</v>
      </c>
      <c r="J264" s="19">
        <f>J265+J268+J270</f>
        <v>2350</v>
      </c>
      <c r="K264" s="59"/>
      <c r="L264" s="59"/>
      <c r="M264" s="59"/>
      <c r="N264" s="59"/>
    </row>
    <row r="265" spans="2:14" s="75" customFormat="1" ht="28.5" customHeight="1" x14ac:dyDescent="0.2">
      <c r="B265" s="20" t="s">
        <v>312</v>
      </c>
      <c r="C265" s="21" t="s">
        <v>9</v>
      </c>
      <c r="D265" s="28" t="s">
        <v>69</v>
      </c>
      <c r="E265" s="28" t="s">
        <v>13</v>
      </c>
      <c r="F265" s="23" t="s">
        <v>313</v>
      </c>
      <c r="G265" s="28"/>
      <c r="H265" s="19">
        <f>H266+H267</f>
        <v>3369.2</v>
      </c>
      <c r="I265" s="19">
        <f>I266+I267</f>
        <v>2815.1</v>
      </c>
      <c r="J265" s="19">
        <f>J266+J267</f>
        <v>2350</v>
      </c>
      <c r="K265" s="59"/>
      <c r="L265" s="59"/>
      <c r="M265" s="59"/>
      <c r="N265" s="59"/>
    </row>
    <row r="266" spans="2:14" s="75" customFormat="1" ht="28.5" customHeight="1" x14ac:dyDescent="0.2">
      <c r="B266" s="20" t="s">
        <v>34</v>
      </c>
      <c r="C266" s="21" t="s">
        <v>9</v>
      </c>
      <c r="D266" s="28" t="s">
        <v>69</v>
      </c>
      <c r="E266" s="28" t="s">
        <v>13</v>
      </c>
      <c r="F266" s="23" t="s">
        <v>313</v>
      </c>
      <c r="G266" s="28" t="s">
        <v>35</v>
      </c>
      <c r="H266" s="19">
        <f>1404.1+1500</f>
        <v>2904.1</v>
      </c>
      <c r="I266" s="19">
        <f>1500+465.1+850</f>
        <v>2815.1</v>
      </c>
      <c r="J266" s="57">
        <f>1500+850</f>
        <v>2350</v>
      </c>
      <c r="K266" s="59"/>
      <c r="L266" s="59"/>
      <c r="M266" s="59"/>
      <c r="N266" s="59"/>
    </row>
    <row r="267" spans="2:14" s="75" customFormat="1" ht="28.5" customHeight="1" x14ac:dyDescent="0.2">
      <c r="B267" s="84" t="s">
        <v>314</v>
      </c>
      <c r="C267" s="21" t="s">
        <v>9</v>
      </c>
      <c r="D267" s="28" t="s">
        <v>69</v>
      </c>
      <c r="E267" s="28" t="s">
        <v>13</v>
      </c>
      <c r="F267" s="23" t="s">
        <v>313</v>
      </c>
      <c r="G267" s="48" t="s">
        <v>315</v>
      </c>
      <c r="H267" s="19">
        <v>465.1</v>
      </c>
      <c r="I267" s="19">
        <v>0</v>
      </c>
      <c r="J267" s="57">
        <v>0</v>
      </c>
      <c r="K267" s="59"/>
      <c r="L267" s="59"/>
      <c r="M267" s="59"/>
      <c r="N267" s="59"/>
    </row>
    <row r="268" spans="2:14" s="75" customFormat="1" ht="28.5" customHeight="1" x14ac:dyDescent="0.2">
      <c r="B268" s="20" t="s">
        <v>316</v>
      </c>
      <c r="C268" s="21" t="s">
        <v>9</v>
      </c>
      <c r="D268" s="28" t="s">
        <v>69</v>
      </c>
      <c r="E268" s="28" t="s">
        <v>13</v>
      </c>
      <c r="F268" s="23" t="s">
        <v>317</v>
      </c>
      <c r="G268" s="28"/>
      <c r="H268" s="19">
        <f>H269</f>
        <v>2000</v>
      </c>
      <c r="I268" s="19">
        <f>I269</f>
        <v>0</v>
      </c>
      <c r="J268" s="19">
        <f>J269</f>
        <v>0</v>
      </c>
      <c r="K268" s="59"/>
      <c r="L268" s="59"/>
      <c r="M268" s="59"/>
      <c r="N268" s="59"/>
    </row>
    <row r="269" spans="2:14" s="75" customFormat="1" ht="28.5" customHeight="1" x14ac:dyDescent="0.2">
      <c r="B269" s="20" t="s">
        <v>34</v>
      </c>
      <c r="C269" s="21" t="s">
        <v>9</v>
      </c>
      <c r="D269" s="28" t="s">
        <v>69</v>
      </c>
      <c r="E269" s="28" t="s">
        <v>13</v>
      </c>
      <c r="F269" s="23" t="s">
        <v>317</v>
      </c>
      <c r="G269" s="28" t="s">
        <v>35</v>
      </c>
      <c r="H269" s="19">
        <f>4000-2000</f>
        <v>2000</v>
      </c>
      <c r="I269" s="19">
        <v>0</v>
      </c>
      <c r="J269" s="19">
        <v>0</v>
      </c>
      <c r="K269" s="59"/>
      <c r="L269" s="59"/>
      <c r="M269" s="59"/>
      <c r="N269" s="59"/>
    </row>
    <row r="270" spans="2:14" s="75" customFormat="1" ht="28.5" customHeight="1" x14ac:dyDescent="0.2">
      <c r="B270" s="85" t="s">
        <v>318</v>
      </c>
      <c r="C270" s="21" t="s">
        <v>9</v>
      </c>
      <c r="D270" s="28" t="s">
        <v>69</v>
      </c>
      <c r="E270" s="28" t="s">
        <v>13</v>
      </c>
      <c r="F270" s="23" t="s">
        <v>319</v>
      </c>
      <c r="G270" s="48"/>
      <c r="H270" s="19">
        <f>H271</f>
        <v>350</v>
      </c>
      <c r="I270" s="19">
        <f>I271</f>
        <v>0</v>
      </c>
      <c r="J270" s="19">
        <f>J271</f>
        <v>0</v>
      </c>
      <c r="K270" s="59"/>
      <c r="L270" s="59"/>
      <c r="M270" s="59"/>
      <c r="N270" s="59"/>
    </row>
    <row r="271" spans="2:14" s="75" customFormat="1" ht="28.5" customHeight="1" x14ac:dyDescent="0.2">
      <c r="B271" s="20" t="s">
        <v>34</v>
      </c>
      <c r="C271" s="21" t="s">
        <v>9</v>
      </c>
      <c r="D271" s="28" t="s">
        <v>69</v>
      </c>
      <c r="E271" s="28" t="s">
        <v>13</v>
      </c>
      <c r="F271" s="23" t="s">
        <v>319</v>
      </c>
      <c r="G271" s="48" t="s">
        <v>35</v>
      </c>
      <c r="H271" s="19">
        <v>350</v>
      </c>
      <c r="I271" s="19">
        <v>0</v>
      </c>
      <c r="J271" s="57">
        <v>0</v>
      </c>
      <c r="K271" s="59"/>
      <c r="L271" s="59"/>
      <c r="M271" s="59"/>
      <c r="N271" s="59"/>
    </row>
    <row r="272" spans="2:14" s="75" customFormat="1" ht="41.25" customHeight="1" x14ac:dyDescent="0.2">
      <c r="B272" s="49" t="s">
        <v>259</v>
      </c>
      <c r="C272" s="21" t="s">
        <v>9</v>
      </c>
      <c r="D272" s="21" t="s">
        <v>69</v>
      </c>
      <c r="E272" s="21" t="s">
        <v>13</v>
      </c>
      <c r="F272" s="23" t="s">
        <v>320</v>
      </c>
      <c r="G272" s="21"/>
      <c r="H272" s="19">
        <f t="shared" ref="H272:J275" si="38">H273</f>
        <v>0</v>
      </c>
      <c r="I272" s="19">
        <f t="shared" si="38"/>
        <v>100</v>
      </c>
      <c r="J272" s="19">
        <f t="shared" si="38"/>
        <v>400</v>
      </c>
      <c r="K272" s="59"/>
      <c r="L272" s="59"/>
      <c r="M272" s="59"/>
      <c r="N272" s="59"/>
    </row>
    <row r="273" spans="2:14" s="75" customFormat="1" ht="15.75" customHeight="1" x14ac:dyDescent="0.2">
      <c r="B273" s="29" t="s">
        <v>16</v>
      </c>
      <c r="C273" s="21" t="s">
        <v>9</v>
      </c>
      <c r="D273" s="21" t="s">
        <v>69</v>
      </c>
      <c r="E273" s="21" t="s">
        <v>13</v>
      </c>
      <c r="F273" s="23" t="s">
        <v>321</v>
      </c>
      <c r="G273" s="21"/>
      <c r="H273" s="19">
        <f t="shared" si="38"/>
        <v>0</v>
      </c>
      <c r="I273" s="19">
        <f t="shared" si="38"/>
        <v>100</v>
      </c>
      <c r="J273" s="19">
        <f t="shared" si="38"/>
        <v>400</v>
      </c>
      <c r="K273" s="59"/>
      <c r="L273" s="59"/>
      <c r="M273" s="59"/>
      <c r="N273" s="59"/>
    </row>
    <row r="274" spans="2:14" s="75" customFormat="1" ht="40.5" customHeight="1" x14ac:dyDescent="0.2">
      <c r="B274" s="20" t="s">
        <v>322</v>
      </c>
      <c r="C274" s="21" t="s">
        <v>9</v>
      </c>
      <c r="D274" s="21" t="s">
        <v>69</v>
      </c>
      <c r="E274" s="21" t="s">
        <v>13</v>
      </c>
      <c r="F274" s="23" t="s">
        <v>323</v>
      </c>
      <c r="G274" s="21"/>
      <c r="H274" s="19">
        <f t="shared" si="38"/>
        <v>0</v>
      </c>
      <c r="I274" s="19">
        <f t="shared" si="38"/>
        <v>100</v>
      </c>
      <c r="J274" s="19">
        <f t="shared" si="38"/>
        <v>400</v>
      </c>
      <c r="K274" s="59"/>
      <c r="L274" s="59"/>
      <c r="M274" s="59"/>
      <c r="N274" s="59"/>
    </row>
    <row r="275" spans="2:14" s="75" customFormat="1" ht="26.25" customHeight="1" x14ac:dyDescent="0.2">
      <c r="B275" s="86" t="s">
        <v>262</v>
      </c>
      <c r="C275" s="21" t="s">
        <v>9</v>
      </c>
      <c r="D275" s="21" t="s">
        <v>69</v>
      </c>
      <c r="E275" s="21" t="s">
        <v>13</v>
      </c>
      <c r="F275" s="31" t="s">
        <v>324</v>
      </c>
      <c r="G275" s="21"/>
      <c r="H275" s="19">
        <f t="shared" si="38"/>
        <v>0</v>
      </c>
      <c r="I275" s="19">
        <f t="shared" si="38"/>
        <v>100</v>
      </c>
      <c r="J275" s="19">
        <f t="shared" si="38"/>
        <v>400</v>
      </c>
      <c r="K275" s="59"/>
      <c r="L275" s="59"/>
      <c r="M275" s="59"/>
      <c r="N275" s="59"/>
    </row>
    <row r="276" spans="2:14" s="75" customFormat="1" ht="24.75" customHeight="1" x14ac:dyDescent="0.2">
      <c r="B276" s="41" t="s">
        <v>34</v>
      </c>
      <c r="C276" s="21" t="s">
        <v>9</v>
      </c>
      <c r="D276" s="21" t="s">
        <v>69</v>
      </c>
      <c r="E276" s="21" t="s">
        <v>13</v>
      </c>
      <c r="F276" s="31" t="s">
        <v>324</v>
      </c>
      <c r="G276" s="21" t="s">
        <v>35</v>
      </c>
      <c r="H276" s="19">
        <f>1898.9-1898.9</f>
        <v>0</v>
      </c>
      <c r="I276" s="19">
        <v>100</v>
      </c>
      <c r="J276" s="57">
        <v>400</v>
      </c>
      <c r="K276" s="59"/>
      <c r="L276" s="59"/>
      <c r="M276" s="59"/>
      <c r="N276" s="59"/>
    </row>
    <row r="277" spans="2:14" s="75" customFormat="1" x14ac:dyDescent="0.2">
      <c r="B277" s="15" t="s">
        <v>325</v>
      </c>
      <c r="C277" s="16" t="s">
        <v>9</v>
      </c>
      <c r="D277" s="16" t="s">
        <v>69</v>
      </c>
      <c r="E277" s="16" t="s">
        <v>161</v>
      </c>
      <c r="F277" s="71"/>
      <c r="G277" s="16"/>
      <c r="H277" s="17">
        <f>H278+H304</f>
        <v>31276.199999999997</v>
      </c>
      <c r="I277" s="17">
        <f>I278+I304</f>
        <v>22538.300000000003</v>
      </c>
      <c r="J277" s="17">
        <f>J278+J304</f>
        <v>22431.4</v>
      </c>
      <c r="K277" s="59"/>
      <c r="L277" s="59"/>
      <c r="M277" s="59"/>
      <c r="N277" s="59"/>
    </row>
    <row r="278" spans="2:14" s="75" customFormat="1" ht="25.5" x14ac:dyDescent="0.2">
      <c r="B278" s="20" t="s">
        <v>326</v>
      </c>
      <c r="C278" s="21" t="s">
        <v>9</v>
      </c>
      <c r="D278" s="21" t="s">
        <v>69</v>
      </c>
      <c r="E278" s="21" t="s">
        <v>161</v>
      </c>
      <c r="F278" s="23" t="s">
        <v>327</v>
      </c>
      <c r="G278" s="16"/>
      <c r="H278" s="17">
        <f>H285+H279+H299</f>
        <v>22349.1</v>
      </c>
      <c r="I278" s="17">
        <f t="shared" ref="I278:J278" si="39">I285+I279+I299</f>
        <v>11611.2</v>
      </c>
      <c r="J278" s="17">
        <f t="shared" si="39"/>
        <v>10693.400000000001</v>
      </c>
      <c r="K278" s="59"/>
      <c r="L278" s="59"/>
      <c r="M278" s="59"/>
      <c r="N278" s="59"/>
    </row>
    <row r="279" spans="2:14" s="75" customFormat="1" x14ac:dyDescent="0.2">
      <c r="B279" s="20" t="s">
        <v>266</v>
      </c>
      <c r="C279" s="21" t="s">
        <v>9</v>
      </c>
      <c r="D279" s="21" t="s">
        <v>69</v>
      </c>
      <c r="E279" s="21" t="s">
        <v>161</v>
      </c>
      <c r="F279" s="23" t="s">
        <v>328</v>
      </c>
      <c r="G279" s="48"/>
      <c r="H279" s="19">
        <f>H280</f>
        <v>3152</v>
      </c>
      <c r="I279" s="19">
        <f t="shared" ref="I279:J279" si="40">I280</f>
        <v>1384</v>
      </c>
      <c r="J279" s="19">
        <f t="shared" si="40"/>
        <v>1328.8000000000002</v>
      </c>
      <c r="K279" s="59"/>
      <c r="L279" s="59"/>
      <c r="M279" s="59"/>
      <c r="N279" s="59"/>
    </row>
    <row r="280" spans="2:14" s="75" customFormat="1" x14ac:dyDescent="0.2">
      <c r="B280" s="81" t="s">
        <v>329</v>
      </c>
      <c r="C280" s="21" t="s">
        <v>9</v>
      </c>
      <c r="D280" s="21" t="s">
        <v>69</v>
      </c>
      <c r="E280" s="21" t="s">
        <v>161</v>
      </c>
      <c r="F280" s="23" t="s">
        <v>330</v>
      </c>
      <c r="G280" s="48"/>
      <c r="H280" s="19">
        <f>H281+H283</f>
        <v>3152</v>
      </c>
      <c r="I280" s="19">
        <f t="shared" ref="I280:J280" si="41">I281+I283</f>
        <v>1384</v>
      </c>
      <c r="J280" s="19">
        <f t="shared" si="41"/>
        <v>1328.8000000000002</v>
      </c>
      <c r="K280" s="59"/>
      <c r="L280" s="59"/>
      <c r="M280" s="59"/>
      <c r="N280" s="59"/>
    </row>
    <row r="281" spans="2:14" s="75" customFormat="1" ht="25.5" x14ac:dyDescent="0.2">
      <c r="B281" s="87" t="s">
        <v>331</v>
      </c>
      <c r="C281" s="21" t="s">
        <v>9</v>
      </c>
      <c r="D281" s="21" t="s">
        <v>69</v>
      </c>
      <c r="E281" s="21" t="s">
        <v>161</v>
      </c>
      <c r="F281" s="23" t="s">
        <v>332</v>
      </c>
      <c r="G281" s="48"/>
      <c r="H281" s="19">
        <f>H282</f>
        <v>1440.3</v>
      </c>
      <c r="I281" s="19">
        <f t="shared" ref="I281:J281" si="42">I282</f>
        <v>1384</v>
      </c>
      <c r="J281" s="19">
        <f t="shared" si="42"/>
        <v>1328.8000000000002</v>
      </c>
      <c r="K281" s="59"/>
      <c r="L281" s="59"/>
      <c r="M281" s="59"/>
      <c r="N281" s="59"/>
    </row>
    <row r="282" spans="2:14" s="75" customFormat="1" ht="25.5" x14ac:dyDescent="0.2">
      <c r="B282" s="20" t="s">
        <v>34</v>
      </c>
      <c r="C282" s="21" t="s">
        <v>9</v>
      </c>
      <c r="D282" s="21" t="s">
        <v>69</v>
      </c>
      <c r="E282" s="21" t="s">
        <v>161</v>
      </c>
      <c r="F282" s="23" t="s">
        <v>332</v>
      </c>
      <c r="G282" s="48" t="s">
        <v>35</v>
      </c>
      <c r="H282" s="19">
        <f>1296.3+144</f>
        <v>1440.3</v>
      </c>
      <c r="I282" s="19">
        <f>1245.6+138.4</f>
        <v>1384</v>
      </c>
      <c r="J282" s="57">
        <f>1195.9+132.9</f>
        <v>1328.8000000000002</v>
      </c>
      <c r="K282" s="59"/>
      <c r="L282" s="59"/>
      <c r="M282" s="59"/>
      <c r="N282" s="59"/>
    </row>
    <row r="283" spans="2:14" s="75" customFormat="1" ht="25.5" x14ac:dyDescent="0.2">
      <c r="B283" s="49" t="s">
        <v>333</v>
      </c>
      <c r="C283" s="21" t="s">
        <v>9</v>
      </c>
      <c r="D283" s="21" t="s">
        <v>69</v>
      </c>
      <c r="E283" s="21" t="s">
        <v>161</v>
      </c>
      <c r="F283" s="23" t="s">
        <v>334</v>
      </c>
      <c r="G283" s="48"/>
      <c r="H283" s="19">
        <f>H284</f>
        <v>1711.7</v>
      </c>
      <c r="I283" s="19">
        <f t="shared" ref="I283:J283" si="43">I284</f>
        <v>0</v>
      </c>
      <c r="J283" s="19">
        <f t="shared" si="43"/>
        <v>0</v>
      </c>
      <c r="K283" s="59"/>
      <c r="L283" s="59"/>
      <c r="M283" s="59"/>
      <c r="N283" s="59"/>
    </row>
    <row r="284" spans="2:14" s="75" customFormat="1" ht="25.5" x14ac:dyDescent="0.2">
      <c r="B284" s="20" t="s">
        <v>34</v>
      </c>
      <c r="C284" s="21" t="s">
        <v>9</v>
      </c>
      <c r="D284" s="21" t="s">
        <v>69</v>
      </c>
      <c r="E284" s="21" t="s">
        <v>161</v>
      </c>
      <c r="F284" s="23" t="s">
        <v>334</v>
      </c>
      <c r="G284" s="48" t="s">
        <v>35</v>
      </c>
      <c r="H284" s="19">
        <f>1540.5+171.2</f>
        <v>1711.7</v>
      </c>
      <c r="I284" s="19">
        <v>0</v>
      </c>
      <c r="J284" s="57">
        <v>0</v>
      </c>
      <c r="K284" s="59"/>
      <c r="L284" s="59"/>
      <c r="M284" s="59"/>
      <c r="N284" s="59"/>
    </row>
    <row r="285" spans="2:14" s="75" customFormat="1" x14ac:dyDescent="0.2">
      <c r="B285" s="88" t="s">
        <v>48</v>
      </c>
      <c r="C285" s="21" t="s">
        <v>9</v>
      </c>
      <c r="D285" s="21" t="s">
        <v>69</v>
      </c>
      <c r="E285" s="21" t="s">
        <v>161</v>
      </c>
      <c r="F285" s="23" t="s">
        <v>335</v>
      </c>
      <c r="G285" s="21"/>
      <c r="H285" s="19">
        <f>H286+H291+H294</f>
        <v>11557.8</v>
      </c>
      <c r="I285" s="19">
        <f t="shared" ref="I285:J285" si="44">I286+I291+I294+I287</f>
        <v>2587.9</v>
      </c>
      <c r="J285" s="19">
        <f t="shared" si="44"/>
        <v>1725.3</v>
      </c>
      <c r="K285" s="59"/>
      <c r="L285" s="59"/>
      <c r="M285" s="59"/>
      <c r="N285" s="59"/>
    </row>
    <row r="286" spans="2:14" s="75" customFormat="1" ht="27.75" customHeight="1" x14ac:dyDescent="0.2">
      <c r="B286" s="49" t="s">
        <v>336</v>
      </c>
      <c r="C286" s="21" t="s">
        <v>9</v>
      </c>
      <c r="D286" s="21" t="s">
        <v>69</v>
      </c>
      <c r="E286" s="21" t="s">
        <v>161</v>
      </c>
      <c r="F286" s="23" t="s">
        <v>337</v>
      </c>
      <c r="G286" s="21"/>
      <c r="H286" s="19">
        <f>H289+H287</f>
        <v>6551.9</v>
      </c>
      <c r="I286" s="19">
        <f>I289</f>
        <v>0</v>
      </c>
      <c r="J286" s="19">
        <f>J289</f>
        <v>0</v>
      </c>
      <c r="K286" s="59"/>
      <c r="L286" s="59"/>
      <c r="M286" s="59"/>
      <c r="N286" s="59"/>
    </row>
    <row r="287" spans="2:14" s="75" customFormat="1" ht="25.5" customHeight="1" x14ac:dyDescent="0.2">
      <c r="B287" s="49" t="s">
        <v>338</v>
      </c>
      <c r="C287" s="21" t="s">
        <v>9</v>
      </c>
      <c r="D287" s="21" t="s">
        <v>69</v>
      </c>
      <c r="E287" s="21" t="s">
        <v>161</v>
      </c>
      <c r="F287" s="23" t="s">
        <v>339</v>
      </c>
      <c r="G287" s="21"/>
      <c r="H287" s="19">
        <f>H288</f>
        <v>3286.2999999999997</v>
      </c>
      <c r="I287" s="19">
        <f t="shared" ref="I287:J287" si="45">I288</f>
        <v>0</v>
      </c>
      <c r="J287" s="19">
        <f t="shared" si="45"/>
        <v>0</v>
      </c>
      <c r="K287" s="59"/>
      <c r="L287" s="59"/>
      <c r="M287" s="59"/>
      <c r="N287" s="59"/>
    </row>
    <row r="288" spans="2:14" s="75" customFormat="1" ht="27.75" customHeight="1" x14ac:dyDescent="0.2">
      <c r="B288" s="20" t="s">
        <v>34</v>
      </c>
      <c r="C288" s="21" t="s">
        <v>9</v>
      </c>
      <c r="D288" s="21" t="s">
        <v>69</v>
      </c>
      <c r="E288" s="21" t="s">
        <v>161</v>
      </c>
      <c r="F288" s="23" t="s">
        <v>339</v>
      </c>
      <c r="G288" s="21" t="s">
        <v>35</v>
      </c>
      <c r="H288" s="19">
        <f>3889-931.3+328.6</f>
        <v>3286.2999999999997</v>
      </c>
      <c r="I288" s="19">
        <v>0</v>
      </c>
      <c r="J288" s="57">
        <v>0</v>
      </c>
      <c r="K288" s="59"/>
      <c r="L288" s="59"/>
      <c r="M288" s="59"/>
      <c r="N288" s="59"/>
    </row>
    <row r="289" spans="2:14" s="75" customFormat="1" x14ac:dyDescent="0.2">
      <c r="B289" s="49" t="s">
        <v>340</v>
      </c>
      <c r="C289" s="21" t="s">
        <v>9</v>
      </c>
      <c r="D289" s="21" t="s">
        <v>69</v>
      </c>
      <c r="E289" s="21" t="s">
        <v>161</v>
      </c>
      <c r="F289" s="23" t="s">
        <v>341</v>
      </c>
      <c r="G289" s="21"/>
      <c r="H289" s="19">
        <f t="shared" ref="H289:J289" si="46">H290</f>
        <v>3265.6000000000004</v>
      </c>
      <c r="I289" s="19">
        <f t="shared" si="46"/>
        <v>0</v>
      </c>
      <c r="J289" s="19">
        <f t="shared" si="46"/>
        <v>0</v>
      </c>
      <c r="K289" s="59"/>
      <c r="L289" s="59"/>
      <c r="M289" s="59"/>
      <c r="N289" s="59"/>
    </row>
    <row r="290" spans="2:14" s="75" customFormat="1" ht="26.25" customHeight="1" x14ac:dyDescent="0.2">
      <c r="B290" s="20" t="s">
        <v>34</v>
      </c>
      <c r="C290" s="21" t="s">
        <v>9</v>
      </c>
      <c r="D290" s="21" t="s">
        <v>69</v>
      </c>
      <c r="E290" s="21" t="s">
        <v>161</v>
      </c>
      <c r="F290" s="23" t="s">
        <v>341</v>
      </c>
      <c r="G290" s="21" t="s">
        <v>35</v>
      </c>
      <c r="H290" s="19">
        <f>745+82.8+2194+243.8</f>
        <v>3265.6000000000004</v>
      </c>
      <c r="I290" s="19">
        <v>0</v>
      </c>
      <c r="J290" s="19">
        <v>0</v>
      </c>
      <c r="K290" s="59"/>
      <c r="L290" s="59"/>
      <c r="M290" s="59"/>
      <c r="N290" s="59"/>
    </row>
    <row r="291" spans="2:14" s="75" customFormat="1" ht="25.5" x14ac:dyDescent="0.2">
      <c r="B291" s="82" t="s">
        <v>342</v>
      </c>
      <c r="C291" s="21" t="s">
        <v>9</v>
      </c>
      <c r="D291" s="21" t="s">
        <v>69</v>
      </c>
      <c r="E291" s="21" t="s">
        <v>161</v>
      </c>
      <c r="F291" s="23" t="s">
        <v>343</v>
      </c>
      <c r="G291" s="21"/>
      <c r="H291" s="19">
        <f t="shared" ref="H291:J292" si="47">H292</f>
        <v>4143.2</v>
      </c>
      <c r="I291" s="19">
        <f t="shared" si="47"/>
        <v>0</v>
      </c>
      <c r="J291" s="19">
        <f t="shared" si="47"/>
        <v>0</v>
      </c>
      <c r="K291" s="59"/>
      <c r="L291" s="59"/>
      <c r="M291" s="59"/>
      <c r="N291" s="59"/>
    </row>
    <row r="292" spans="2:14" s="75" customFormat="1" ht="25.5" x14ac:dyDescent="0.2">
      <c r="B292" s="82" t="s">
        <v>344</v>
      </c>
      <c r="C292" s="21" t="s">
        <v>9</v>
      </c>
      <c r="D292" s="21" t="s">
        <v>69</v>
      </c>
      <c r="E292" s="21" t="s">
        <v>161</v>
      </c>
      <c r="F292" s="23" t="s">
        <v>345</v>
      </c>
      <c r="G292" s="21"/>
      <c r="H292" s="19">
        <f t="shared" si="47"/>
        <v>4143.2</v>
      </c>
      <c r="I292" s="19">
        <f t="shared" si="47"/>
        <v>0</v>
      </c>
      <c r="J292" s="19">
        <f t="shared" si="47"/>
        <v>0</v>
      </c>
      <c r="K292" s="59"/>
      <c r="L292" s="59"/>
      <c r="M292" s="59"/>
      <c r="N292" s="59"/>
    </row>
    <row r="293" spans="2:14" s="75" customFormat="1" ht="25.5" x14ac:dyDescent="0.2">
      <c r="B293" s="33" t="s">
        <v>34</v>
      </c>
      <c r="C293" s="21" t="s">
        <v>9</v>
      </c>
      <c r="D293" s="21" t="s">
        <v>69</v>
      </c>
      <c r="E293" s="21" t="s">
        <v>161</v>
      </c>
      <c r="F293" s="23" t="s">
        <v>345</v>
      </c>
      <c r="G293" s="21" t="s">
        <v>35</v>
      </c>
      <c r="H293" s="19">
        <f>4101.8+41.4</f>
        <v>4143.2</v>
      </c>
      <c r="I293" s="19">
        <v>0</v>
      </c>
      <c r="J293" s="19">
        <v>0</v>
      </c>
      <c r="K293" s="59"/>
      <c r="L293" s="59"/>
      <c r="M293" s="59"/>
      <c r="N293" s="59"/>
    </row>
    <row r="294" spans="2:14" s="75" customFormat="1" ht="25.5" x14ac:dyDescent="0.2">
      <c r="B294" s="88" t="s">
        <v>346</v>
      </c>
      <c r="C294" s="21" t="s">
        <v>9</v>
      </c>
      <c r="D294" s="21" t="s">
        <v>69</v>
      </c>
      <c r="E294" s="21" t="s">
        <v>161</v>
      </c>
      <c r="F294" s="23" t="s">
        <v>347</v>
      </c>
      <c r="G294" s="21"/>
      <c r="H294" s="19">
        <f>H295+H297</f>
        <v>862.69999999999993</v>
      </c>
      <c r="I294" s="19">
        <f>I295+I297</f>
        <v>2587.9</v>
      </c>
      <c r="J294" s="19">
        <f>J295+J297</f>
        <v>1725.3</v>
      </c>
      <c r="K294" s="59"/>
      <c r="L294" s="59"/>
      <c r="M294" s="59"/>
      <c r="N294" s="59"/>
    </row>
    <row r="295" spans="2:14" s="75" customFormat="1" hidden="1" x14ac:dyDescent="0.2">
      <c r="B295" s="88" t="s">
        <v>348</v>
      </c>
      <c r="C295" s="21" t="s">
        <v>9</v>
      </c>
      <c r="D295" s="21" t="s">
        <v>69</v>
      </c>
      <c r="E295" s="21" t="s">
        <v>161</v>
      </c>
      <c r="F295" s="23" t="s">
        <v>349</v>
      </c>
      <c r="G295" s="21"/>
      <c r="H295" s="19">
        <f>H296</f>
        <v>0</v>
      </c>
      <c r="I295" s="19">
        <f>I296</f>
        <v>0</v>
      </c>
      <c r="J295" s="19">
        <f>J296</f>
        <v>0</v>
      </c>
      <c r="K295" s="59"/>
      <c r="L295" s="59"/>
      <c r="M295" s="59"/>
      <c r="N295" s="59"/>
    </row>
    <row r="296" spans="2:14" s="75" customFormat="1" ht="25.5" hidden="1" x14ac:dyDescent="0.2">
      <c r="B296" s="33" t="s">
        <v>34</v>
      </c>
      <c r="C296" s="21" t="s">
        <v>9</v>
      </c>
      <c r="D296" s="21" t="s">
        <v>69</v>
      </c>
      <c r="E296" s="21" t="s">
        <v>161</v>
      </c>
      <c r="F296" s="23" t="s">
        <v>349</v>
      </c>
      <c r="G296" s="21" t="s">
        <v>35</v>
      </c>
      <c r="H296" s="19"/>
      <c r="I296" s="19"/>
      <c r="J296" s="19"/>
      <c r="K296" s="59"/>
      <c r="L296" s="59"/>
      <c r="M296" s="59"/>
      <c r="N296" s="59"/>
    </row>
    <row r="297" spans="2:14" s="75" customFormat="1" ht="25.5" x14ac:dyDescent="0.2">
      <c r="B297" s="88" t="s">
        <v>350</v>
      </c>
      <c r="C297" s="21" t="s">
        <v>9</v>
      </c>
      <c r="D297" s="21" t="s">
        <v>69</v>
      </c>
      <c r="E297" s="21" t="s">
        <v>161</v>
      </c>
      <c r="F297" s="23" t="s">
        <v>351</v>
      </c>
      <c r="G297" s="48"/>
      <c r="H297" s="19">
        <f>H298</f>
        <v>862.69999999999993</v>
      </c>
      <c r="I297" s="19">
        <f>I298</f>
        <v>2587.9</v>
      </c>
      <c r="J297" s="19">
        <f>J298</f>
        <v>1725.3</v>
      </c>
      <c r="K297" s="59"/>
      <c r="L297" s="59"/>
      <c r="M297" s="59"/>
      <c r="N297" s="59"/>
    </row>
    <row r="298" spans="2:14" s="75" customFormat="1" ht="25.5" x14ac:dyDescent="0.2">
      <c r="B298" s="87" t="s">
        <v>34</v>
      </c>
      <c r="C298" s="21" t="s">
        <v>9</v>
      </c>
      <c r="D298" s="21" t="s">
        <v>69</v>
      </c>
      <c r="E298" s="21" t="s">
        <v>161</v>
      </c>
      <c r="F298" s="23" t="s">
        <v>351</v>
      </c>
      <c r="G298" s="48" t="s">
        <v>35</v>
      </c>
      <c r="H298" s="19">
        <f>836.8+25.9</f>
        <v>862.69999999999993</v>
      </c>
      <c r="I298" s="19">
        <f>2510.3+77.6</f>
        <v>2587.9</v>
      </c>
      <c r="J298" s="19">
        <f>1673.5+51.8</f>
        <v>1725.3</v>
      </c>
      <c r="K298" s="59"/>
      <c r="L298" s="59"/>
      <c r="M298" s="59"/>
      <c r="N298" s="59"/>
    </row>
    <row r="299" spans="2:14" s="75" customFormat="1" x14ac:dyDescent="0.2">
      <c r="B299" s="87" t="s">
        <v>16</v>
      </c>
      <c r="C299" s="21" t="s">
        <v>9</v>
      </c>
      <c r="D299" s="21" t="s">
        <v>69</v>
      </c>
      <c r="E299" s="21" t="s">
        <v>161</v>
      </c>
      <c r="F299" s="23" t="s">
        <v>352</v>
      </c>
      <c r="G299" s="48"/>
      <c r="H299" s="19">
        <f>H300</f>
        <v>7639.3</v>
      </c>
      <c r="I299" s="19">
        <f t="shared" ref="I299:J300" si="48">I300</f>
        <v>7639.3</v>
      </c>
      <c r="J299" s="19">
        <f t="shared" si="48"/>
        <v>7639.3</v>
      </c>
      <c r="K299" s="59"/>
      <c r="L299" s="59"/>
      <c r="M299" s="59"/>
      <c r="N299" s="59"/>
    </row>
    <row r="300" spans="2:14" s="53" customFormat="1" ht="15.75" customHeight="1" x14ac:dyDescent="0.2">
      <c r="B300" s="49" t="s">
        <v>353</v>
      </c>
      <c r="C300" s="21" t="s">
        <v>9</v>
      </c>
      <c r="D300" s="21" t="s">
        <v>69</v>
      </c>
      <c r="E300" s="21" t="s">
        <v>161</v>
      </c>
      <c r="F300" s="23" t="s">
        <v>355</v>
      </c>
      <c r="G300" s="21"/>
      <c r="H300" s="19">
        <f>H301</f>
        <v>7639.3</v>
      </c>
      <c r="I300" s="19">
        <f t="shared" si="48"/>
        <v>7639.3</v>
      </c>
      <c r="J300" s="19">
        <f t="shared" si="48"/>
        <v>7639.3</v>
      </c>
      <c r="K300" s="1"/>
      <c r="L300" s="1"/>
      <c r="M300" s="1"/>
      <c r="N300" s="1"/>
    </row>
    <row r="301" spans="2:14" s="53" customFormat="1" x14ac:dyDescent="0.2">
      <c r="B301" s="49" t="s">
        <v>356</v>
      </c>
      <c r="C301" s="21" t="s">
        <v>9</v>
      </c>
      <c r="D301" s="21" t="s">
        <v>69</v>
      </c>
      <c r="E301" s="21" t="s">
        <v>161</v>
      </c>
      <c r="F301" s="23" t="s">
        <v>357</v>
      </c>
      <c r="G301" s="21"/>
      <c r="H301" s="19">
        <f>H302+H303</f>
        <v>7639.3</v>
      </c>
      <c r="I301" s="19">
        <f>I302+I303</f>
        <v>7639.3</v>
      </c>
      <c r="J301" s="19">
        <f>J302+J303</f>
        <v>7639.3</v>
      </c>
      <c r="K301" s="1"/>
      <c r="L301" s="1"/>
      <c r="M301" s="1"/>
      <c r="N301" s="1"/>
    </row>
    <row r="302" spans="2:14" s="53" customFormat="1" ht="25.5" x14ac:dyDescent="0.2">
      <c r="B302" s="20" t="s">
        <v>34</v>
      </c>
      <c r="C302" s="21" t="s">
        <v>9</v>
      </c>
      <c r="D302" s="21" t="s">
        <v>69</v>
      </c>
      <c r="E302" s="21" t="s">
        <v>161</v>
      </c>
      <c r="F302" s="23" t="s">
        <v>357</v>
      </c>
      <c r="G302" s="21" t="s">
        <v>35</v>
      </c>
      <c r="H302" s="19">
        <f>5729.5+1909.8</f>
        <v>7639.3</v>
      </c>
      <c r="I302" s="19">
        <f>5729.5+1909.8</f>
        <v>7639.3</v>
      </c>
      <c r="J302" s="19">
        <f>5729.5+1909.8</f>
        <v>7639.3</v>
      </c>
      <c r="K302" s="1"/>
      <c r="L302" s="1"/>
      <c r="M302" s="1"/>
      <c r="N302" s="1"/>
    </row>
    <row r="303" spans="2:14" s="53" customFormat="1" hidden="1" x14ac:dyDescent="0.2">
      <c r="B303" s="89" t="s">
        <v>358</v>
      </c>
      <c r="C303" s="21" t="s">
        <v>354</v>
      </c>
      <c r="D303" s="21" t="s">
        <v>69</v>
      </c>
      <c r="E303" s="21" t="s">
        <v>161</v>
      </c>
      <c r="F303" s="23" t="s">
        <v>357</v>
      </c>
      <c r="G303" s="21" t="s">
        <v>39</v>
      </c>
      <c r="H303" s="19">
        <v>0</v>
      </c>
      <c r="I303" s="19">
        <v>0</v>
      </c>
      <c r="J303" s="19">
        <v>0</v>
      </c>
      <c r="K303" s="1"/>
      <c r="L303" s="1"/>
      <c r="M303" s="1"/>
      <c r="N303" s="1"/>
    </row>
    <row r="304" spans="2:14" s="75" customFormat="1" ht="38.25" x14ac:dyDescent="0.2">
      <c r="B304" s="87" t="s">
        <v>286</v>
      </c>
      <c r="C304" s="21" t="s">
        <v>9</v>
      </c>
      <c r="D304" s="21" t="s">
        <v>69</v>
      </c>
      <c r="E304" s="21" t="s">
        <v>161</v>
      </c>
      <c r="F304" s="23" t="s">
        <v>287</v>
      </c>
      <c r="G304" s="48"/>
      <c r="H304" s="19">
        <f t="shared" ref="H304:J305" si="49">H305</f>
        <v>8927.1</v>
      </c>
      <c r="I304" s="19">
        <f t="shared" si="49"/>
        <v>10927.1</v>
      </c>
      <c r="J304" s="19">
        <f t="shared" si="49"/>
        <v>11738</v>
      </c>
      <c r="K304" s="59"/>
      <c r="L304" s="59"/>
      <c r="M304" s="59"/>
      <c r="N304" s="59"/>
    </row>
    <row r="305" spans="2:14" s="75" customFormat="1" x14ac:dyDescent="0.2">
      <c r="B305" s="87" t="s">
        <v>16</v>
      </c>
      <c r="C305" s="21" t="s">
        <v>9</v>
      </c>
      <c r="D305" s="21" t="s">
        <v>69</v>
      </c>
      <c r="E305" s="21" t="s">
        <v>161</v>
      </c>
      <c r="F305" s="23" t="s">
        <v>309</v>
      </c>
      <c r="G305" s="48"/>
      <c r="H305" s="19">
        <f t="shared" si="49"/>
        <v>8927.1</v>
      </c>
      <c r="I305" s="19">
        <f t="shared" si="49"/>
        <v>10927.1</v>
      </c>
      <c r="J305" s="19">
        <f t="shared" si="49"/>
        <v>11738</v>
      </c>
      <c r="K305" s="59"/>
      <c r="L305" s="59"/>
      <c r="M305" s="59"/>
      <c r="N305" s="59"/>
    </row>
    <row r="306" spans="2:14" s="75" customFormat="1" ht="25.5" x14ac:dyDescent="0.2">
      <c r="B306" s="20" t="s">
        <v>359</v>
      </c>
      <c r="C306" s="21" t="s">
        <v>9</v>
      </c>
      <c r="D306" s="21" t="s">
        <v>69</v>
      </c>
      <c r="E306" s="21" t="s">
        <v>161</v>
      </c>
      <c r="F306" s="23" t="s">
        <v>360</v>
      </c>
      <c r="G306" s="48"/>
      <c r="H306" s="19">
        <f>H307+H309</f>
        <v>8927.1</v>
      </c>
      <c r="I306" s="19">
        <f>I307+I309</f>
        <v>10927.1</v>
      </c>
      <c r="J306" s="19">
        <f>J307+J309</f>
        <v>11738</v>
      </c>
      <c r="K306" s="59"/>
      <c r="L306" s="59"/>
      <c r="M306" s="59"/>
      <c r="N306" s="59"/>
    </row>
    <row r="307" spans="2:14" s="75" customFormat="1" ht="25.5" x14ac:dyDescent="0.2">
      <c r="B307" s="72" t="s">
        <v>220</v>
      </c>
      <c r="C307" s="21" t="s">
        <v>9</v>
      </c>
      <c r="D307" s="21" t="s">
        <v>69</v>
      </c>
      <c r="E307" s="21" t="s">
        <v>161</v>
      </c>
      <c r="F307" s="23" t="s">
        <v>361</v>
      </c>
      <c r="G307" s="73"/>
      <c r="H307" s="19">
        <f>H308</f>
        <v>1000</v>
      </c>
      <c r="I307" s="19">
        <f>I308</f>
        <v>3000</v>
      </c>
      <c r="J307" s="19">
        <f>J308</f>
        <v>3810.9</v>
      </c>
      <c r="K307" s="59"/>
      <c r="L307" s="59"/>
      <c r="M307" s="59"/>
      <c r="N307" s="59"/>
    </row>
    <row r="308" spans="2:14" s="75" customFormat="1" x14ac:dyDescent="0.2">
      <c r="B308" s="72" t="s">
        <v>145</v>
      </c>
      <c r="C308" s="21" t="s">
        <v>9</v>
      </c>
      <c r="D308" s="21" t="s">
        <v>69</v>
      </c>
      <c r="E308" s="21" t="s">
        <v>161</v>
      </c>
      <c r="F308" s="23" t="s">
        <v>361</v>
      </c>
      <c r="G308" s="28" t="s">
        <v>101</v>
      </c>
      <c r="H308" s="19">
        <v>1000</v>
      </c>
      <c r="I308" s="19">
        <v>3000</v>
      </c>
      <c r="J308" s="19">
        <f>3000+810.9</f>
        <v>3810.9</v>
      </c>
      <c r="K308" s="59"/>
      <c r="L308" s="59"/>
      <c r="M308" s="59"/>
      <c r="N308" s="59"/>
    </row>
    <row r="309" spans="2:14" s="75" customFormat="1" ht="25.5" x14ac:dyDescent="0.2">
      <c r="B309" s="49" t="s">
        <v>40</v>
      </c>
      <c r="C309" s="21" t="s">
        <v>9</v>
      </c>
      <c r="D309" s="21" t="s">
        <v>69</v>
      </c>
      <c r="E309" s="21" t="s">
        <v>161</v>
      </c>
      <c r="F309" s="23" t="s">
        <v>362</v>
      </c>
      <c r="G309" s="21"/>
      <c r="H309" s="19">
        <f>H310</f>
        <v>7927.1</v>
      </c>
      <c r="I309" s="19">
        <f>I310</f>
        <v>7927.1</v>
      </c>
      <c r="J309" s="19">
        <f>J310</f>
        <v>7927.1</v>
      </c>
      <c r="K309" s="59"/>
      <c r="L309" s="59"/>
      <c r="M309" s="59"/>
      <c r="N309" s="59"/>
    </row>
    <row r="310" spans="2:14" s="75" customFormat="1" x14ac:dyDescent="0.2">
      <c r="B310" s="49" t="s">
        <v>145</v>
      </c>
      <c r="C310" s="21" t="s">
        <v>9</v>
      </c>
      <c r="D310" s="21" t="s">
        <v>69</v>
      </c>
      <c r="E310" s="21" t="s">
        <v>161</v>
      </c>
      <c r="F310" s="23" t="s">
        <v>362</v>
      </c>
      <c r="G310" s="21" t="s">
        <v>101</v>
      </c>
      <c r="H310" s="19">
        <v>7927.1</v>
      </c>
      <c r="I310" s="19">
        <v>7927.1</v>
      </c>
      <c r="J310" s="19">
        <v>7927.1</v>
      </c>
      <c r="K310" s="59"/>
      <c r="L310" s="59"/>
      <c r="M310" s="59"/>
      <c r="N310" s="59"/>
    </row>
    <row r="311" spans="2:14" s="59" customFormat="1" x14ac:dyDescent="0.2">
      <c r="B311" s="90" t="s">
        <v>363</v>
      </c>
      <c r="C311" s="16" t="s">
        <v>9</v>
      </c>
      <c r="D311" s="16" t="s">
        <v>364</v>
      </c>
      <c r="E311" s="16"/>
      <c r="F311" s="71"/>
      <c r="G311" s="16"/>
      <c r="H311" s="17">
        <f t="shared" ref="H311:J312" si="50">H312</f>
        <v>675</v>
      </c>
      <c r="I311" s="17">
        <f t="shared" si="50"/>
        <v>176</v>
      </c>
      <c r="J311" s="17">
        <f t="shared" si="50"/>
        <v>176</v>
      </c>
    </row>
    <row r="312" spans="2:14" s="59" customFormat="1" x14ac:dyDescent="0.2">
      <c r="B312" s="58" t="s">
        <v>365</v>
      </c>
      <c r="C312" s="16" t="s">
        <v>9</v>
      </c>
      <c r="D312" s="16" t="s">
        <v>364</v>
      </c>
      <c r="E312" s="16" t="s">
        <v>69</v>
      </c>
      <c r="F312" s="71"/>
      <c r="G312" s="16"/>
      <c r="H312" s="17">
        <f t="shared" si="50"/>
        <v>675</v>
      </c>
      <c r="I312" s="17">
        <f t="shared" si="50"/>
        <v>176</v>
      </c>
      <c r="J312" s="17">
        <f t="shared" si="50"/>
        <v>176</v>
      </c>
    </row>
    <row r="313" spans="2:14" s="1" customFormat="1" ht="27.75" customHeight="1" x14ac:dyDescent="0.2">
      <c r="B313" s="20" t="s">
        <v>366</v>
      </c>
      <c r="C313" s="21" t="s">
        <v>9</v>
      </c>
      <c r="D313" s="21" t="s">
        <v>364</v>
      </c>
      <c r="E313" s="21" t="s">
        <v>69</v>
      </c>
      <c r="F313" s="23" t="s">
        <v>62</v>
      </c>
      <c r="G313" s="21"/>
      <c r="H313" s="19">
        <f>H314+H321</f>
        <v>675</v>
      </c>
      <c r="I313" s="19">
        <f>I314+I321</f>
        <v>176</v>
      </c>
      <c r="J313" s="19">
        <f>J314+J321</f>
        <v>176</v>
      </c>
    </row>
    <row r="314" spans="2:14" s="1" customFormat="1" ht="19.5" customHeight="1" x14ac:dyDescent="0.2">
      <c r="B314" s="38" t="s">
        <v>48</v>
      </c>
      <c r="C314" s="21" t="s">
        <v>9</v>
      </c>
      <c r="D314" s="21" t="s">
        <v>364</v>
      </c>
      <c r="E314" s="21" t="s">
        <v>69</v>
      </c>
      <c r="F314" s="23" t="s">
        <v>367</v>
      </c>
      <c r="G314" s="21"/>
      <c r="H314" s="19">
        <f>H315+H318</f>
        <v>649</v>
      </c>
      <c r="I314" s="19">
        <f>I315+I318</f>
        <v>150</v>
      </c>
      <c r="J314" s="19">
        <f>J315+J318</f>
        <v>150</v>
      </c>
    </row>
    <row r="315" spans="2:14" s="1" customFormat="1" ht="27.75" customHeight="1" x14ac:dyDescent="0.2">
      <c r="B315" s="20" t="s">
        <v>368</v>
      </c>
      <c r="C315" s="21" t="s">
        <v>9</v>
      </c>
      <c r="D315" s="21" t="s">
        <v>364</v>
      </c>
      <c r="E315" s="21" t="s">
        <v>69</v>
      </c>
      <c r="F315" s="23" t="s">
        <v>369</v>
      </c>
      <c r="G315" s="48"/>
      <c r="H315" s="19">
        <f t="shared" ref="H315:J316" si="51">H316</f>
        <v>549</v>
      </c>
      <c r="I315" s="19">
        <f t="shared" si="51"/>
        <v>150</v>
      </c>
      <c r="J315" s="19">
        <f t="shared" si="51"/>
        <v>150</v>
      </c>
    </row>
    <row r="316" spans="2:14" s="1" customFormat="1" ht="15.75" customHeight="1" x14ac:dyDescent="0.2">
      <c r="B316" s="20" t="s">
        <v>370</v>
      </c>
      <c r="C316" s="21" t="s">
        <v>9</v>
      </c>
      <c r="D316" s="21" t="s">
        <v>364</v>
      </c>
      <c r="E316" s="21" t="s">
        <v>69</v>
      </c>
      <c r="F316" s="23" t="s">
        <v>371</v>
      </c>
      <c r="G316" s="48"/>
      <c r="H316" s="19">
        <f t="shared" si="51"/>
        <v>549</v>
      </c>
      <c r="I316" s="19">
        <f t="shared" si="51"/>
        <v>150</v>
      </c>
      <c r="J316" s="19">
        <f t="shared" si="51"/>
        <v>150</v>
      </c>
    </row>
    <row r="317" spans="2:14" s="1" customFormat="1" ht="27.75" customHeight="1" x14ac:dyDescent="0.2">
      <c r="B317" s="20" t="s">
        <v>34</v>
      </c>
      <c r="C317" s="21" t="s">
        <v>9</v>
      </c>
      <c r="D317" s="21" t="s">
        <v>364</v>
      </c>
      <c r="E317" s="21" t="s">
        <v>69</v>
      </c>
      <c r="F317" s="23" t="s">
        <v>371</v>
      </c>
      <c r="G317" s="48" t="s">
        <v>35</v>
      </c>
      <c r="H317" s="19">
        <f>249+300</f>
        <v>549</v>
      </c>
      <c r="I317" s="19">
        <v>150</v>
      </c>
      <c r="J317" s="19">
        <v>150</v>
      </c>
    </row>
    <row r="318" spans="2:14" s="1" customFormat="1" ht="25.5" x14ac:dyDescent="0.2">
      <c r="B318" s="33" t="s">
        <v>372</v>
      </c>
      <c r="C318" s="21" t="s">
        <v>9</v>
      </c>
      <c r="D318" s="21" t="s">
        <v>364</v>
      </c>
      <c r="E318" s="21" t="s">
        <v>69</v>
      </c>
      <c r="F318" s="23" t="s">
        <v>373</v>
      </c>
      <c r="G318" s="21"/>
      <c r="H318" s="19">
        <f t="shared" ref="H318:J319" si="52">H319</f>
        <v>100</v>
      </c>
      <c r="I318" s="19">
        <f t="shared" si="52"/>
        <v>0</v>
      </c>
      <c r="J318" s="19">
        <f t="shared" si="52"/>
        <v>0</v>
      </c>
    </row>
    <row r="319" spans="2:14" s="1" customFormat="1" ht="25.5" x14ac:dyDescent="0.2">
      <c r="B319" s="20" t="s">
        <v>374</v>
      </c>
      <c r="C319" s="21" t="s">
        <v>9</v>
      </c>
      <c r="D319" s="91" t="s">
        <v>364</v>
      </c>
      <c r="E319" s="91" t="s">
        <v>69</v>
      </c>
      <c r="F319" s="23" t="s">
        <v>375</v>
      </c>
      <c r="G319" s="21"/>
      <c r="H319" s="19">
        <f t="shared" si="52"/>
        <v>100</v>
      </c>
      <c r="I319" s="19">
        <f t="shared" si="52"/>
        <v>0</v>
      </c>
      <c r="J319" s="19">
        <f t="shared" si="52"/>
        <v>0</v>
      </c>
    </row>
    <row r="320" spans="2:14" s="1" customFormat="1" ht="25.5" x14ac:dyDescent="0.2">
      <c r="B320" s="20" t="s">
        <v>34</v>
      </c>
      <c r="C320" s="21" t="s">
        <v>9</v>
      </c>
      <c r="D320" s="91" t="s">
        <v>364</v>
      </c>
      <c r="E320" s="91" t="s">
        <v>69</v>
      </c>
      <c r="F320" s="23" t="s">
        <v>375</v>
      </c>
      <c r="G320" s="21" t="s">
        <v>35</v>
      </c>
      <c r="H320" s="19">
        <f>2300+100-2300</f>
        <v>100</v>
      </c>
      <c r="I320" s="19">
        <v>0</v>
      </c>
      <c r="J320" s="19">
        <v>0</v>
      </c>
    </row>
    <row r="321" spans="2:10" s="1" customFormat="1" x14ac:dyDescent="0.2">
      <c r="B321" s="20" t="s">
        <v>16</v>
      </c>
      <c r="C321" s="21" t="s">
        <v>9</v>
      </c>
      <c r="D321" s="21" t="s">
        <v>364</v>
      </c>
      <c r="E321" s="21" t="s">
        <v>69</v>
      </c>
      <c r="F321" s="23" t="s">
        <v>63</v>
      </c>
      <c r="G321" s="21"/>
      <c r="H321" s="19">
        <f t="shared" ref="H321:J322" si="53">H322</f>
        <v>26</v>
      </c>
      <c r="I321" s="19">
        <f t="shared" si="53"/>
        <v>26</v>
      </c>
      <c r="J321" s="19">
        <f t="shared" si="53"/>
        <v>26</v>
      </c>
    </row>
    <row r="322" spans="2:10" s="1" customFormat="1" ht="25.5" x14ac:dyDescent="0.2">
      <c r="B322" s="20" t="s">
        <v>376</v>
      </c>
      <c r="C322" s="21" t="s">
        <v>9</v>
      </c>
      <c r="D322" s="21" t="s">
        <v>364</v>
      </c>
      <c r="E322" s="21" t="s">
        <v>69</v>
      </c>
      <c r="F322" s="23" t="s">
        <v>377</v>
      </c>
      <c r="G322" s="21"/>
      <c r="H322" s="19">
        <f t="shared" si="53"/>
        <v>26</v>
      </c>
      <c r="I322" s="19">
        <f t="shared" si="53"/>
        <v>26</v>
      </c>
      <c r="J322" s="19">
        <f t="shared" si="53"/>
        <v>26</v>
      </c>
    </row>
    <row r="323" spans="2:10" s="1" customFormat="1" x14ac:dyDescent="0.2">
      <c r="B323" s="42" t="s">
        <v>378</v>
      </c>
      <c r="C323" s="21" t="s">
        <v>9</v>
      </c>
      <c r="D323" s="21" t="s">
        <v>364</v>
      </c>
      <c r="E323" s="21" t="s">
        <v>69</v>
      </c>
      <c r="F323" s="23" t="s">
        <v>379</v>
      </c>
      <c r="G323" s="21"/>
      <c r="H323" s="19">
        <f>H324+H325+H326</f>
        <v>26</v>
      </c>
      <c r="I323" s="19">
        <f>I324+I325+I326</f>
        <v>26</v>
      </c>
      <c r="J323" s="19">
        <f>J324+J325+J326</f>
        <v>26</v>
      </c>
    </row>
    <row r="324" spans="2:10" s="1" customFormat="1" ht="25.5" x14ac:dyDescent="0.2">
      <c r="B324" s="20" t="s">
        <v>34</v>
      </c>
      <c r="C324" s="21" t="s">
        <v>9</v>
      </c>
      <c r="D324" s="21" t="s">
        <v>364</v>
      </c>
      <c r="E324" s="21" t="s">
        <v>69</v>
      </c>
      <c r="F324" s="23" t="s">
        <v>379</v>
      </c>
      <c r="G324" s="21" t="s">
        <v>35</v>
      </c>
      <c r="H324" s="19">
        <v>6</v>
      </c>
      <c r="I324" s="19">
        <v>6</v>
      </c>
      <c r="J324" s="19">
        <v>6</v>
      </c>
    </row>
    <row r="325" spans="2:10" s="1" customFormat="1" x14ac:dyDescent="0.2">
      <c r="B325" s="49" t="s">
        <v>100</v>
      </c>
      <c r="C325" s="21" t="s">
        <v>9</v>
      </c>
      <c r="D325" s="21" t="s">
        <v>364</v>
      </c>
      <c r="E325" s="21" t="s">
        <v>69</v>
      </c>
      <c r="F325" s="23" t="s">
        <v>379</v>
      </c>
      <c r="G325" s="21" t="s">
        <v>101</v>
      </c>
      <c r="H325" s="19">
        <f>10</f>
        <v>10</v>
      </c>
      <c r="I325" s="19">
        <f>10</f>
        <v>10</v>
      </c>
      <c r="J325" s="19">
        <f>10</f>
        <v>10</v>
      </c>
    </row>
    <row r="326" spans="2:10" s="1" customFormat="1" x14ac:dyDescent="0.2">
      <c r="B326" s="49" t="s">
        <v>380</v>
      </c>
      <c r="C326" s="21" t="s">
        <v>9</v>
      </c>
      <c r="D326" s="21" t="s">
        <v>364</v>
      </c>
      <c r="E326" s="21" t="s">
        <v>69</v>
      </c>
      <c r="F326" s="23" t="s">
        <v>379</v>
      </c>
      <c r="G326" s="21" t="s">
        <v>147</v>
      </c>
      <c r="H326" s="19">
        <v>10</v>
      </c>
      <c r="I326" s="19">
        <v>10</v>
      </c>
      <c r="J326" s="19">
        <v>10</v>
      </c>
    </row>
    <row r="327" spans="2:10" s="59" customFormat="1" x14ac:dyDescent="0.2">
      <c r="B327" s="15" t="s">
        <v>381</v>
      </c>
      <c r="C327" s="16" t="s">
        <v>9</v>
      </c>
      <c r="D327" s="16" t="s">
        <v>382</v>
      </c>
      <c r="E327" s="16"/>
      <c r="F327" s="71"/>
      <c r="G327" s="16"/>
      <c r="H327" s="17">
        <f>H334+H340+H328</f>
        <v>39238.1</v>
      </c>
      <c r="I327" s="17">
        <f>I334+I340+I328</f>
        <v>7382.4</v>
      </c>
      <c r="J327" s="17">
        <f>J334+J340+J328</f>
        <v>7382.4</v>
      </c>
    </row>
    <row r="328" spans="2:10" s="59" customFormat="1" x14ac:dyDescent="0.2">
      <c r="B328" s="15" t="s">
        <v>383</v>
      </c>
      <c r="C328" s="16" t="s">
        <v>9</v>
      </c>
      <c r="D328" s="16" t="s">
        <v>382</v>
      </c>
      <c r="E328" s="16" t="s">
        <v>13</v>
      </c>
      <c r="F328" s="71"/>
      <c r="G328" s="16"/>
      <c r="H328" s="17">
        <f>H329</f>
        <v>31855.7</v>
      </c>
      <c r="I328" s="17">
        <f t="shared" ref="I328:J332" si="54">I329</f>
        <v>0</v>
      </c>
      <c r="J328" s="17">
        <f t="shared" si="54"/>
        <v>0</v>
      </c>
    </row>
    <row r="329" spans="2:10" s="59" customFormat="1" ht="25.5" x14ac:dyDescent="0.2">
      <c r="B329" s="49" t="s">
        <v>202</v>
      </c>
      <c r="C329" s="21" t="s">
        <v>9</v>
      </c>
      <c r="D329" s="21" t="s">
        <v>382</v>
      </c>
      <c r="E329" s="21" t="s">
        <v>13</v>
      </c>
      <c r="F329" s="23" t="s">
        <v>203</v>
      </c>
      <c r="G329" s="21"/>
      <c r="H329" s="19">
        <f>H330</f>
        <v>31855.7</v>
      </c>
      <c r="I329" s="19">
        <f t="shared" si="54"/>
        <v>0</v>
      </c>
      <c r="J329" s="19">
        <f t="shared" si="54"/>
        <v>0</v>
      </c>
    </row>
    <row r="330" spans="2:10" s="59" customFormat="1" x14ac:dyDescent="0.2">
      <c r="B330" s="92" t="s">
        <v>48</v>
      </c>
      <c r="C330" s="21" t="s">
        <v>9</v>
      </c>
      <c r="D330" s="21" t="s">
        <v>382</v>
      </c>
      <c r="E330" s="21" t="s">
        <v>13</v>
      </c>
      <c r="F330" s="31" t="s">
        <v>384</v>
      </c>
      <c r="G330" s="21"/>
      <c r="H330" s="19">
        <f>H331</f>
        <v>31855.7</v>
      </c>
      <c r="I330" s="19">
        <f t="shared" si="54"/>
        <v>0</v>
      </c>
      <c r="J330" s="19">
        <f t="shared" si="54"/>
        <v>0</v>
      </c>
    </row>
    <row r="331" spans="2:10" s="59" customFormat="1" ht="25.5" x14ac:dyDescent="0.2">
      <c r="B331" s="41" t="s">
        <v>385</v>
      </c>
      <c r="C331" s="21" t="s">
        <v>9</v>
      </c>
      <c r="D331" s="21" t="s">
        <v>382</v>
      </c>
      <c r="E331" s="21" t="s">
        <v>13</v>
      </c>
      <c r="F331" s="31" t="s">
        <v>386</v>
      </c>
      <c r="G331" s="21"/>
      <c r="H331" s="19">
        <f>H332</f>
        <v>31855.7</v>
      </c>
      <c r="I331" s="19">
        <f t="shared" si="54"/>
        <v>0</v>
      </c>
      <c r="J331" s="19">
        <f t="shared" si="54"/>
        <v>0</v>
      </c>
    </row>
    <row r="332" spans="2:10" s="59" customFormat="1" ht="38.25" x14ac:dyDescent="0.2">
      <c r="B332" s="72" t="s">
        <v>387</v>
      </c>
      <c r="C332" s="21" t="s">
        <v>9</v>
      </c>
      <c r="D332" s="21" t="s">
        <v>382</v>
      </c>
      <c r="E332" s="21" t="s">
        <v>13</v>
      </c>
      <c r="F332" s="93" t="s">
        <v>388</v>
      </c>
      <c r="G332" s="21"/>
      <c r="H332" s="94">
        <f>H333</f>
        <v>31855.7</v>
      </c>
      <c r="I332" s="94">
        <f t="shared" si="54"/>
        <v>0</v>
      </c>
      <c r="J332" s="94">
        <f t="shared" si="54"/>
        <v>0</v>
      </c>
    </row>
    <row r="333" spans="2:10" s="59" customFormat="1" x14ac:dyDescent="0.2">
      <c r="B333" s="121" t="s">
        <v>272</v>
      </c>
      <c r="C333" s="21" t="s">
        <v>9</v>
      </c>
      <c r="D333" s="21" t="s">
        <v>382</v>
      </c>
      <c r="E333" s="21" t="s">
        <v>13</v>
      </c>
      <c r="F333" s="93" t="s">
        <v>388</v>
      </c>
      <c r="G333" s="21" t="s">
        <v>273</v>
      </c>
      <c r="H333" s="94">
        <f>30900+955.7</f>
        <v>31855.7</v>
      </c>
      <c r="I333" s="94">
        <v>0</v>
      </c>
      <c r="J333" s="96">
        <v>0</v>
      </c>
    </row>
    <row r="334" spans="2:10" s="59" customFormat="1" x14ac:dyDescent="0.2">
      <c r="B334" s="15" t="s">
        <v>389</v>
      </c>
      <c r="C334" s="16" t="s">
        <v>9</v>
      </c>
      <c r="D334" s="16" t="s">
        <v>382</v>
      </c>
      <c r="E334" s="16" t="s">
        <v>161</v>
      </c>
      <c r="F334" s="23"/>
      <c r="G334" s="16"/>
      <c r="H334" s="17">
        <f t="shared" ref="H334:J338" si="55">H335</f>
        <v>6997.4</v>
      </c>
      <c r="I334" s="17">
        <f t="shared" si="55"/>
        <v>6997.4</v>
      </c>
      <c r="J334" s="17">
        <f t="shared" si="55"/>
        <v>6997.4</v>
      </c>
    </row>
    <row r="335" spans="2:10" s="59" customFormat="1" ht="42.75" customHeight="1" x14ac:dyDescent="0.2">
      <c r="B335" s="46" t="s">
        <v>138</v>
      </c>
      <c r="C335" s="21" t="s">
        <v>9</v>
      </c>
      <c r="D335" s="21" t="s">
        <v>382</v>
      </c>
      <c r="E335" s="21" t="s">
        <v>161</v>
      </c>
      <c r="F335" s="23" t="s">
        <v>139</v>
      </c>
      <c r="G335" s="21"/>
      <c r="H335" s="19">
        <f t="shared" si="55"/>
        <v>6997.4</v>
      </c>
      <c r="I335" s="19">
        <f t="shared" si="55"/>
        <v>6997.4</v>
      </c>
      <c r="J335" s="19">
        <f t="shared" si="55"/>
        <v>6997.4</v>
      </c>
    </row>
    <row r="336" spans="2:10" s="59" customFormat="1" ht="15.75" customHeight="1" x14ac:dyDescent="0.2">
      <c r="B336" s="97" t="s">
        <v>16</v>
      </c>
      <c r="C336" s="21" t="s">
        <v>9</v>
      </c>
      <c r="D336" s="21" t="s">
        <v>382</v>
      </c>
      <c r="E336" s="21" t="s">
        <v>161</v>
      </c>
      <c r="F336" s="23" t="s">
        <v>148</v>
      </c>
      <c r="G336" s="21"/>
      <c r="H336" s="19">
        <f t="shared" si="55"/>
        <v>6997.4</v>
      </c>
      <c r="I336" s="19">
        <f t="shared" si="55"/>
        <v>6997.4</v>
      </c>
      <c r="J336" s="19">
        <f t="shared" si="55"/>
        <v>6997.4</v>
      </c>
    </row>
    <row r="337" spans="2:10" s="59" customFormat="1" ht="24.75" customHeight="1" x14ac:dyDescent="0.2">
      <c r="B337" s="38" t="s">
        <v>390</v>
      </c>
      <c r="C337" s="21" t="s">
        <v>9</v>
      </c>
      <c r="D337" s="21" t="s">
        <v>382</v>
      </c>
      <c r="E337" s="21" t="s">
        <v>161</v>
      </c>
      <c r="F337" s="23" t="s">
        <v>391</v>
      </c>
      <c r="G337" s="21"/>
      <c r="H337" s="19">
        <f t="shared" si="55"/>
        <v>6997.4</v>
      </c>
      <c r="I337" s="19">
        <f t="shared" si="55"/>
        <v>6997.4</v>
      </c>
      <c r="J337" s="19">
        <f t="shared" si="55"/>
        <v>6997.4</v>
      </c>
    </row>
    <row r="338" spans="2:10" s="59" customFormat="1" ht="15.75" customHeight="1" x14ac:dyDescent="0.2">
      <c r="B338" s="20" t="s">
        <v>597</v>
      </c>
      <c r="C338" s="21" t="s">
        <v>9</v>
      </c>
      <c r="D338" s="21" t="s">
        <v>382</v>
      </c>
      <c r="E338" s="21" t="s">
        <v>161</v>
      </c>
      <c r="F338" s="23" t="s">
        <v>392</v>
      </c>
      <c r="G338" s="21"/>
      <c r="H338" s="19">
        <f t="shared" si="55"/>
        <v>6997.4</v>
      </c>
      <c r="I338" s="19">
        <f t="shared" si="55"/>
        <v>6997.4</v>
      </c>
      <c r="J338" s="19">
        <f t="shared" si="55"/>
        <v>6997.4</v>
      </c>
    </row>
    <row r="339" spans="2:10" s="59" customFormat="1" ht="14.25" customHeight="1" x14ac:dyDescent="0.2">
      <c r="B339" s="49" t="s">
        <v>145</v>
      </c>
      <c r="C339" s="21" t="s">
        <v>9</v>
      </c>
      <c r="D339" s="21" t="s">
        <v>382</v>
      </c>
      <c r="E339" s="21" t="s">
        <v>161</v>
      </c>
      <c r="F339" s="23" t="s">
        <v>392</v>
      </c>
      <c r="G339" s="21" t="s">
        <v>101</v>
      </c>
      <c r="H339" s="19">
        <v>6997.4</v>
      </c>
      <c r="I339" s="19">
        <v>6997.4</v>
      </c>
      <c r="J339" s="19">
        <v>6997.4</v>
      </c>
    </row>
    <row r="340" spans="2:10" s="59" customFormat="1" x14ac:dyDescent="0.2">
      <c r="B340" s="58" t="s">
        <v>393</v>
      </c>
      <c r="C340" s="16" t="s">
        <v>9</v>
      </c>
      <c r="D340" s="16" t="s">
        <v>382</v>
      </c>
      <c r="E340" s="16" t="s">
        <v>382</v>
      </c>
      <c r="F340" s="71"/>
      <c r="G340" s="16"/>
      <c r="H340" s="17">
        <f>H341</f>
        <v>385</v>
      </c>
      <c r="I340" s="17">
        <f>I341</f>
        <v>385</v>
      </c>
      <c r="J340" s="17">
        <f>J341</f>
        <v>385</v>
      </c>
    </row>
    <row r="341" spans="2:10" s="1" customFormat="1" ht="38.25" x14ac:dyDescent="0.2">
      <c r="B341" s="49" t="s">
        <v>138</v>
      </c>
      <c r="C341" s="21" t="s">
        <v>9</v>
      </c>
      <c r="D341" s="21" t="s">
        <v>382</v>
      </c>
      <c r="E341" s="21" t="s">
        <v>382</v>
      </c>
      <c r="F341" s="23" t="s">
        <v>139</v>
      </c>
      <c r="G341" s="21"/>
      <c r="H341" s="19">
        <f>H342+H346</f>
        <v>385</v>
      </c>
      <c r="I341" s="19">
        <f>I342+I346</f>
        <v>385</v>
      </c>
      <c r="J341" s="19">
        <f>J342+J346</f>
        <v>385</v>
      </c>
    </row>
    <row r="342" spans="2:10" s="1" customFormat="1" hidden="1" x14ac:dyDescent="0.2">
      <c r="B342" s="49" t="s">
        <v>48</v>
      </c>
      <c r="C342" s="21" t="s">
        <v>9</v>
      </c>
      <c r="D342" s="21" t="s">
        <v>382</v>
      </c>
      <c r="E342" s="21" t="s">
        <v>382</v>
      </c>
      <c r="F342" s="23" t="s">
        <v>140</v>
      </c>
      <c r="G342" s="21"/>
      <c r="H342" s="19">
        <f t="shared" ref="H342:J344" si="56">H343</f>
        <v>0</v>
      </c>
      <c r="I342" s="19">
        <f t="shared" si="56"/>
        <v>0</v>
      </c>
      <c r="J342" s="19">
        <f t="shared" si="56"/>
        <v>0</v>
      </c>
    </row>
    <row r="343" spans="2:10" s="1" customFormat="1" hidden="1" x14ac:dyDescent="0.2">
      <c r="B343" s="56" t="s">
        <v>394</v>
      </c>
      <c r="C343" s="21" t="s">
        <v>9</v>
      </c>
      <c r="D343" s="21" t="s">
        <v>382</v>
      </c>
      <c r="E343" s="21" t="s">
        <v>382</v>
      </c>
      <c r="F343" s="23" t="s">
        <v>395</v>
      </c>
      <c r="G343" s="21"/>
      <c r="H343" s="19">
        <f t="shared" si="56"/>
        <v>0</v>
      </c>
      <c r="I343" s="19">
        <f t="shared" si="56"/>
        <v>0</v>
      </c>
      <c r="J343" s="19">
        <f t="shared" si="56"/>
        <v>0</v>
      </c>
    </row>
    <row r="344" spans="2:10" s="1" customFormat="1" ht="25.5" hidden="1" x14ac:dyDescent="0.2">
      <c r="B344" s="38" t="s">
        <v>396</v>
      </c>
      <c r="C344" s="21" t="s">
        <v>9</v>
      </c>
      <c r="D344" s="21" t="s">
        <v>382</v>
      </c>
      <c r="E344" s="21" t="s">
        <v>382</v>
      </c>
      <c r="F344" s="23" t="s">
        <v>397</v>
      </c>
      <c r="G344" s="21"/>
      <c r="H344" s="19">
        <f t="shared" si="56"/>
        <v>0</v>
      </c>
      <c r="I344" s="19">
        <f t="shared" si="56"/>
        <v>0</v>
      </c>
      <c r="J344" s="19">
        <f t="shared" si="56"/>
        <v>0</v>
      </c>
    </row>
    <row r="345" spans="2:10" s="1" customFormat="1" ht="25.5" hidden="1" x14ac:dyDescent="0.2">
      <c r="B345" s="33" t="s">
        <v>34</v>
      </c>
      <c r="C345" s="21" t="s">
        <v>9</v>
      </c>
      <c r="D345" s="21" t="s">
        <v>382</v>
      </c>
      <c r="E345" s="21" t="s">
        <v>382</v>
      </c>
      <c r="F345" s="23" t="s">
        <v>397</v>
      </c>
      <c r="G345" s="21" t="s">
        <v>35</v>
      </c>
      <c r="H345" s="19">
        <v>0</v>
      </c>
      <c r="I345" s="19">
        <v>0</v>
      </c>
      <c r="J345" s="19">
        <v>0</v>
      </c>
    </row>
    <row r="346" spans="2:10" s="1" customFormat="1" x14ac:dyDescent="0.2">
      <c r="B346" s="33" t="s">
        <v>16</v>
      </c>
      <c r="C346" s="21" t="s">
        <v>9</v>
      </c>
      <c r="D346" s="21" t="s">
        <v>382</v>
      </c>
      <c r="E346" s="21" t="s">
        <v>382</v>
      </c>
      <c r="F346" s="23" t="s">
        <v>148</v>
      </c>
      <c r="G346" s="21"/>
      <c r="H346" s="19">
        <f t="shared" ref="H346:J347" si="57">H347</f>
        <v>385</v>
      </c>
      <c r="I346" s="19">
        <f t="shared" si="57"/>
        <v>385</v>
      </c>
      <c r="J346" s="19">
        <f t="shared" si="57"/>
        <v>385</v>
      </c>
    </row>
    <row r="347" spans="2:10" s="1" customFormat="1" ht="25.5" x14ac:dyDescent="0.2">
      <c r="B347" s="49" t="s">
        <v>398</v>
      </c>
      <c r="C347" s="21" t="s">
        <v>9</v>
      </c>
      <c r="D347" s="21" t="s">
        <v>382</v>
      </c>
      <c r="E347" s="21" t="s">
        <v>382</v>
      </c>
      <c r="F347" s="23" t="s">
        <v>399</v>
      </c>
      <c r="G347" s="21"/>
      <c r="H347" s="19">
        <f t="shared" si="57"/>
        <v>385</v>
      </c>
      <c r="I347" s="19">
        <f t="shared" si="57"/>
        <v>385</v>
      </c>
      <c r="J347" s="19">
        <f t="shared" si="57"/>
        <v>385</v>
      </c>
    </row>
    <row r="348" spans="2:10" s="1" customFormat="1" x14ac:dyDescent="0.2">
      <c r="B348" s="20" t="s">
        <v>400</v>
      </c>
      <c r="C348" s="21" t="s">
        <v>9</v>
      </c>
      <c r="D348" s="21" t="s">
        <v>382</v>
      </c>
      <c r="E348" s="21" t="s">
        <v>382</v>
      </c>
      <c r="F348" s="23" t="s">
        <v>401</v>
      </c>
      <c r="G348" s="21"/>
      <c r="H348" s="19">
        <f>H349+H350</f>
        <v>385</v>
      </c>
      <c r="I348" s="19">
        <f>I349+I350</f>
        <v>385</v>
      </c>
      <c r="J348" s="19">
        <f>J349+J350</f>
        <v>385</v>
      </c>
    </row>
    <row r="349" spans="2:10" s="1" customFormat="1" ht="25.5" x14ac:dyDescent="0.2">
      <c r="B349" s="20" t="s">
        <v>22</v>
      </c>
      <c r="C349" s="21" t="s">
        <v>9</v>
      </c>
      <c r="D349" s="21" t="s">
        <v>382</v>
      </c>
      <c r="E349" s="21" t="s">
        <v>382</v>
      </c>
      <c r="F349" s="23" t="s">
        <v>401</v>
      </c>
      <c r="G349" s="21" t="s">
        <v>23</v>
      </c>
      <c r="H349" s="19">
        <v>90</v>
      </c>
      <c r="I349" s="19">
        <v>90</v>
      </c>
      <c r="J349" s="57">
        <v>90</v>
      </c>
    </row>
    <row r="350" spans="2:10" s="1" customFormat="1" ht="25.5" x14ac:dyDescent="0.2">
      <c r="B350" s="20" t="s">
        <v>34</v>
      </c>
      <c r="C350" s="21" t="s">
        <v>9</v>
      </c>
      <c r="D350" s="21" t="s">
        <v>382</v>
      </c>
      <c r="E350" s="21" t="s">
        <v>382</v>
      </c>
      <c r="F350" s="23" t="s">
        <v>401</v>
      </c>
      <c r="G350" s="21" t="s">
        <v>35</v>
      </c>
      <c r="H350" s="19">
        <v>295</v>
      </c>
      <c r="I350" s="19">
        <v>295</v>
      </c>
      <c r="J350" s="57">
        <v>295</v>
      </c>
    </row>
    <row r="351" spans="2:10" s="59" customFormat="1" x14ac:dyDescent="0.2">
      <c r="B351" s="98" t="s">
        <v>402</v>
      </c>
      <c r="C351" s="16" t="s">
        <v>9</v>
      </c>
      <c r="D351" s="16" t="s">
        <v>210</v>
      </c>
      <c r="E351" s="16"/>
      <c r="F351" s="71"/>
      <c r="G351" s="16"/>
      <c r="H351" s="17">
        <f>H352+H386</f>
        <v>148145.4</v>
      </c>
      <c r="I351" s="17">
        <f t="shared" ref="I351:J351" si="58">I352+I386</f>
        <v>71237.900000000009</v>
      </c>
      <c r="J351" s="17">
        <f t="shared" si="58"/>
        <v>69032.600000000006</v>
      </c>
    </row>
    <row r="352" spans="2:10" s="59" customFormat="1" x14ac:dyDescent="0.2">
      <c r="B352" s="98" t="s">
        <v>403</v>
      </c>
      <c r="C352" s="21" t="s">
        <v>9</v>
      </c>
      <c r="D352" s="16" t="s">
        <v>210</v>
      </c>
      <c r="E352" s="16" t="s">
        <v>11</v>
      </c>
      <c r="F352" s="71"/>
      <c r="G352" s="16"/>
      <c r="H352" s="17">
        <f t="shared" ref="H352:J352" si="59">H353</f>
        <v>78248.5</v>
      </c>
      <c r="I352" s="17">
        <f t="shared" si="59"/>
        <v>71237.900000000009</v>
      </c>
      <c r="J352" s="17">
        <f t="shared" si="59"/>
        <v>69032.600000000006</v>
      </c>
    </row>
    <row r="353" spans="2:10" s="1" customFormat="1" ht="38.25" x14ac:dyDescent="0.2">
      <c r="B353" s="49" t="s">
        <v>138</v>
      </c>
      <c r="C353" s="21" t="s">
        <v>9</v>
      </c>
      <c r="D353" s="21" t="s">
        <v>210</v>
      </c>
      <c r="E353" s="21" t="s">
        <v>11</v>
      </c>
      <c r="F353" s="23" t="s">
        <v>139</v>
      </c>
      <c r="G353" s="21"/>
      <c r="H353" s="19">
        <f>H354+H370</f>
        <v>78248.5</v>
      </c>
      <c r="I353" s="19">
        <f>I354+I370</f>
        <v>71237.900000000009</v>
      </c>
      <c r="J353" s="19">
        <f>J354+J370</f>
        <v>69032.600000000006</v>
      </c>
    </row>
    <row r="354" spans="2:10" s="1" customFormat="1" x14ac:dyDescent="0.2">
      <c r="B354" s="38" t="s">
        <v>48</v>
      </c>
      <c r="C354" s="21" t="s">
        <v>9</v>
      </c>
      <c r="D354" s="21" t="s">
        <v>210</v>
      </c>
      <c r="E354" s="21" t="s">
        <v>11</v>
      </c>
      <c r="F354" s="23" t="s">
        <v>140</v>
      </c>
      <c r="G354" s="48"/>
      <c r="H354" s="19">
        <f>H355+H367</f>
        <v>13532</v>
      </c>
      <c r="I354" s="19">
        <f>I355+I367</f>
        <v>2105.3000000000002</v>
      </c>
      <c r="J354" s="19">
        <f>J355+J367</f>
        <v>0</v>
      </c>
    </row>
    <row r="355" spans="2:10" s="1" customFormat="1" ht="25.5" x14ac:dyDescent="0.2">
      <c r="B355" s="38" t="s">
        <v>404</v>
      </c>
      <c r="C355" s="21" t="s">
        <v>9</v>
      </c>
      <c r="D355" s="21" t="s">
        <v>210</v>
      </c>
      <c r="E355" s="21" t="s">
        <v>11</v>
      </c>
      <c r="F355" s="23" t="s">
        <v>405</v>
      </c>
      <c r="G355" s="48"/>
      <c r="H355" s="19">
        <f>H359+H363+H356</f>
        <v>13432</v>
      </c>
      <c r="I355" s="19">
        <f t="shared" ref="I355:J355" si="60">I359+I363+I356</f>
        <v>2105.3000000000002</v>
      </c>
      <c r="J355" s="19">
        <f t="shared" si="60"/>
        <v>0</v>
      </c>
    </row>
    <row r="356" spans="2:10" s="1" customFormat="1" ht="25.5" x14ac:dyDescent="0.2">
      <c r="B356" s="72" t="s">
        <v>406</v>
      </c>
      <c r="C356" s="21" t="s">
        <v>9</v>
      </c>
      <c r="D356" s="21" t="s">
        <v>210</v>
      </c>
      <c r="E356" s="21" t="s">
        <v>11</v>
      </c>
      <c r="F356" s="23" t="s">
        <v>407</v>
      </c>
      <c r="G356" s="48"/>
      <c r="H356" s="19">
        <f>H357+H358</f>
        <v>365</v>
      </c>
      <c r="I356" s="19">
        <f t="shared" ref="I356:J356" si="61">I357+I358</f>
        <v>0</v>
      </c>
      <c r="J356" s="19">
        <f t="shared" si="61"/>
        <v>0</v>
      </c>
    </row>
    <row r="357" spans="2:10" s="1" customFormat="1" x14ac:dyDescent="0.2">
      <c r="B357" s="66" t="s">
        <v>100</v>
      </c>
      <c r="C357" s="21" t="s">
        <v>9</v>
      </c>
      <c r="D357" s="21" t="s">
        <v>210</v>
      </c>
      <c r="E357" s="21" t="s">
        <v>11</v>
      </c>
      <c r="F357" s="23" t="s">
        <v>407</v>
      </c>
      <c r="G357" s="48" t="s">
        <v>101</v>
      </c>
      <c r="H357" s="19">
        <v>205</v>
      </c>
      <c r="I357" s="19">
        <v>0</v>
      </c>
      <c r="J357" s="57">
        <v>0</v>
      </c>
    </row>
    <row r="358" spans="2:10" s="1" customFormat="1" x14ac:dyDescent="0.2">
      <c r="B358" s="56" t="s">
        <v>146</v>
      </c>
      <c r="C358" s="21" t="s">
        <v>9</v>
      </c>
      <c r="D358" s="21" t="s">
        <v>210</v>
      </c>
      <c r="E358" s="21" t="s">
        <v>11</v>
      </c>
      <c r="F358" s="23" t="s">
        <v>407</v>
      </c>
      <c r="G358" s="48" t="s">
        <v>147</v>
      </c>
      <c r="H358" s="19">
        <v>160</v>
      </c>
      <c r="I358" s="19">
        <v>0</v>
      </c>
      <c r="J358" s="57">
        <v>0</v>
      </c>
    </row>
    <row r="359" spans="2:10" s="1" customFormat="1" ht="38.25" x14ac:dyDescent="0.2">
      <c r="B359" s="38" t="s">
        <v>408</v>
      </c>
      <c r="C359" s="21" t="s">
        <v>9</v>
      </c>
      <c r="D359" s="21" t="s">
        <v>210</v>
      </c>
      <c r="E359" s="21" t="s">
        <v>11</v>
      </c>
      <c r="F359" s="23" t="s">
        <v>409</v>
      </c>
      <c r="G359" s="48"/>
      <c r="H359" s="19">
        <f>H360+H361+H362</f>
        <v>10215</v>
      </c>
      <c r="I359" s="19">
        <f>I360+I361+I362</f>
        <v>2105.3000000000002</v>
      </c>
      <c r="J359" s="19">
        <f>J360+J361+J362</f>
        <v>0</v>
      </c>
    </row>
    <row r="360" spans="2:10" s="1" customFormat="1" ht="25.5" x14ac:dyDescent="0.2">
      <c r="B360" s="33" t="s">
        <v>34</v>
      </c>
      <c r="C360" s="21" t="s">
        <v>9</v>
      </c>
      <c r="D360" s="21" t="s">
        <v>210</v>
      </c>
      <c r="E360" s="21" t="s">
        <v>11</v>
      </c>
      <c r="F360" s="23" t="s">
        <v>409</v>
      </c>
      <c r="G360" s="48" t="s">
        <v>35</v>
      </c>
      <c r="H360" s="19">
        <f>2500+340+77.3+37.8</f>
        <v>2955.1000000000004</v>
      </c>
      <c r="I360" s="19">
        <v>0</v>
      </c>
      <c r="J360" s="19">
        <v>0</v>
      </c>
    </row>
    <row r="361" spans="2:10" s="1" customFormat="1" x14ac:dyDescent="0.2">
      <c r="B361" s="88" t="s">
        <v>145</v>
      </c>
      <c r="C361" s="21" t="s">
        <v>9</v>
      </c>
      <c r="D361" s="21" t="s">
        <v>210</v>
      </c>
      <c r="E361" s="21" t="s">
        <v>11</v>
      </c>
      <c r="F361" s="23" t="s">
        <v>409</v>
      </c>
      <c r="G361" s="48" t="s">
        <v>101</v>
      </c>
      <c r="H361" s="19">
        <f>2000+105.3</f>
        <v>2105.3000000000002</v>
      </c>
      <c r="I361" s="19">
        <f>2000+105.3</f>
        <v>2105.3000000000002</v>
      </c>
      <c r="J361" s="19">
        <v>0</v>
      </c>
    </row>
    <row r="362" spans="2:10" s="1" customFormat="1" x14ac:dyDescent="0.2">
      <c r="B362" s="56" t="s">
        <v>146</v>
      </c>
      <c r="C362" s="21" t="s">
        <v>9</v>
      </c>
      <c r="D362" s="21" t="s">
        <v>210</v>
      </c>
      <c r="E362" s="21" t="s">
        <v>11</v>
      </c>
      <c r="F362" s="23" t="s">
        <v>409</v>
      </c>
      <c r="G362" s="48" t="s">
        <v>147</v>
      </c>
      <c r="H362" s="19">
        <f>5000+154.6</f>
        <v>5154.6000000000004</v>
      </c>
      <c r="I362" s="19">
        <v>0</v>
      </c>
      <c r="J362" s="19">
        <v>0</v>
      </c>
    </row>
    <row r="363" spans="2:10" s="1" customFormat="1" ht="30.75" customHeight="1" x14ac:dyDescent="0.2">
      <c r="B363" s="49" t="s">
        <v>410</v>
      </c>
      <c r="C363" s="21" t="s">
        <v>9</v>
      </c>
      <c r="D363" s="21" t="s">
        <v>210</v>
      </c>
      <c r="E363" s="21" t="s">
        <v>11</v>
      </c>
      <c r="F363" s="23" t="s">
        <v>662</v>
      </c>
      <c r="G363" s="21"/>
      <c r="H363" s="19">
        <f>H364+H365+H366</f>
        <v>2852</v>
      </c>
      <c r="I363" s="19">
        <f>I364+I365+I366</f>
        <v>0</v>
      </c>
      <c r="J363" s="19">
        <f>J364+J365+J366</f>
        <v>0</v>
      </c>
    </row>
    <row r="364" spans="2:10" s="1" customFormat="1" ht="25.5" x14ac:dyDescent="0.2">
      <c r="B364" s="33" t="s">
        <v>34</v>
      </c>
      <c r="C364" s="21" t="s">
        <v>9</v>
      </c>
      <c r="D364" s="21" t="s">
        <v>210</v>
      </c>
      <c r="E364" s="21" t="s">
        <v>11</v>
      </c>
      <c r="F364" s="23" t="s">
        <v>662</v>
      </c>
      <c r="G364" s="48" t="s">
        <v>35</v>
      </c>
      <c r="H364" s="19">
        <f>2800+52</f>
        <v>2852</v>
      </c>
      <c r="I364" s="19">
        <v>0</v>
      </c>
      <c r="J364" s="19">
        <v>0</v>
      </c>
    </row>
    <row r="365" spans="2:10" s="1" customFormat="1" hidden="1" x14ac:dyDescent="0.2">
      <c r="B365" s="88" t="s">
        <v>145</v>
      </c>
      <c r="C365" s="21" t="s">
        <v>9</v>
      </c>
      <c r="D365" s="21" t="s">
        <v>210</v>
      </c>
      <c r="E365" s="21" t="s">
        <v>11</v>
      </c>
      <c r="F365" s="23" t="s">
        <v>411</v>
      </c>
      <c r="G365" s="48" t="s">
        <v>101</v>
      </c>
      <c r="H365" s="19"/>
      <c r="I365" s="19"/>
      <c r="J365" s="19">
        <v>0</v>
      </c>
    </row>
    <row r="366" spans="2:10" s="1" customFormat="1" hidden="1" x14ac:dyDescent="0.2">
      <c r="B366" s="56" t="s">
        <v>146</v>
      </c>
      <c r="C366" s="21" t="s">
        <v>9</v>
      </c>
      <c r="D366" s="21" t="s">
        <v>210</v>
      </c>
      <c r="E366" s="21" t="s">
        <v>11</v>
      </c>
      <c r="F366" s="23" t="s">
        <v>411</v>
      </c>
      <c r="G366" s="48" t="s">
        <v>147</v>
      </c>
      <c r="H366" s="19">
        <v>0</v>
      </c>
      <c r="I366" s="19">
        <v>0</v>
      </c>
      <c r="J366" s="19">
        <v>0</v>
      </c>
    </row>
    <row r="367" spans="2:10" s="1" customFormat="1" x14ac:dyDescent="0.2">
      <c r="B367" s="33" t="s">
        <v>412</v>
      </c>
      <c r="C367" s="21" t="s">
        <v>9</v>
      </c>
      <c r="D367" s="21" t="s">
        <v>210</v>
      </c>
      <c r="E367" s="21" t="s">
        <v>11</v>
      </c>
      <c r="F367" s="23" t="s">
        <v>413</v>
      </c>
      <c r="G367" s="48"/>
      <c r="H367" s="19">
        <f t="shared" ref="H367:J368" si="62">H368</f>
        <v>100</v>
      </c>
      <c r="I367" s="19">
        <f t="shared" si="62"/>
        <v>0</v>
      </c>
      <c r="J367" s="19">
        <f t="shared" si="62"/>
        <v>0</v>
      </c>
    </row>
    <row r="368" spans="2:10" s="1" customFormat="1" ht="25.5" x14ac:dyDescent="0.2">
      <c r="B368" s="20" t="s">
        <v>414</v>
      </c>
      <c r="C368" s="21" t="s">
        <v>9</v>
      </c>
      <c r="D368" s="21" t="s">
        <v>210</v>
      </c>
      <c r="E368" s="21" t="s">
        <v>11</v>
      </c>
      <c r="F368" s="23" t="s">
        <v>415</v>
      </c>
      <c r="G368" s="48"/>
      <c r="H368" s="19">
        <f t="shared" si="62"/>
        <v>100</v>
      </c>
      <c r="I368" s="19">
        <f t="shared" si="62"/>
        <v>0</v>
      </c>
      <c r="J368" s="19">
        <f t="shared" si="62"/>
        <v>0</v>
      </c>
    </row>
    <row r="369" spans="2:10" s="1" customFormat="1" x14ac:dyDescent="0.2">
      <c r="B369" s="49" t="s">
        <v>145</v>
      </c>
      <c r="C369" s="21" t="s">
        <v>9</v>
      </c>
      <c r="D369" s="21" t="s">
        <v>210</v>
      </c>
      <c r="E369" s="21" t="s">
        <v>11</v>
      </c>
      <c r="F369" s="23" t="s">
        <v>415</v>
      </c>
      <c r="G369" s="48" t="s">
        <v>101</v>
      </c>
      <c r="H369" s="19">
        <f>100</f>
        <v>100</v>
      </c>
      <c r="I369" s="19">
        <v>0</v>
      </c>
      <c r="J369" s="19">
        <v>0</v>
      </c>
    </row>
    <row r="370" spans="2:10" s="1" customFormat="1" x14ac:dyDescent="0.2">
      <c r="B370" s="56" t="s">
        <v>16</v>
      </c>
      <c r="C370" s="21" t="s">
        <v>9</v>
      </c>
      <c r="D370" s="21" t="s">
        <v>210</v>
      </c>
      <c r="E370" s="21" t="s">
        <v>11</v>
      </c>
      <c r="F370" s="23" t="s">
        <v>148</v>
      </c>
      <c r="G370" s="48"/>
      <c r="H370" s="19">
        <f>H371+H376</f>
        <v>64716.5</v>
      </c>
      <c r="I370" s="19">
        <f>I371+I376</f>
        <v>69132.600000000006</v>
      </c>
      <c r="J370" s="19">
        <f>J371+J376</f>
        <v>69032.600000000006</v>
      </c>
    </row>
    <row r="371" spans="2:10" s="1" customFormat="1" ht="38.25" x14ac:dyDescent="0.2">
      <c r="B371" s="38" t="s">
        <v>149</v>
      </c>
      <c r="C371" s="21" t="s">
        <v>9</v>
      </c>
      <c r="D371" s="21" t="s">
        <v>210</v>
      </c>
      <c r="E371" s="21" t="s">
        <v>11</v>
      </c>
      <c r="F371" s="23" t="s">
        <v>150</v>
      </c>
      <c r="G371" s="48"/>
      <c r="H371" s="19">
        <f>H372</f>
        <v>530</v>
      </c>
      <c r="I371" s="19">
        <f>I372</f>
        <v>504.9</v>
      </c>
      <c r="J371" s="19">
        <f>J372</f>
        <v>504.9</v>
      </c>
    </row>
    <row r="372" spans="2:10" s="1" customFormat="1" x14ac:dyDescent="0.2">
      <c r="B372" s="88" t="s">
        <v>151</v>
      </c>
      <c r="C372" s="21" t="s">
        <v>9</v>
      </c>
      <c r="D372" s="21" t="s">
        <v>210</v>
      </c>
      <c r="E372" s="21" t="s">
        <v>11</v>
      </c>
      <c r="F372" s="23" t="s">
        <v>152</v>
      </c>
      <c r="G372" s="48"/>
      <c r="H372" s="19">
        <f>H373+H374+H375</f>
        <v>530</v>
      </c>
      <c r="I372" s="19">
        <f>I373+I374+I375</f>
        <v>504.9</v>
      </c>
      <c r="J372" s="19">
        <f>J373+J374+J375</f>
        <v>504.9</v>
      </c>
    </row>
    <row r="373" spans="2:10" s="1" customFormat="1" ht="25.5" x14ac:dyDescent="0.2">
      <c r="B373" s="33" t="s">
        <v>34</v>
      </c>
      <c r="C373" s="21" t="s">
        <v>9</v>
      </c>
      <c r="D373" s="21" t="s">
        <v>210</v>
      </c>
      <c r="E373" s="21" t="s">
        <v>11</v>
      </c>
      <c r="F373" s="23" t="s">
        <v>152</v>
      </c>
      <c r="G373" s="48" t="s">
        <v>35</v>
      </c>
      <c r="H373" s="19">
        <v>320</v>
      </c>
      <c r="I373" s="19">
        <v>319.89999999999998</v>
      </c>
      <c r="J373" s="19">
        <v>319.89999999999998</v>
      </c>
    </row>
    <row r="374" spans="2:10" s="1" customFormat="1" x14ac:dyDescent="0.2">
      <c r="B374" s="88" t="s">
        <v>145</v>
      </c>
      <c r="C374" s="21" t="s">
        <v>9</v>
      </c>
      <c r="D374" s="21" t="s">
        <v>210</v>
      </c>
      <c r="E374" s="21" t="s">
        <v>11</v>
      </c>
      <c r="F374" s="23" t="s">
        <v>152</v>
      </c>
      <c r="G374" s="48" t="s">
        <v>101</v>
      </c>
      <c r="H374" s="19">
        <v>160</v>
      </c>
      <c r="I374" s="19">
        <v>135</v>
      </c>
      <c r="J374" s="57">
        <v>135</v>
      </c>
    </row>
    <row r="375" spans="2:10" s="1" customFormat="1" x14ac:dyDescent="0.2">
      <c r="B375" s="56" t="s">
        <v>146</v>
      </c>
      <c r="C375" s="21" t="s">
        <v>9</v>
      </c>
      <c r="D375" s="21" t="s">
        <v>210</v>
      </c>
      <c r="E375" s="21" t="s">
        <v>11</v>
      </c>
      <c r="F375" s="23" t="s">
        <v>152</v>
      </c>
      <c r="G375" s="48" t="s">
        <v>147</v>
      </c>
      <c r="H375" s="19">
        <v>50</v>
      </c>
      <c r="I375" s="19">
        <v>50</v>
      </c>
      <c r="J375" s="57">
        <v>50</v>
      </c>
    </row>
    <row r="376" spans="2:10" s="1" customFormat="1" ht="25.5" x14ac:dyDescent="0.2">
      <c r="B376" s="38" t="s">
        <v>390</v>
      </c>
      <c r="C376" s="21" t="s">
        <v>9</v>
      </c>
      <c r="D376" s="21" t="s">
        <v>210</v>
      </c>
      <c r="E376" s="21" t="s">
        <v>11</v>
      </c>
      <c r="F376" s="23" t="s">
        <v>391</v>
      </c>
      <c r="G376" s="48"/>
      <c r="H376" s="19">
        <f>H377+H382</f>
        <v>64186.5</v>
      </c>
      <c r="I376" s="19">
        <f>I377+I382</f>
        <v>68627.700000000012</v>
      </c>
      <c r="J376" s="19">
        <f>J377+J382</f>
        <v>68527.700000000012</v>
      </c>
    </row>
    <row r="377" spans="2:10" s="1" customFormat="1" ht="25.5" x14ac:dyDescent="0.2">
      <c r="B377" s="38" t="s">
        <v>220</v>
      </c>
      <c r="C377" s="21" t="s">
        <v>9</v>
      </c>
      <c r="D377" s="21" t="s">
        <v>210</v>
      </c>
      <c r="E377" s="21" t="s">
        <v>11</v>
      </c>
      <c r="F377" s="23" t="s">
        <v>416</v>
      </c>
      <c r="G377" s="48"/>
      <c r="H377" s="19">
        <f>H378+H379+H380+H381</f>
        <v>34651.800000000003</v>
      </c>
      <c r="I377" s="19">
        <f>I378+I379+I380+I381</f>
        <v>39038.600000000006</v>
      </c>
      <c r="J377" s="19">
        <f>J378+J379+J380+J381</f>
        <v>38938.600000000006</v>
      </c>
    </row>
    <row r="378" spans="2:10" s="1" customFormat="1" x14ac:dyDescent="0.2">
      <c r="B378" s="33" t="s">
        <v>128</v>
      </c>
      <c r="C378" s="21" t="s">
        <v>9</v>
      </c>
      <c r="D378" s="21" t="s">
        <v>210</v>
      </c>
      <c r="E378" s="21" t="s">
        <v>11</v>
      </c>
      <c r="F378" s="23" t="s">
        <v>416</v>
      </c>
      <c r="G378" s="48" t="s">
        <v>129</v>
      </c>
      <c r="H378" s="19">
        <v>45.2</v>
      </c>
      <c r="I378" s="19">
        <v>45.2</v>
      </c>
      <c r="J378" s="57">
        <v>45.2</v>
      </c>
    </row>
    <row r="379" spans="2:10" s="1" customFormat="1" ht="25.5" x14ac:dyDescent="0.2">
      <c r="B379" s="33" t="s">
        <v>34</v>
      </c>
      <c r="C379" s="21" t="s">
        <v>9</v>
      </c>
      <c r="D379" s="21" t="s">
        <v>210</v>
      </c>
      <c r="E379" s="21" t="s">
        <v>11</v>
      </c>
      <c r="F379" s="23" t="s">
        <v>416</v>
      </c>
      <c r="G379" s="48" t="s">
        <v>35</v>
      </c>
      <c r="H379" s="19">
        <v>3800</v>
      </c>
      <c r="I379" s="19">
        <v>3800</v>
      </c>
      <c r="J379" s="19">
        <v>3800</v>
      </c>
    </row>
    <row r="380" spans="2:10" s="1" customFormat="1" x14ac:dyDescent="0.2">
      <c r="B380" s="88" t="s">
        <v>145</v>
      </c>
      <c r="C380" s="21" t="s">
        <v>9</v>
      </c>
      <c r="D380" s="21" t="s">
        <v>210</v>
      </c>
      <c r="E380" s="21" t="s">
        <v>11</v>
      </c>
      <c r="F380" s="23" t="s">
        <v>416</v>
      </c>
      <c r="G380" s="48" t="s">
        <v>101</v>
      </c>
      <c r="H380" s="19">
        <f>6060.6-250+1154.5+1666.5</f>
        <v>8631.6</v>
      </c>
      <c r="I380" s="19">
        <f>5330+1154.5+1666.5</f>
        <v>8151</v>
      </c>
      <c r="J380" s="57">
        <f>5330+1154.5+1666.5</f>
        <v>8151</v>
      </c>
    </row>
    <row r="381" spans="2:10" s="1" customFormat="1" x14ac:dyDescent="0.2">
      <c r="B381" s="56" t="s">
        <v>146</v>
      </c>
      <c r="C381" s="21" t="s">
        <v>9</v>
      </c>
      <c r="D381" s="21" t="s">
        <v>210</v>
      </c>
      <c r="E381" s="21" t="s">
        <v>11</v>
      </c>
      <c r="F381" s="23" t="s">
        <v>416</v>
      </c>
      <c r="G381" s="48" t="s">
        <v>147</v>
      </c>
      <c r="H381" s="19">
        <f>26242.4+150+267.2-266-1300-66.6-2800-52</f>
        <v>22175.000000000004</v>
      </c>
      <c r="I381" s="19">
        <f>26242.4+800</f>
        <v>27042.400000000001</v>
      </c>
      <c r="J381" s="19">
        <f>26242.4+700</f>
        <v>26942.400000000001</v>
      </c>
    </row>
    <row r="382" spans="2:10" s="1" customFormat="1" ht="25.5" x14ac:dyDescent="0.2">
      <c r="B382" s="49" t="s">
        <v>40</v>
      </c>
      <c r="C382" s="21" t="s">
        <v>9</v>
      </c>
      <c r="D382" s="21" t="s">
        <v>210</v>
      </c>
      <c r="E382" s="21" t="s">
        <v>11</v>
      </c>
      <c r="F382" s="23" t="s">
        <v>417</v>
      </c>
      <c r="G382" s="48"/>
      <c r="H382" s="19">
        <f>H383+H384+H385</f>
        <v>29534.7</v>
      </c>
      <c r="I382" s="19">
        <f>I383+I384+I385</f>
        <v>29589.1</v>
      </c>
      <c r="J382" s="19">
        <f>J383+J384+J385</f>
        <v>29589.1</v>
      </c>
    </row>
    <row r="383" spans="2:10" s="1" customFormat="1" ht="15" customHeight="1" x14ac:dyDescent="0.2">
      <c r="B383" s="33" t="s">
        <v>128</v>
      </c>
      <c r="C383" s="21" t="s">
        <v>9</v>
      </c>
      <c r="D383" s="21" t="s">
        <v>210</v>
      </c>
      <c r="E383" s="21" t="s">
        <v>11</v>
      </c>
      <c r="F383" s="23" t="s">
        <v>417</v>
      </c>
      <c r="G383" s="48" t="s">
        <v>129</v>
      </c>
      <c r="H383" s="19">
        <f>16192-1300</f>
        <v>14892</v>
      </c>
      <c r="I383" s="19">
        <v>16192</v>
      </c>
      <c r="J383" s="57">
        <v>16192</v>
      </c>
    </row>
    <row r="384" spans="2:10" s="1" customFormat="1" x14ac:dyDescent="0.2">
      <c r="B384" s="88" t="s">
        <v>145</v>
      </c>
      <c r="C384" s="21" t="s">
        <v>9</v>
      </c>
      <c r="D384" s="21" t="s">
        <v>210</v>
      </c>
      <c r="E384" s="21" t="s">
        <v>11</v>
      </c>
      <c r="F384" s="23" t="s">
        <v>417</v>
      </c>
      <c r="G384" s="48" t="s">
        <v>101</v>
      </c>
      <c r="H384" s="19">
        <f>9122.2+4939.3-718.8</f>
        <v>13342.7</v>
      </c>
      <c r="I384" s="19">
        <f>9122.2+4939.3+54.4-718.8</f>
        <v>13397.1</v>
      </c>
      <c r="J384" s="19">
        <f>9122.2+4939.3+54.4-718.8</f>
        <v>13397.1</v>
      </c>
    </row>
    <row r="385" spans="2:10" s="1" customFormat="1" x14ac:dyDescent="0.2">
      <c r="B385" s="56" t="s">
        <v>146</v>
      </c>
      <c r="C385" s="21" t="s">
        <v>9</v>
      </c>
      <c r="D385" s="21" t="s">
        <v>210</v>
      </c>
      <c r="E385" s="21" t="s">
        <v>11</v>
      </c>
      <c r="F385" s="23" t="s">
        <v>417</v>
      </c>
      <c r="G385" s="48" t="s">
        <v>147</v>
      </c>
      <c r="H385" s="19">
        <v>1300</v>
      </c>
      <c r="I385" s="19">
        <v>0</v>
      </c>
      <c r="J385" s="19">
        <v>0</v>
      </c>
    </row>
    <row r="386" spans="2:10" s="1" customFormat="1" x14ac:dyDescent="0.2">
      <c r="B386" s="15" t="s">
        <v>418</v>
      </c>
      <c r="C386" s="16" t="s">
        <v>9</v>
      </c>
      <c r="D386" s="16" t="s">
        <v>210</v>
      </c>
      <c r="E386" s="16" t="s">
        <v>26</v>
      </c>
      <c r="F386" s="23"/>
      <c r="G386" s="48"/>
      <c r="H386" s="19">
        <f>H387</f>
        <v>69896.899999999994</v>
      </c>
      <c r="I386" s="19">
        <f t="shared" ref="I386:J390" si="63">I387</f>
        <v>0</v>
      </c>
      <c r="J386" s="19">
        <f t="shared" si="63"/>
        <v>0</v>
      </c>
    </row>
    <row r="387" spans="2:10" s="1" customFormat="1" ht="38.25" x14ac:dyDescent="0.2">
      <c r="B387" s="49" t="s">
        <v>138</v>
      </c>
      <c r="C387" s="21" t="s">
        <v>9</v>
      </c>
      <c r="D387" s="21" t="s">
        <v>210</v>
      </c>
      <c r="E387" s="21" t="s">
        <v>26</v>
      </c>
      <c r="F387" s="23" t="s">
        <v>139</v>
      </c>
      <c r="G387" s="48"/>
      <c r="H387" s="19">
        <f>H388</f>
        <v>69896.899999999994</v>
      </c>
      <c r="I387" s="19">
        <f t="shared" si="63"/>
        <v>0</v>
      </c>
      <c r="J387" s="19">
        <f t="shared" si="63"/>
        <v>0</v>
      </c>
    </row>
    <row r="388" spans="2:10" s="1" customFormat="1" x14ac:dyDescent="0.2">
      <c r="B388" s="38" t="s">
        <v>48</v>
      </c>
      <c r="C388" s="21" t="s">
        <v>9</v>
      </c>
      <c r="D388" s="21" t="s">
        <v>210</v>
      </c>
      <c r="E388" s="21" t="s">
        <v>26</v>
      </c>
      <c r="F388" s="23" t="s">
        <v>140</v>
      </c>
      <c r="G388" s="48"/>
      <c r="H388" s="19">
        <f>H389</f>
        <v>69896.899999999994</v>
      </c>
      <c r="I388" s="19">
        <f t="shared" si="63"/>
        <v>0</v>
      </c>
      <c r="J388" s="19">
        <f t="shared" si="63"/>
        <v>0</v>
      </c>
    </row>
    <row r="389" spans="2:10" s="1" customFormat="1" ht="25.5" x14ac:dyDescent="0.2">
      <c r="B389" s="38" t="s">
        <v>404</v>
      </c>
      <c r="C389" s="21" t="s">
        <v>9</v>
      </c>
      <c r="D389" s="21" t="s">
        <v>210</v>
      </c>
      <c r="E389" s="21" t="s">
        <v>26</v>
      </c>
      <c r="F389" s="23" t="s">
        <v>405</v>
      </c>
      <c r="G389" s="48"/>
      <c r="H389" s="19">
        <f>H390</f>
        <v>69896.899999999994</v>
      </c>
      <c r="I389" s="19">
        <f t="shared" si="63"/>
        <v>0</v>
      </c>
      <c r="J389" s="19">
        <f t="shared" si="63"/>
        <v>0</v>
      </c>
    </row>
    <row r="390" spans="2:10" s="1" customFormat="1" x14ac:dyDescent="0.2">
      <c r="B390" s="38" t="s">
        <v>419</v>
      </c>
      <c r="C390" s="21" t="s">
        <v>9</v>
      </c>
      <c r="D390" s="21" t="s">
        <v>210</v>
      </c>
      <c r="E390" s="21" t="s">
        <v>26</v>
      </c>
      <c r="F390" s="23" t="s">
        <v>420</v>
      </c>
      <c r="G390" s="48"/>
      <c r="H390" s="19">
        <f>H391</f>
        <v>69896.899999999994</v>
      </c>
      <c r="I390" s="19">
        <f t="shared" si="63"/>
        <v>0</v>
      </c>
      <c r="J390" s="19">
        <f t="shared" si="63"/>
        <v>0</v>
      </c>
    </row>
    <row r="391" spans="2:10" s="1" customFormat="1" x14ac:dyDescent="0.2">
      <c r="B391" s="82" t="s">
        <v>272</v>
      </c>
      <c r="C391" s="21" t="s">
        <v>9</v>
      </c>
      <c r="D391" s="21" t="s">
        <v>210</v>
      </c>
      <c r="E391" s="21" t="s">
        <v>26</v>
      </c>
      <c r="F391" s="23" t="s">
        <v>420</v>
      </c>
      <c r="G391" s="48" t="s">
        <v>273</v>
      </c>
      <c r="H391" s="19">
        <f>67800+2096.9</f>
        <v>69896.899999999994</v>
      </c>
      <c r="I391" s="19">
        <v>0</v>
      </c>
      <c r="J391" s="57">
        <v>0</v>
      </c>
    </row>
    <row r="392" spans="2:10" s="59" customFormat="1" ht="14.25" customHeight="1" x14ac:dyDescent="0.2">
      <c r="B392" s="99" t="s">
        <v>421</v>
      </c>
      <c r="C392" s="16" t="s">
        <v>9</v>
      </c>
      <c r="D392" s="16" t="s">
        <v>166</v>
      </c>
      <c r="E392" s="16"/>
      <c r="F392" s="16"/>
      <c r="G392" s="16"/>
      <c r="H392" s="17">
        <f t="shared" ref="H392:J395" si="64">H393</f>
        <v>105.8</v>
      </c>
      <c r="I392" s="17">
        <f t="shared" si="64"/>
        <v>105.8</v>
      </c>
      <c r="J392" s="17">
        <f t="shared" si="64"/>
        <v>105.8</v>
      </c>
    </row>
    <row r="393" spans="2:10" s="59" customFormat="1" ht="14.25" customHeight="1" x14ac:dyDescent="0.2">
      <c r="B393" s="99" t="s">
        <v>422</v>
      </c>
      <c r="C393" s="16" t="s">
        <v>9</v>
      </c>
      <c r="D393" s="16" t="s">
        <v>166</v>
      </c>
      <c r="E393" s="16" t="s">
        <v>382</v>
      </c>
      <c r="F393" s="16"/>
      <c r="G393" s="16"/>
      <c r="H393" s="17">
        <f t="shared" si="64"/>
        <v>105.8</v>
      </c>
      <c r="I393" s="17">
        <f t="shared" si="64"/>
        <v>105.8</v>
      </c>
      <c r="J393" s="17">
        <f t="shared" si="64"/>
        <v>105.8</v>
      </c>
    </row>
    <row r="394" spans="2:10" s="1" customFormat="1" ht="12" customHeight="1" x14ac:dyDescent="0.2">
      <c r="B394" s="49" t="s">
        <v>70</v>
      </c>
      <c r="C394" s="21" t="s">
        <v>9</v>
      </c>
      <c r="D394" s="21" t="s">
        <v>166</v>
      </c>
      <c r="E394" s="21" t="s">
        <v>382</v>
      </c>
      <c r="F394" s="21" t="s">
        <v>71</v>
      </c>
      <c r="G394" s="21"/>
      <c r="H394" s="19">
        <f t="shared" si="64"/>
        <v>105.8</v>
      </c>
      <c r="I394" s="19">
        <f t="shared" si="64"/>
        <v>105.8</v>
      </c>
      <c r="J394" s="19">
        <f t="shared" si="64"/>
        <v>105.8</v>
      </c>
    </row>
    <row r="395" spans="2:10" s="1" customFormat="1" ht="84.75" customHeight="1" x14ac:dyDescent="0.2">
      <c r="B395" s="37" t="s">
        <v>423</v>
      </c>
      <c r="C395" s="21" t="s">
        <v>9</v>
      </c>
      <c r="D395" s="21" t="s">
        <v>166</v>
      </c>
      <c r="E395" s="21" t="s">
        <v>382</v>
      </c>
      <c r="F395" s="23" t="s">
        <v>424</v>
      </c>
      <c r="G395" s="21"/>
      <c r="H395" s="19">
        <f t="shared" si="64"/>
        <v>105.8</v>
      </c>
      <c r="I395" s="19">
        <f t="shared" si="64"/>
        <v>105.8</v>
      </c>
      <c r="J395" s="19">
        <f t="shared" si="64"/>
        <v>105.8</v>
      </c>
    </row>
    <row r="396" spans="2:10" s="1" customFormat="1" ht="24" customHeight="1" x14ac:dyDescent="0.2">
      <c r="B396" s="20" t="s">
        <v>34</v>
      </c>
      <c r="C396" s="21" t="s">
        <v>9</v>
      </c>
      <c r="D396" s="21" t="s">
        <v>166</v>
      </c>
      <c r="E396" s="21" t="s">
        <v>382</v>
      </c>
      <c r="F396" s="23" t="s">
        <v>424</v>
      </c>
      <c r="G396" s="21" t="s">
        <v>35</v>
      </c>
      <c r="H396" s="19">
        <v>105.8</v>
      </c>
      <c r="I396" s="19">
        <v>105.8</v>
      </c>
      <c r="J396" s="19">
        <v>105.8</v>
      </c>
    </row>
    <row r="397" spans="2:10" s="1" customFormat="1" x14ac:dyDescent="0.2">
      <c r="B397" s="74" t="s">
        <v>425</v>
      </c>
      <c r="C397" s="16" t="s">
        <v>9</v>
      </c>
      <c r="D397" s="16" t="s">
        <v>426</v>
      </c>
      <c r="E397" s="16"/>
      <c r="F397" s="16"/>
      <c r="G397" s="16"/>
      <c r="H397" s="17">
        <f>H405+H398+H429</f>
        <v>19035</v>
      </c>
      <c r="I397" s="17">
        <f>I405+I398+I429</f>
        <v>7471.5999999999995</v>
      </c>
      <c r="J397" s="17">
        <f>J405+J398+J429</f>
        <v>7471.5999999999995</v>
      </c>
    </row>
    <row r="398" spans="2:10" s="1" customFormat="1" x14ac:dyDescent="0.2">
      <c r="B398" s="15" t="s">
        <v>427</v>
      </c>
      <c r="C398" s="16" t="s">
        <v>9</v>
      </c>
      <c r="D398" s="16" t="s">
        <v>426</v>
      </c>
      <c r="E398" s="16" t="s">
        <v>11</v>
      </c>
      <c r="F398" s="16"/>
      <c r="G398" s="16"/>
      <c r="H398" s="17">
        <f t="shared" ref="H398:J401" si="65">H399</f>
        <v>2803.2</v>
      </c>
      <c r="I398" s="17">
        <f t="shared" si="65"/>
        <v>2803.2</v>
      </c>
      <c r="J398" s="17">
        <f t="shared" si="65"/>
        <v>2803.2</v>
      </c>
    </row>
    <row r="399" spans="2:10" s="1" customFormat="1" ht="25.5" x14ac:dyDescent="0.2">
      <c r="B399" s="27" t="s">
        <v>27</v>
      </c>
      <c r="C399" s="21" t="s">
        <v>9</v>
      </c>
      <c r="D399" s="21" t="s">
        <v>426</v>
      </c>
      <c r="E399" s="21" t="s">
        <v>11</v>
      </c>
      <c r="F399" s="100" t="s">
        <v>28</v>
      </c>
      <c r="G399" s="100"/>
      <c r="H399" s="19">
        <f t="shared" si="65"/>
        <v>2803.2</v>
      </c>
      <c r="I399" s="19">
        <f t="shared" si="65"/>
        <v>2803.2</v>
      </c>
      <c r="J399" s="19">
        <f t="shared" si="65"/>
        <v>2803.2</v>
      </c>
    </row>
    <row r="400" spans="2:10" s="1" customFormat="1" x14ac:dyDescent="0.2">
      <c r="B400" s="29" t="s">
        <v>16</v>
      </c>
      <c r="C400" s="21" t="s">
        <v>9</v>
      </c>
      <c r="D400" s="21" t="s">
        <v>426</v>
      </c>
      <c r="E400" s="21" t="s">
        <v>11</v>
      </c>
      <c r="F400" s="100" t="s">
        <v>29</v>
      </c>
      <c r="G400" s="100"/>
      <c r="H400" s="19">
        <f t="shared" si="65"/>
        <v>2803.2</v>
      </c>
      <c r="I400" s="19">
        <f t="shared" si="65"/>
        <v>2803.2</v>
      </c>
      <c r="J400" s="19">
        <f t="shared" si="65"/>
        <v>2803.2</v>
      </c>
    </row>
    <row r="401" spans="2:10" s="1" customFormat="1" ht="28.5" customHeight="1" x14ac:dyDescent="0.2">
      <c r="B401" s="29" t="s">
        <v>105</v>
      </c>
      <c r="C401" s="21" t="s">
        <v>9</v>
      </c>
      <c r="D401" s="21" t="s">
        <v>426</v>
      </c>
      <c r="E401" s="21" t="s">
        <v>11</v>
      </c>
      <c r="F401" s="21" t="s">
        <v>106</v>
      </c>
      <c r="G401" s="21"/>
      <c r="H401" s="19">
        <f t="shared" si="65"/>
        <v>2803.2</v>
      </c>
      <c r="I401" s="19">
        <f t="shared" si="65"/>
        <v>2803.2</v>
      </c>
      <c r="J401" s="19">
        <f t="shared" si="65"/>
        <v>2803.2</v>
      </c>
    </row>
    <row r="402" spans="2:10" s="1" customFormat="1" x14ac:dyDescent="0.2">
      <c r="B402" s="37" t="s">
        <v>428</v>
      </c>
      <c r="C402" s="21" t="s">
        <v>9</v>
      </c>
      <c r="D402" s="21" t="s">
        <v>426</v>
      </c>
      <c r="E402" s="21" t="s">
        <v>11</v>
      </c>
      <c r="F402" s="31" t="s">
        <v>429</v>
      </c>
      <c r="G402" s="21"/>
      <c r="H402" s="19">
        <f>H404+H403</f>
        <v>2803.2</v>
      </c>
      <c r="I402" s="19">
        <f>I404+I403</f>
        <v>2803.2</v>
      </c>
      <c r="J402" s="19">
        <f>J404+J403</f>
        <v>2803.2</v>
      </c>
    </row>
    <row r="403" spans="2:10" s="1" customFormat="1" ht="25.5" x14ac:dyDescent="0.2">
      <c r="B403" s="37" t="s">
        <v>34</v>
      </c>
      <c r="C403" s="21" t="s">
        <v>9</v>
      </c>
      <c r="D403" s="21" t="s">
        <v>426</v>
      </c>
      <c r="E403" s="21" t="s">
        <v>11</v>
      </c>
      <c r="F403" s="31" t="s">
        <v>429</v>
      </c>
      <c r="G403" s="21" t="s">
        <v>35</v>
      </c>
      <c r="H403" s="19">
        <v>23</v>
      </c>
      <c r="I403" s="19">
        <v>23</v>
      </c>
      <c r="J403" s="19">
        <v>23</v>
      </c>
    </row>
    <row r="404" spans="2:10" s="1" customFormat="1" ht="13.5" customHeight="1" x14ac:dyDescent="0.2">
      <c r="B404" s="101" t="s">
        <v>430</v>
      </c>
      <c r="C404" s="21" t="s">
        <v>9</v>
      </c>
      <c r="D404" s="21" t="s">
        <v>426</v>
      </c>
      <c r="E404" s="21" t="s">
        <v>11</v>
      </c>
      <c r="F404" s="31" t="s">
        <v>429</v>
      </c>
      <c r="G404" s="21" t="s">
        <v>431</v>
      </c>
      <c r="H404" s="19">
        <v>2780.2</v>
      </c>
      <c r="I404" s="19">
        <v>2780.2</v>
      </c>
      <c r="J404" s="19">
        <v>2780.2</v>
      </c>
    </row>
    <row r="405" spans="2:10" s="1" customFormat="1" x14ac:dyDescent="0.2">
      <c r="B405" s="74" t="s">
        <v>432</v>
      </c>
      <c r="C405" s="16" t="s">
        <v>9</v>
      </c>
      <c r="D405" s="16" t="s">
        <v>426</v>
      </c>
      <c r="E405" s="16" t="s">
        <v>161</v>
      </c>
      <c r="F405" s="16"/>
      <c r="G405" s="16"/>
      <c r="H405" s="17">
        <f>H406+H417</f>
        <v>15661.8</v>
      </c>
      <c r="I405" s="17">
        <f>I406+I417</f>
        <v>4668.3999999999996</v>
      </c>
      <c r="J405" s="17">
        <f>J406+J417</f>
        <v>4668.3999999999996</v>
      </c>
    </row>
    <row r="406" spans="2:10" s="103" customFormat="1" ht="25.5" customHeight="1" x14ac:dyDescent="0.2">
      <c r="B406" s="27" t="s">
        <v>27</v>
      </c>
      <c r="C406" s="21" t="s">
        <v>9</v>
      </c>
      <c r="D406" s="21" t="s">
        <v>426</v>
      </c>
      <c r="E406" s="21" t="s">
        <v>161</v>
      </c>
      <c r="F406" s="28" t="s">
        <v>28</v>
      </c>
      <c r="G406" s="21"/>
      <c r="H406" s="102">
        <f>H408</f>
        <v>8067.1</v>
      </c>
      <c r="I406" s="102">
        <f>I408</f>
        <v>3207.1</v>
      </c>
      <c r="J406" s="102">
        <f>J408</f>
        <v>3207.1</v>
      </c>
    </row>
    <row r="407" spans="2:10" s="103" customFormat="1" ht="15.75" customHeight="1" x14ac:dyDescent="0.2">
      <c r="B407" s="29" t="s">
        <v>16</v>
      </c>
      <c r="C407" s="21" t="s">
        <v>9</v>
      </c>
      <c r="D407" s="21" t="s">
        <v>426</v>
      </c>
      <c r="E407" s="21" t="s">
        <v>161</v>
      </c>
      <c r="F407" s="31" t="s">
        <v>29</v>
      </c>
      <c r="G407" s="21"/>
      <c r="H407" s="102">
        <f>H408</f>
        <v>8067.1</v>
      </c>
      <c r="I407" s="102">
        <f>I408</f>
        <v>3207.1</v>
      </c>
      <c r="J407" s="102">
        <f>J408</f>
        <v>3207.1</v>
      </c>
    </row>
    <row r="408" spans="2:10" s="103" customFormat="1" ht="26.25" customHeight="1" x14ac:dyDescent="0.2">
      <c r="B408" s="29" t="s">
        <v>105</v>
      </c>
      <c r="C408" s="21" t="s">
        <v>9</v>
      </c>
      <c r="D408" s="21" t="s">
        <v>426</v>
      </c>
      <c r="E408" s="21" t="s">
        <v>161</v>
      </c>
      <c r="F408" s="31" t="s">
        <v>106</v>
      </c>
      <c r="G408" s="21"/>
      <c r="H408" s="102">
        <f>H409+H415</f>
        <v>8067.1</v>
      </c>
      <c r="I408" s="102">
        <f>I409+I415</f>
        <v>3207.1</v>
      </c>
      <c r="J408" s="102">
        <f>J409+J415</f>
        <v>3207.1</v>
      </c>
    </row>
    <row r="409" spans="2:10" s="103" customFormat="1" ht="13.5" customHeight="1" x14ac:dyDescent="0.2">
      <c r="B409" s="41" t="s">
        <v>433</v>
      </c>
      <c r="C409" s="21" t="s">
        <v>9</v>
      </c>
      <c r="D409" s="21" t="s">
        <v>426</v>
      </c>
      <c r="E409" s="21" t="s">
        <v>161</v>
      </c>
      <c r="F409" s="31" t="s">
        <v>434</v>
      </c>
      <c r="G409" s="21"/>
      <c r="H409" s="102">
        <f>H412+H413+H410+H411+H414</f>
        <v>3207.1</v>
      </c>
      <c r="I409" s="102">
        <f>I412+I413+I410+I411+I414</f>
        <v>3207.1</v>
      </c>
      <c r="J409" s="102">
        <f>J412+J413+J410+J411+J414</f>
        <v>3207.1</v>
      </c>
    </row>
    <row r="410" spans="2:10" s="103" customFormat="1" ht="13.5" customHeight="1" x14ac:dyDescent="0.2">
      <c r="B410" s="55" t="s">
        <v>128</v>
      </c>
      <c r="C410" s="21" t="s">
        <v>9</v>
      </c>
      <c r="D410" s="21" t="s">
        <v>426</v>
      </c>
      <c r="E410" s="21" t="s">
        <v>161</v>
      </c>
      <c r="F410" s="31" t="s">
        <v>434</v>
      </c>
      <c r="G410" s="21" t="s">
        <v>129</v>
      </c>
      <c r="H410" s="19">
        <v>540</v>
      </c>
      <c r="I410" s="19">
        <v>540</v>
      </c>
      <c r="J410" s="19">
        <v>540</v>
      </c>
    </row>
    <row r="411" spans="2:10" s="103" customFormat="1" ht="26.25" customHeight="1" x14ac:dyDescent="0.2">
      <c r="B411" s="20" t="s">
        <v>34</v>
      </c>
      <c r="C411" s="21" t="s">
        <v>9</v>
      </c>
      <c r="D411" s="21" t="s">
        <v>426</v>
      </c>
      <c r="E411" s="21" t="s">
        <v>161</v>
      </c>
      <c r="F411" s="31" t="s">
        <v>434</v>
      </c>
      <c r="G411" s="21" t="s">
        <v>35</v>
      </c>
      <c r="H411" s="19">
        <v>18</v>
      </c>
      <c r="I411" s="19">
        <v>18</v>
      </c>
      <c r="J411" s="19">
        <v>18</v>
      </c>
    </row>
    <row r="412" spans="2:10" s="103" customFormat="1" ht="23.25" customHeight="1" x14ac:dyDescent="0.2">
      <c r="B412" s="49" t="s">
        <v>435</v>
      </c>
      <c r="C412" s="21" t="s">
        <v>9</v>
      </c>
      <c r="D412" s="21" t="s">
        <v>426</v>
      </c>
      <c r="E412" s="21" t="s">
        <v>161</v>
      </c>
      <c r="F412" s="31" t="s">
        <v>434</v>
      </c>
      <c r="G412" s="21" t="s">
        <v>436</v>
      </c>
      <c r="H412" s="19">
        <v>1800</v>
      </c>
      <c r="I412" s="19">
        <v>1800</v>
      </c>
      <c r="J412" s="19">
        <v>1800</v>
      </c>
    </row>
    <row r="413" spans="2:10" s="103" customFormat="1" ht="16.5" customHeight="1" x14ac:dyDescent="0.2">
      <c r="B413" s="49" t="s">
        <v>100</v>
      </c>
      <c r="C413" s="21" t="s">
        <v>9</v>
      </c>
      <c r="D413" s="21" t="s">
        <v>426</v>
      </c>
      <c r="E413" s="21" t="s">
        <v>161</v>
      </c>
      <c r="F413" s="31" t="s">
        <v>434</v>
      </c>
      <c r="G413" s="21" t="s">
        <v>101</v>
      </c>
      <c r="H413" s="19">
        <v>499.1</v>
      </c>
      <c r="I413" s="19">
        <v>499.1</v>
      </c>
      <c r="J413" s="19">
        <v>499.1</v>
      </c>
    </row>
    <row r="414" spans="2:10" s="103" customFormat="1" ht="16.5" customHeight="1" x14ac:dyDescent="0.2">
      <c r="B414" s="49" t="s">
        <v>437</v>
      </c>
      <c r="C414" s="21" t="s">
        <v>9</v>
      </c>
      <c r="D414" s="21" t="s">
        <v>426</v>
      </c>
      <c r="E414" s="21" t="s">
        <v>161</v>
      </c>
      <c r="F414" s="31" t="s">
        <v>434</v>
      </c>
      <c r="G414" s="21" t="s">
        <v>147</v>
      </c>
      <c r="H414" s="19">
        <v>350</v>
      </c>
      <c r="I414" s="19">
        <v>350</v>
      </c>
      <c r="J414" s="19">
        <v>350</v>
      </c>
    </row>
    <row r="415" spans="2:10" s="103" customFormat="1" ht="26.25" customHeight="1" x14ac:dyDescent="0.2">
      <c r="B415" s="41" t="s">
        <v>438</v>
      </c>
      <c r="C415" s="21" t="s">
        <v>9</v>
      </c>
      <c r="D415" s="21" t="s">
        <v>426</v>
      </c>
      <c r="E415" s="21" t="s">
        <v>161</v>
      </c>
      <c r="F415" s="31" t="s">
        <v>439</v>
      </c>
      <c r="G415" s="21"/>
      <c r="H415" s="19">
        <f>H416</f>
        <v>4860</v>
      </c>
      <c r="I415" s="19">
        <f>I416</f>
        <v>0</v>
      </c>
      <c r="J415" s="19">
        <f>J416</f>
        <v>0</v>
      </c>
    </row>
    <row r="416" spans="2:10" s="103" customFormat="1" ht="16.5" customHeight="1" x14ac:dyDescent="0.2">
      <c r="B416" s="72" t="s">
        <v>440</v>
      </c>
      <c r="C416" s="21" t="s">
        <v>9</v>
      </c>
      <c r="D416" s="21" t="s">
        <v>426</v>
      </c>
      <c r="E416" s="21" t="s">
        <v>161</v>
      </c>
      <c r="F416" s="31" t="s">
        <v>439</v>
      </c>
      <c r="G416" s="47" t="s">
        <v>431</v>
      </c>
      <c r="H416" s="19">
        <v>4860</v>
      </c>
      <c r="I416" s="19">
        <v>0</v>
      </c>
      <c r="J416" s="19">
        <v>0</v>
      </c>
    </row>
    <row r="417" spans="2:14" s="53" customFormat="1" ht="41.25" customHeight="1" x14ac:dyDescent="0.2">
      <c r="B417" s="49" t="s">
        <v>264</v>
      </c>
      <c r="C417" s="21" t="s">
        <v>9</v>
      </c>
      <c r="D417" s="21" t="s">
        <v>426</v>
      </c>
      <c r="E417" s="21" t="s">
        <v>161</v>
      </c>
      <c r="F417" s="23" t="s">
        <v>265</v>
      </c>
      <c r="G417" s="21"/>
      <c r="H417" s="19">
        <f>H418+H425</f>
        <v>7594.7</v>
      </c>
      <c r="I417" s="19">
        <f>I418+I425</f>
        <v>1461.3</v>
      </c>
      <c r="J417" s="19">
        <f>J418+J425</f>
        <v>1461.3</v>
      </c>
      <c r="K417" s="1"/>
      <c r="L417" s="1"/>
      <c r="M417" s="1"/>
      <c r="N417" s="1"/>
    </row>
    <row r="418" spans="2:14" s="53" customFormat="1" x14ac:dyDescent="0.2">
      <c r="B418" s="38" t="s">
        <v>48</v>
      </c>
      <c r="C418" s="21" t="s">
        <v>9</v>
      </c>
      <c r="D418" s="21" t="s">
        <v>426</v>
      </c>
      <c r="E418" s="21" t="s">
        <v>161</v>
      </c>
      <c r="F418" s="23" t="s">
        <v>276</v>
      </c>
      <c r="G418" s="21"/>
      <c r="H418" s="19">
        <f>H419+H422</f>
        <v>7594.7</v>
      </c>
      <c r="I418" s="19">
        <f>I419+I422</f>
        <v>1461.3</v>
      </c>
      <c r="J418" s="19">
        <f>J419+J422</f>
        <v>1461.3</v>
      </c>
      <c r="K418" s="1"/>
      <c r="L418" s="1"/>
      <c r="M418" s="1"/>
      <c r="N418" s="1"/>
    </row>
    <row r="419" spans="2:14" s="53" customFormat="1" ht="38.25" customHeight="1" x14ac:dyDescent="0.2">
      <c r="B419" s="38" t="s">
        <v>441</v>
      </c>
      <c r="C419" s="21" t="s">
        <v>9</v>
      </c>
      <c r="D419" s="48" t="s">
        <v>426</v>
      </c>
      <c r="E419" s="48" t="s">
        <v>161</v>
      </c>
      <c r="F419" s="23" t="s">
        <v>442</v>
      </c>
      <c r="G419" s="48"/>
      <c r="H419" s="19">
        <f t="shared" ref="H419:J420" si="66">H420</f>
        <v>567</v>
      </c>
      <c r="I419" s="19">
        <f t="shared" si="66"/>
        <v>1461.3</v>
      </c>
      <c r="J419" s="19">
        <f t="shared" si="66"/>
        <v>1461.3</v>
      </c>
      <c r="K419" s="1"/>
      <c r="L419" s="1"/>
      <c r="M419" s="1"/>
      <c r="N419" s="1"/>
    </row>
    <row r="420" spans="2:14" s="53" customFormat="1" ht="16.5" customHeight="1" x14ac:dyDescent="0.2">
      <c r="B420" s="104" t="s">
        <v>443</v>
      </c>
      <c r="C420" s="21" t="s">
        <v>9</v>
      </c>
      <c r="D420" s="48" t="s">
        <v>426</v>
      </c>
      <c r="E420" s="48" t="s">
        <v>161</v>
      </c>
      <c r="F420" s="23" t="s">
        <v>444</v>
      </c>
      <c r="G420" s="48"/>
      <c r="H420" s="19">
        <f t="shared" si="66"/>
        <v>567</v>
      </c>
      <c r="I420" s="19">
        <f t="shared" si="66"/>
        <v>1461.3</v>
      </c>
      <c r="J420" s="19">
        <f t="shared" si="66"/>
        <v>1461.3</v>
      </c>
      <c r="K420" s="1"/>
      <c r="L420" s="1"/>
      <c r="M420" s="1"/>
      <c r="N420" s="1"/>
    </row>
    <row r="421" spans="2:14" s="53" customFormat="1" ht="27" customHeight="1" x14ac:dyDescent="0.2">
      <c r="B421" s="49" t="s">
        <v>435</v>
      </c>
      <c r="C421" s="21" t="s">
        <v>9</v>
      </c>
      <c r="D421" s="48" t="s">
        <v>426</v>
      </c>
      <c r="E421" s="48" t="s">
        <v>161</v>
      </c>
      <c r="F421" s="23" t="s">
        <v>444</v>
      </c>
      <c r="G421" s="48" t="s">
        <v>436</v>
      </c>
      <c r="H421" s="19">
        <f>174+566.8+166.2-340</f>
        <v>567</v>
      </c>
      <c r="I421" s="19">
        <f>519.6+566.5+375.2</f>
        <v>1461.3</v>
      </c>
      <c r="J421" s="57">
        <f>519.6+566.5+375.2</f>
        <v>1461.3</v>
      </c>
      <c r="K421" s="1"/>
      <c r="L421" s="1"/>
      <c r="M421" s="1"/>
      <c r="N421" s="1"/>
    </row>
    <row r="422" spans="2:14" s="53" customFormat="1" ht="24.75" customHeight="1" x14ac:dyDescent="0.2">
      <c r="B422" s="38" t="s">
        <v>445</v>
      </c>
      <c r="C422" s="21" t="s">
        <v>9</v>
      </c>
      <c r="D422" s="48" t="s">
        <v>426</v>
      </c>
      <c r="E422" s="48" t="s">
        <v>161</v>
      </c>
      <c r="F422" s="23" t="s">
        <v>446</v>
      </c>
      <c r="G422" s="48"/>
      <c r="H422" s="19">
        <f t="shared" ref="H422:J423" si="67">H423</f>
        <v>7027.7</v>
      </c>
      <c r="I422" s="19">
        <f t="shared" si="67"/>
        <v>0</v>
      </c>
      <c r="J422" s="19">
        <f t="shared" si="67"/>
        <v>0</v>
      </c>
      <c r="K422" s="1"/>
      <c r="L422" s="1"/>
      <c r="M422" s="1"/>
      <c r="N422" s="1"/>
    </row>
    <row r="423" spans="2:14" s="53" customFormat="1" ht="29.25" customHeight="1" x14ac:dyDescent="0.2">
      <c r="B423" s="50" t="s">
        <v>447</v>
      </c>
      <c r="C423" s="21" t="s">
        <v>9</v>
      </c>
      <c r="D423" s="48" t="s">
        <v>426</v>
      </c>
      <c r="E423" s="48" t="s">
        <v>161</v>
      </c>
      <c r="F423" s="23" t="s">
        <v>448</v>
      </c>
      <c r="G423" s="48"/>
      <c r="H423" s="19">
        <f t="shared" si="67"/>
        <v>7027.7</v>
      </c>
      <c r="I423" s="19">
        <f t="shared" si="67"/>
        <v>0</v>
      </c>
      <c r="J423" s="19">
        <f t="shared" si="67"/>
        <v>0</v>
      </c>
      <c r="K423" s="1"/>
      <c r="L423" s="1"/>
      <c r="M423" s="1"/>
      <c r="N423" s="1"/>
    </row>
    <row r="424" spans="2:14" s="53" customFormat="1" ht="27" customHeight="1" x14ac:dyDescent="0.2">
      <c r="B424" s="49" t="s">
        <v>435</v>
      </c>
      <c r="C424" s="21" t="s">
        <v>9</v>
      </c>
      <c r="D424" s="48" t="s">
        <v>426</v>
      </c>
      <c r="E424" s="48" t="s">
        <v>161</v>
      </c>
      <c r="F424" s="23" t="s">
        <v>448</v>
      </c>
      <c r="G424" s="48" t="s">
        <v>436</v>
      </c>
      <c r="H424" s="19">
        <f>6676.3+351.4</f>
        <v>7027.7</v>
      </c>
      <c r="I424" s="19">
        <v>0</v>
      </c>
      <c r="J424" s="19">
        <v>0</v>
      </c>
      <c r="K424" s="1"/>
      <c r="L424" s="1"/>
      <c r="M424" s="1"/>
      <c r="N424" s="1"/>
    </row>
    <row r="425" spans="2:14" s="53" customFormat="1" ht="17.25" hidden="1" customHeight="1" x14ac:dyDescent="0.2">
      <c r="B425" s="38" t="s">
        <v>16</v>
      </c>
      <c r="C425" s="21" t="s">
        <v>9</v>
      </c>
      <c r="D425" s="48" t="s">
        <v>426</v>
      </c>
      <c r="E425" s="48" t="s">
        <v>161</v>
      </c>
      <c r="F425" s="23" t="s">
        <v>449</v>
      </c>
      <c r="G425" s="48"/>
      <c r="H425" s="19">
        <f>H426</f>
        <v>0</v>
      </c>
      <c r="I425" s="19">
        <f t="shared" ref="I425:J427" si="68">I426</f>
        <v>0</v>
      </c>
      <c r="J425" s="19">
        <f t="shared" si="68"/>
        <v>0</v>
      </c>
      <c r="K425" s="1"/>
      <c r="L425" s="1"/>
      <c r="M425" s="1"/>
      <c r="N425" s="1"/>
    </row>
    <row r="426" spans="2:14" s="53" customFormat="1" ht="54" hidden="1" customHeight="1" x14ac:dyDescent="0.2">
      <c r="B426" s="38" t="s">
        <v>450</v>
      </c>
      <c r="C426" s="21" t="s">
        <v>9</v>
      </c>
      <c r="D426" s="48" t="s">
        <v>426</v>
      </c>
      <c r="E426" s="48" t="s">
        <v>161</v>
      </c>
      <c r="F426" s="23" t="s">
        <v>451</v>
      </c>
      <c r="G426" s="48"/>
      <c r="H426" s="19">
        <f>H427</f>
        <v>0</v>
      </c>
      <c r="I426" s="19">
        <f t="shared" si="68"/>
        <v>0</v>
      </c>
      <c r="J426" s="19">
        <f t="shared" si="68"/>
        <v>0</v>
      </c>
      <c r="K426" s="1"/>
      <c r="L426" s="1"/>
      <c r="M426" s="1"/>
      <c r="N426" s="1"/>
    </row>
    <row r="427" spans="2:14" s="53" customFormat="1" ht="57.75" hidden="1" customHeight="1" x14ac:dyDescent="0.2">
      <c r="B427" s="20" t="s">
        <v>452</v>
      </c>
      <c r="C427" s="21" t="s">
        <v>9</v>
      </c>
      <c r="D427" s="48" t="s">
        <v>426</v>
      </c>
      <c r="E427" s="48" t="s">
        <v>161</v>
      </c>
      <c r="F427" s="23" t="s">
        <v>453</v>
      </c>
      <c r="G427" s="48"/>
      <c r="H427" s="19">
        <f>H428</f>
        <v>0</v>
      </c>
      <c r="I427" s="19">
        <f t="shared" si="68"/>
        <v>0</v>
      </c>
      <c r="J427" s="19">
        <f t="shared" si="68"/>
        <v>0</v>
      </c>
      <c r="K427" s="1"/>
      <c r="L427" s="1"/>
      <c r="M427" s="1"/>
      <c r="N427" s="1"/>
    </row>
    <row r="428" spans="2:14" s="53" customFormat="1" ht="26.25" hidden="1" customHeight="1" x14ac:dyDescent="0.2">
      <c r="B428" s="49" t="s">
        <v>435</v>
      </c>
      <c r="C428" s="21" t="s">
        <v>9</v>
      </c>
      <c r="D428" s="48" t="s">
        <v>426</v>
      </c>
      <c r="E428" s="48" t="s">
        <v>161</v>
      </c>
      <c r="F428" s="23" t="s">
        <v>453</v>
      </c>
      <c r="G428" s="48" t="s">
        <v>436</v>
      </c>
      <c r="H428" s="19">
        <v>0</v>
      </c>
      <c r="I428" s="19">
        <v>0</v>
      </c>
      <c r="J428" s="19">
        <v>0</v>
      </c>
      <c r="K428" s="1"/>
      <c r="L428" s="1"/>
      <c r="M428" s="1"/>
      <c r="N428" s="1"/>
    </row>
    <row r="429" spans="2:14" s="59" customFormat="1" ht="19.5" customHeight="1" x14ac:dyDescent="0.2">
      <c r="B429" s="99" t="s">
        <v>454</v>
      </c>
      <c r="C429" s="16" t="s">
        <v>9</v>
      </c>
      <c r="D429" s="16" t="s">
        <v>426</v>
      </c>
      <c r="E429" s="16" t="s">
        <v>364</v>
      </c>
      <c r="F429" s="71"/>
      <c r="G429" s="16"/>
      <c r="H429" s="17">
        <f t="shared" ref="H429:J432" si="69">H430</f>
        <v>570</v>
      </c>
      <c r="I429" s="17">
        <f t="shared" si="69"/>
        <v>0</v>
      </c>
      <c r="J429" s="17">
        <f t="shared" si="69"/>
        <v>0</v>
      </c>
    </row>
    <row r="430" spans="2:14" s="1" customFormat="1" ht="29.25" customHeight="1" x14ac:dyDescent="0.2">
      <c r="B430" s="27" t="s">
        <v>27</v>
      </c>
      <c r="C430" s="21" t="s">
        <v>9</v>
      </c>
      <c r="D430" s="21" t="s">
        <v>426</v>
      </c>
      <c r="E430" s="21" t="s">
        <v>364</v>
      </c>
      <c r="F430" s="28" t="s">
        <v>28</v>
      </c>
      <c r="G430" s="21"/>
      <c r="H430" s="19">
        <f t="shared" si="69"/>
        <v>570</v>
      </c>
      <c r="I430" s="19">
        <f t="shared" si="69"/>
        <v>0</v>
      </c>
      <c r="J430" s="19">
        <f t="shared" si="69"/>
        <v>0</v>
      </c>
    </row>
    <row r="431" spans="2:14" s="1" customFormat="1" ht="15.75" customHeight="1" x14ac:dyDescent="0.2">
      <c r="B431" s="29" t="s">
        <v>16</v>
      </c>
      <c r="C431" s="21" t="s">
        <v>9</v>
      </c>
      <c r="D431" s="21" t="s">
        <v>426</v>
      </c>
      <c r="E431" s="21" t="s">
        <v>364</v>
      </c>
      <c r="F431" s="31" t="s">
        <v>29</v>
      </c>
      <c r="G431" s="21"/>
      <c r="H431" s="19">
        <f t="shared" si="69"/>
        <v>570</v>
      </c>
      <c r="I431" s="19">
        <f t="shared" si="69"/>
        <v>0</v>
      </c>
      <c r="J431" s="19">
        <f t="shared" si="69"/>
        <v>0</v>
      </c>
    </row>
    <row r="432" spans="2:14" s="1" customFormat="1" ht="26.25" customHeight="1" x14ac:dyDescent="0.2">
      <c r="B432" s="29" t="s">
        <v>105</v>
      </c>
      <c r="C432" s="21" t="s">
        <v>9</v>
      </c>
      <c r="D432" s="21" t="s">
        <v>426</v>
      </c>
      <c r="E432" s="21" t="s">
        <v>364</v>
      </c>
      <c r="F432" s="31" t="s">
        <v>106</v>
      </c>
      <c r="G432" s="21"/>
      <c r="H432" s="19">
        <f t="shared" si="69"/>
        <v>570</v>
      </c>
      <c r="I432" s="19">
        <f t="shared" si="69"/>
        <v>0</v>
      </c>
      <c r="J432" s="19">
        <f t="shared" si="69"/>
        <v>0</v>
      </c>
    </row>
    <row r="433" spans="2:10" s="1" customFormat="1" ht="24" customHeight="1" x14ac:dyDescent="0.2">
      <c r="B433" s="41" t="s">
        <v>438</v>
      </c>
      <c r="C433" s="21" t="s">
        <v>9</v>
      </c>
      <c r="D433" s="21" t="s">
        <v>426</v>
      </c>
      <c r="E433" s="21" t="s">
        <v>364</v>
      </c>
      <c r="F433" s="31" t="s">
        <v>439</v>
      </c>
      <c r="G433" s="21"/>
      <c r="H433" s="19">
        <f>H435+H434</f>
        <v>570</v>
      </c>
      <c r="I433" s="19">
        <f>I435+I434</f>
        <v>0</v>
      </c>
      <c r="J433" s="19">
        <f>J435+J434</f>
        <v>0</v>
      </c>
    </row>
    <row r="434" spans="2:10" s="1" customFormat="1" ht="24" customHeight="1" x14ac:dyDescent="0.2">
      <c r="B434" s="20" t="s">
        <v>34</v>
      </c>
      <c r="C434" s="21" t="s">
        <v>9</v>
      </c>
      <c r="D434" s="21" t="s">
        <v>426</v>
      </c>
      <c r="E434" s="21" t="s">
        <v>364</v>
      </c>
      <c r="F434" s="31" t="s">
        <v>439</v>
      </c>
      <c r="G434" s="21" t="s">
        <v>35</v>
      </c>
      <c r="H434" s="19">
        <v>150</v>
      </c>
      <c r="I434" s="19">
        <v>0</v>
      </c>
      <c r="J434" s="19">
        <v>0</v>
      </c>
    </row>
    <row r="435" spans="2:10" s="1" customFormat="1" ht="24" customHeight="1" x14ac:dyDescent="0.2">
      <c r="B435" s="49" t="s">
        <v>435</v>
      </c>
      <c r="C435" s="21" t="s">
        <v>9</v>
      </c>
      <c r="D435" s="21" t="s">
        <v>426</v>
      </c>
      <c r="E435" s="21" t="s">
        <v>364</v>
      </c>
      <c r="F435" s="31" t="s">
        <v>439</v>
      </c>
      <c r="G435" s="21" t="s">
        <v>436</v>
      </c>
      <c r="H435" s="19">
        <v>420</v>
      </c>
      <c r="I435" s="19">
        <v>0</v>
      </c>
      <c r="J435" s="19">
        <v>0</v>
      </c>
    </row>
    <row r="436" spans="2:10" s="59" customFormat="1" ht="15" customHeight="1" x14ac:dyDescent="0.2">
      <c r="B436" s="105" t="s">
        <v>455</v>
      </c>
      <c r="C436" s="16" t="s">
        <v>9</v>
      </c>
      <c r="D436" s="16" t="s">
        <v>75</v>
      </c>
      <c r="E436" s="16"/>
      <c r="F436" s="106"/>
      <c r="G436" s="16"/>
      <c r="H436" s="17">
        <f>H437+H458+H450</f>
        <v>17428.399999999998</v>
      </c>
      <c r="I436" s="17">
        <f>I437+I458+I450</f>
        <v>17508.399999999998</v>
      </c>
      <c r="J436" s="17">
        <f>J437+J458+J450</f>
        <v>17508.399999999998</v>
      </c>
    </row>
    <row r="437" spans="2:10" s="59" customFormat="1" ht="12.75" customHeight="1" x14ac:dyDescent="0.2">
      <c r="B437" s="15" t="s">
        <v>456</v>
      </c>
      <c r="C437" s="16" t="s">
        <v>9</v>
      </c>
      <c r="D437" s="16" t="s">
        <v>75</v>
      </c>
      <c r="E437" s="16" t="s">
        <v>11</v>
      </c>
      <c r="F437" s="16"/>
      <c r="G437" s="16"/>
      <c r="H437" s="17">
        <f t="shared" ref="H437:J439" si="70">H438</f>
        <v>15441.8</v>
      </c>
      <c r="I437" s="17">
        <f t="shared" si="70"/>
        <v>15521.8</v>
      </c>
      <c r="J437" s="17">
        <f t="shared" si="70"/>
        <v>15521.8</v>
      </c>
    </row>
    <row r="438" spans="2:10" s="1" customFormat="1" ht="42" customHeight="1" x14ac:dyDescent="0.2">
      <c r="B438" s="38" t="s">
        <v>138</v>
      </c>
      <c r="C438" s="21" t="s">
        <v>9</v>
      </c>
      <c r="D438" s="21" t="s">
        <v>75</v>
      </c>
      <c r="E438" s="21" t="s">
        <v>11</v>
      </c>
      <c r="F438" s="23" t="s">
        <v>139</v>
      </c>
      <c r="G438" s="21"/>
      <c r="H438" s="102">
        <f t="shared" si="70"/>
        <v>15441.8</v>
      </c>
      <c r="I438" s="102">
        <f t="shared" si="70"/>
        <v>15521.8</v>
      </c>
      <c r="J438" s="102">
        <f t="shared" si="70"/>
        <v>15521.8</v>
      </c>
    </row>
    <row r="439" spans="2:10" s="1" customFormat="1" ht="15" customHeight="1" x14ac:dyDescent="0.2">
      <c r="B439" s="49" t="s">
        <v>16</v>
      </c>
      <c r="C439" s="21" t="s">
        <v>9</v>
      </c>
      <c r="D439" s="21" t="s">
        <v>75</v>
      </c>
      <c r="E439" s="21" t="s">
        <v>11</v>
      </c>
      <c r="F439" s="23" t="s">
        <v>148</v>
      </c>
      <c r="G439" s="21"/>
      <c r="H439" s="102">
        <f t="shared" si="70"/>
        <v>15441.8</v>
      </c>
      <c r="I439" s="102">
        <f t="shared" si="70"/>
        <v>15521.8</v>
      </c>
      <c r="J439" s="102">
        <f t="shared" si="70"/>
        <v>15521.8</v>
      </c>
    </row>
    <row r="440" spans="2:10" s="1" customFormat="1" ht="25.5" customHeight="1" x14ac:dyDescent="0.2">
      <c r="B440" s="49" t="s">
        <v>457</v>
      </c>
      <c r="C440" s="21" t="s">
        <v>9</v>
      </c>
      <c r="D440" s="21" t="s">
        <v>75</v>
      </c>
      <c r="E440" s="21" t="s">
        <v>11</v>
      </c>
      <c r="F440" s="23" t="s">
        <v>458</v>
      </c>
      <c r="G440" s="48"/>
      <c r="H440" s="19">
        <f>H441+H445+H443</f>
        <v>15441.8</v>
      </c>
      <c r="I440" s="19">
        <f>I441+I445+I443</f>
        <v>15521.8</v>
      </c>
      <c r="J440" s="19">
        <f>J441+J445+J443</f>
        <v>15521.8</v>
      </c>
    </row>
    <row r="441" spans="2:10" s="1" customFormat="1" ht="25.5" customHeight="1" x14ac:dyDescent="0.2">
      <c r="B441" s="104" t="s">
        <v>459</v>
      </c>
      <c r="C441" s="21" t="s">
        <v>9</v>
      </c>
      <c r="D441" s="21" t="s">
        <v>75</v>
      </c>
      <c r="E441" s="21" t="s">
        <v>11</v>
      </c>
      <c r="F441" s="23" t="s">
        <v>460</v>
      </c>
      <c r="G441" s="48"/>
      <c r="H441" s="19">
        <f>H442</f>
        <v>5134.5</v>
      </c>
      <c r="I441" s="19">
        <f>I442</f>
        <v>5134.5</v>
      </c>
      <c r="J441" s="19">
        <f>J442</f>
        <v>5134.5</v>
      </c>
    </row>
    <row r="442" spans="2:10" s="1" customFormat="1" ht="15" customHeight="1" x14ac:dyDescent="0.2">
      <c r="B442" s="104" t="s">
        <v>380</v>
      </c>
      <c r="C442" s="21" t="s">
        <v>9</v>
      </c>
      <c r="D442" s="21" t="s">
        <v>75</v>
      </c>
      <c r="E442" s="21" t="s">
        <v>11</v>
      </c>
      <c r="F442" s="23" t="s">
        <v>460</v>
      </c>
      <c r="G442" s="48" t="s">
        <v>147</v>
      </c>
      <c r="H442" s="19">
        <v>5134.5</v>
      </c>
      <c r="I442" s="19">
        <v>5134.5</v>
      </c>
      <c r="J442" s="19">
        <v>5134.5</v>
      </c>
    </row>
    <row r="443" spans="2:10" s="1" customFormat="1" ht="27" customHeight="1" x14ac:dyDescent="0.2">
      <c r="B443" s="49" t="s">
        <v>40</v>
      </c>
      <c r="C443" s="21" t="s">
        <v>9</v>
      </c>
      <c r="D443" s="21" t="s">
        <v>75</v>
      </c>
      <c r="E443" s="21" t="s">
        <v>11</v>
      </c>
      <c r="F443" s="23" t="s">
        <v>461</v>
      </c>
      <c r="G443" s="21"/>
      <c r="H443" s="19">
        <f>H444</f>
        <v>9735.2999999999993</v>
      </c>
      <c r="I443" s="19">
        <f>I444</f>
        <v>9735.2999999999993</v>
      </c>
      <c r="J443" s="19">
        <f>J444</f>
        <v>9735.2999999999993</v>
      </c>
    </row>
    <row r="444" spans="2:10" s="1" customFormat="1" ht="15.75" customHeight="1" x14ac:dyDescent="0.2">
      <c r="B444" s="107" t="s">
        <v>146</v>
      </c>
      <c r="C444" s="21" t="s">
        <v>9</v>
      </c>
      <c r="D444" s="21" t="s">
        <v>75</v>
      </c>
      <c r="E444" s="21" t="s">
        <v>11</v>
      </c>
      <c r="F444" s="23" t="s">
        <v>461</v>
      </c>
      <c r="G444" s="21" t="s">
        <v>147</v>
      </c>
      <c r="H444" s="19">
        <f>8966.5+50+718.8</f>
        <v>9735.2999999999993</v>
      </c>
      <c r="I444" s="19">
        <f>8966.5+50+718.8</f>
        <v>9735.2999999999993</v>
      </c>
      <c r="J444" s="19">
        <f>8966.5+50+718.8</f>
        <v>9735.2999999999993</v>
      </c>
    </row>
    <row r="445" spans="2:10" s="1" customFormat="1" ht="14.25" customHeight="1" x14ac:dyDescent="0.2">
      <c r="B445" s="108" t="s">
        <v>462</v>
      </c>
      <c r="C445" s="21" t="s">
        <v>9</v>
      </c>
      <c r="D445" s="21" t="s">
        <v>75</v>
      </c>
      <c r="E445" s="21" t="s">
        <v>11</v>
      </c>
      <c r="F445" s="23" t="s">
        <v>463</v>
      </c>
      <c r="G445" s="48"/>
      <c r="H445" s="19">
        <f>H446+H447+H448+H449</f>
        <v>572</v>
      </c>
      <c r="I445" s="19">
        <f>I446+I447+I448+I449</f>
        <v>652</v>
      </c>
      <c r="J445" s="19">
        <f>J446+J447+J448+J449</f>
        <v>652</v>
      </c>
    </row>
    <row r="446" spans="2:10" s="1" customFormat="1" ht="25.5" customHeight="1" x14ac:dyDescent="0.2">
      <c r="B446" s="40" t="s">
        <v>22</v>
      </c>
      <c r="C446" s="21" t="s">
        <v>9</v>
      </c>
      <c r="D446" s="21" t="s">
        <v>75</v>
      </c>
      <c r="E446" s="21" t="s">
        <v>11</v>
      </c>
      <c r="F446" s="23" t="s">
        <v>463</v>
      </c>
      <c r="G446" s="48" t="s">
        <v>23</v>
      </c>
      <c r="H446" s="19">
        <v>50</v>
      </c>
      <c r="I446" s="19">
        <v>50</v>
      </c>
      <c r="J446" s="57">
        <v>50</v>
      </c>
    </row>
    <row r="447" spans="2:10" s="1" customFormat="1" ht="25.5" customHeight="1" x14ac:dyDescent="0.2">
      <c r="B447" s="20" t="s">
        <v>34</v>
      </c>
      <c r="C447" s="21" t="s">
        <v>9</v>
      </c>
      <c r="D447" s="21" t="s">
        <v>75</v>
      </c>
      <c r="E447" s="21" t="s">
        <v>11</v>
      </c>
      <c r="F447" s="23" t="s">
        <v>463</v>
      </c>
      <c r="G447" s="48" t="s">
        <v>35</v>
      </c>
      <c r="H447" s="19">
        <v>522</v>
      </c>
      <c r="I447" s="19">
        <v>602</v>
      </c>
      <c r="J447" s="57">
        <v>602</v>
      </c>
    </row>
    <row r="448" spans="2:10" s="1" customFormat="1" ht="15.75" hidden="1" customHeight="1" x14ac:dyDescent="0.2">
      <c r="B448" s="49" t="s">
        <v>145</v>
      </c>
      <c r="C448" s="21" t="s">
        <v>9</v>
      </c>
      <c r="D448" s="21" t="s">
        <v>75</v>
      </c>
      <c r="E448" s="21" t="s">
        <v>11</v>
      </c>
      <c r="F448" s="23" t="s">
        <v>463</v>
      </c>
      <c r="G448" s="48" t="s">
        <v>101</v>
      </c>
      <c r="H448" s="19">
        <v>0</v>
      </c>
      <c r="I448" s="19">
        <v>0</v>
      </c>
      <c r="J448" s="19">
        <v>0</v>
      </c>
    </row>
    <row r="449" spans="2:10" s="1" customFormat="1" ht="16.5" hidden="1" customHeight="1" x14ac:dyDescent="0.2">
      <c r="B449" s="56" t="s">
        <v>146</v>
      </c>
      <c r="C449" s="21" t="s">
        <v>9</v>
      </c>
      <c r="D449" s="21" t="s">
        <v>75</v>
      </c>
      <c r="E449" s="21" t="s">
        <v>11</v>
      </c>
      <c r="F449" s="23" t="s">
        <v>463</v>
      </c>
      <c r="G449" s="48" t="s">
        <v>147</v>
      </c>
      <c r="H449" s="19">
        <v>0</v>
      </c>
      <c r="I449" s="19">
        <v>0</v>
      </c>
      <c r="J449" s="19">
        <v>0</v>
      </c>
    </row>
    <row r="450" spans="2:10" s="1" customFormat="1" ht="18" customHeight="1" x14ac:dyDescent="0.2">
      <c r="B450" s="98" t="s">
        <v>464</v>
      </c>
      <c r="C450" s="16" t="s">
        <v>9</v>
      </c>
      <c r="D450" s="16" t="s">
        <v>75</v>
      </c>
      <c r="E450" s="16" t="s">
        <v>13</v>
      </c>
      <c r="F450" s="23"/>
      <c r="G450" s="21"/>
      <c r="H450" s="19">
        <f t="shared" ref="H450:J451" si="71">H451</f>
        <v>1522.2</v>
      </c>
      <c r="I450" s="19">
        <f t="shared" si="71"/>
        <v>1522.2</v>
      </c>
      <c r="J450" s="19">
        <f t="shared" si="71"/>
        <v>1522.2</v>
      </c>
    </row>
    <row r="451" spans="2:10" s="1" customFormat="1" ht="25.5" customHeight="1" x14ac:dyDescent="0.2">
      <c r="B451" s="38" t="s">
        <v>138</v>
      </c>
      <c r="C451" s="21" t="s">
        <v>9</v>
      </c>
      <c r="D451" s="21" t="s">
        <v>75</v>
      </c>
      <c r="E451" s="21" t="s">
        <v>13</v>
      </c>
      <c r="F451" s="23" t="s">
        <v>139</v>
      </c>
      <c r="G451" s="21"/>
      <c r="H451" s="19">
        <f>H452</f>
        <v>1522.2</v>
      </c>
      <c r="I451" s="19">
        <f t="shared" si="71"/>
        <v>1522.2</v>
      </c>
      <c r="J451" s="19">
        <f t="shared" si="71"/>
        <v>1522.2</v>
      </c>
    </row>
    <row r="452" spans="2:10" s="1" customFormat="1" ht="15.75" customHeight="1" x14ac:dyDescent="0.2">
      <c r="B452" s="38" t="s">
        <v>48</v>
      </c>
      <c r="C452" s="21" t="s">
        <v>9</v>
      </c>
      <c r="D452" s="21" t="s">
        <v>75</v>
      </c>
      <c r="E452" s="21" t="s">
        <v>13</v>
      </c>
      <c r="F452" s="23" t="s">
        <v>140</v>
      </c>
      <c r="G452" s="21"/>
      <c r="H452" s="19">
        <f>H453</f>
        <v>1522.2</v>
      </c>
      <c r="I452" s="19">
        <f>I453</f>
        <v>1522.2</v>
      </c>
      <c r="J452" s="19">
        <f>J453</f>
        <v>1522.2</v>
      </c>
    </row>
    <row r="453" spans="2:10" s="1" customFormat="1" ht="28.5" customHeight="1" x14ac:dyDescent="0.2">
      <c r="B453" s="49" t="s">
        <v>465</v>
      </c>
      <c r="C453" s="21" t="s">
        <v>9</v>
      </c>
      <c r="D453" s="21" t="s">
        <v>75</v>
      </c>
      <c r="E453" s="21" t="s">
        <v>13</v>
      </c>
      <c r="F453" s="23" t="s">
        <v>466</v>
      </c>
      <c r="G453" s="48"/>
      <c r="H453" s="19">
        <f>H454+H456</f>
        <v>1522.2</v>
      </c>
      <c r="I453" s="19">
        <f>I454+I456</f>
        <v>1522.2</v>
      </c>
      <c r="J453" s="19">
        <f>J454+J456</f>
        <v>1522.2</v>
      </c>
    </row>
    <row r="454" spans="2:10" s="1" customFormat="1" ht="41.25" customHeight="1" x14ac:dyDescent="0.2">
      <c r="B454" s="20" t="s">
        <v>467</v>
      </c>
      <c r="C454" s="21" t="s">
        <v>9</v>
      </c>
      <c r="D454" s="21" t="s">
        <v>75</v>
      </c>
      <c r="E454" s="21" t="s">
        <v>13</v>
      </c>
      <c r="F454" s="23" t="s">
        <v>468</v>
      </c>
      <c r="G454" s="48"/>
      <c r="H454" s="19">
        <f>H455</f>
        <v>522.20000000000005</v>
      </c>
      <c r="I454" s="19">
        <f>I455</f>
        <v>522.20000000000005</v>
      </c>
      <c r="J454" s="19">
        <f>J455</f>
        <v>522.20000000000005</v>
      </c>
    </row>
    <row r="455" spans="2:10" s="1" customFormat="1" ht="29.25" customHeight="1" x14ac:dyDescent="0.2">
      <c r="B455" s="20" t="s">
        <v>34</v>
      </c>
      <c r="C455" s="21" t="s">
        <v>9</v>
      </c>
      <c r="D455" s="21" t="s">
        <v>75</v>
      </c>
      <c r="E455" s="21" t="s">
        <v>13</v>
      </c>
      <c r="F455" s="23" t="s">
        <v>468</v>
      </c>
      <c r="G455" s="48" t="s">
        <v>35</v>
      </c>
      <c r="H455" s="19">
        <f>470+52.2</f>
        <v>522.20000000000005</v>
      </c>
      <c r="I455" s="19">
        <f>470+52.2</f>
        <v>522.20000000000005</v>
      </c>
      <c r="J455" s="19">
        <f>470+52.2</f>
        <v>522.20000000000005</v>
      </c>
    </row>
    <row r="456" spans="2:10" s="1" customFormat="1" ht="39" customHeight="1" x14ac:dyDescent="0.2">
      <c r="B456" s="49" t="s">
        <v>469</v>
      </c>
      <c r="C456" s="21" t="s">
        <v>9</v>
      </c>
      <c r="D456" s="21" t="s">
        <v>75</v>
      </c>
      <c r="E456" s="21" t="s">
        <v>13</v>
      </c>
      <c r="F456" s="23" t="s">
        <v>470</v>
      </c>
      <c r="G456" s="48"/>
      <c r="H456" s="19">
        <f>H457</f>
        <v>1000</v>
      </c>
      <c r="I456" s="19">
        <f>I457</f>
        <v>1000</v>
      </c>
      <c r="J456" s="19">
        <f>J457</f>
        <v>1000</v>
      </c>
    </row>
    <row r="457" spans="2:10" s="1" customFormat="1" ht="30.75" customHeight="1" x14ac:dyDescent="0.2">
      <c r="B457" s="20" t="s">
        <v>34</v>
      </c>
      <c r="C457" s="21" t="s">
        <v>9</v>
      </c>
      <c r="D457" s="21" t="s">
        <v>75</v>
      </c>
      <c r="E457" s="21" t="s">
        <v>13</v>
      </c>
      <c r="F457" s="23" t="s">
        <v>470</v>
      </c>
      <c r="G457" s="48" t="s">
        <v>35</v>
      </c>
      <c r="H457" s="19">
        <f>900+100</f>
        <v>1000</v>
      </c>
      <c r="I457" s="19">
        <f>900+100</f>
        <v>1000</v>
      </c>
      <c r="J457" s="19">
        <f>900+100</f>
        <v>1000</v>
      </c>
    </row>
    <row r="458" spans="2:10" s="1" customFormat="1" ht="19.5" customHeight="1" x14ac:dyDescent="0.2">
      <c r="B458" s="98" t="s">
        <v>471</v>
      </c>
      <c r="C458" s="16" t="s">
        <v>9</v>
      </c>
      <c r="D458" s="16" t="s">
        <v>75</v>
      </c>
      <c r="E458" s="16" t="s">
        <v>69</v>
      </c>
      <c r="F458" s="23"/>
      <c r="G458" s="21"/>
      <c r="H458" s="19">
        <f>H459</f>
        <v>464.4</v>
      </c>
      <c r="I458" s="19">
        <f>I459</f>
        <v>464.4</v>
      </c>
      <c r="J458" s="19">
        <f>J459</f>
        <v>464.4</v>
      </c>
    </row>
    <row r="459" spans="2:10" s="1" customFormat="1" ht="24.75" customHeight="1" x14ac:dyDescent="0.2">
      <c r="B459" s="38" t="s">
        <v>138</v>
      </c>
      <c r="C459" s="21" t="s">
        <v>9</v>
      </c>
      <c r="D459" s="21" t="s">
        <v>75</v>
      </c>
      <c r="E459" s="21" t="s">
        <v>69</v>
      </c>
      <c r="F459" s="23" t="s">
        <v>139</v>
      </c>
      <c r="G459" s="21"/>
      <c r="H459" s="19">
        <f>H461</f>
        <v>464.4</v>
      </c>
      <c r="I459" s="19">
        <f>I461</f>
        <v>464.4</v>
      </c>
      <c r="J459" s="19">
        <f>J461</f>
        <v>464.4</v>
      </c>
    </row>
    <row r="460" spans="2:10" s="1" customFormat="1" ht="16.5" customHeight="1" x14ac:dyDescent="0.2">
      <c r="B460" s="38" t="s">
        <v>48</v>
      </c>
      <c r="C460" s="21" t="s">
        <v>9</v>
      </c>
      <c r="D460" s="21" t="s">
        <v>75</v>
      </c>
      <c r="E460" s="21" t="s">
        <v>69</v>
      </c>
      <c r="F460" s="23" t="s">
        <v>140</v>
      </c>
      <c r="G460" s="21"/>
      <c r="H460" s="19">
        <f t="shared" ref="H460:J461" si="72">H461</f>
        <v>464.4</v>
      </c>
      <c r="I460" s="19">
        <f t="shared" si="72"/>
        <v>464.4</v>
      </c>
      <c r="J460" s="19">
        <f t="shared" si="72"/>
        <v>464.4</v>
      </c>
    </row>
    <row r="461" spans="2:10" s="1" customFormat="1" ht="27" customHeight="1" x14ac:dyDescent="0.2">
      <c r="B461" s="20" t="s">
        <v>472</v>
      </c>
      <c r="C461" s="21" t="s">
        <v>9</v>
      </c>
      <c r="D461" s="21" t="s">
        <v>75</v>
      </c>
      <c r="E461" s="21" t="s">
        <v>69</v>
      </c>
      <c r="F461" s="23" t="s">
        <v>473</v>
      </c>
      <c r="G461" s="48"/>
      <c r="H461" s="19">
        <f t="shared" si="72"/>
        <v>464.4</v>
      </c>
      <c r="I461" s="19">
        <f t="shared" si="72"/>
        <v>464.4</v>
      </c>
      <c r="J461" s="19">
        <f t="shared" si="72"/>
        <v>464.4</v>
      </c>
    </row>
    <row r="462" spans="2:10" s="1" customFormat="1" ht="24.75" customHeight="1" x14ac:dyDescent="0.2">
      <c r="B462" s="38" t="s">
        <v>474</v>
      </c>
      <c r="C462" s="21" t="s">
        <v>9</v>
      </c>
      <c r="D462" s="21" t="s">
        <v>75</v>
      </c>
      <c r="E462" s="21" t="s">
        <v>69</v>
      </c>
      <c r="F462" s="23" t="s">
        <v>475</v>
      </c>
      <c r="G462" s="48"/>
      <c r="H462" s="19">
        <f>H463+H464+H465</f>
        <v>464.4</v>
      </c>
      <c r="I462" s="19">
        <f>I463+I464+I465</f>
        <v>464.4</v>
      </c>
      <c r="J462" s="19">
        <f>J463+J464+J465</f>
        <v>464.4</v>
      </c>
    </row>
    <row r="463" spans="2:10" s="1" customFormat="1" ht="24.75" hidden="1" customHeight="1" x14ac:dyDescent="0.2">
      <c r="B463" s="20" t="s">
        <v>34</v>
      </c>
      <c r="C463" s="21" t="s">
        <v>9</v>
      </c>
      <c r="D463" s="21" t="s">
        <v>75</v>
      </c>
      <c r="E463" s="21" t="s">
        <v>69</v>
      </c>
      <c r="F463" s="23" t="s">
        <v>475</v>
      </c>
      <c r="G463" s="48" t="s">
        <v>35</v>
      </c>
      <c r="H463" s="19">
        <v>0</v>
      </c>
      <c r="I463" s="19">
        <v>0</v>
      </c>
      <c r="J463" s="19">
        <v>0</v>
      </c>
    </row>
    <row r="464" spans="2:10" s="1" customFormat="1" ht="14.25" hidden="1" customHeight="1" x14ac:dyDescent="0.2">
      <c r="B464" s="49" t="s">
        <v>145</v>
      </c>
      <c r="C464" s="21" t="s">
        <v>9</v>
      </c>
      <c r="D464" s="21" t="s">
        <v>75</v>
      </c>
      <c r="E464" s="21" t="s">
        <v>69</v>
      </c>
      <c r="F464" s="23" t="s">
        <v>475</v>
      </c>
      <c r="G464" s="48" t="s">
        <v>101</v>
      </c>
      <c r="H464" s="19">
        <v>0</v>
      </c>
      <c r="I464" s="19">
        <v>0</v>
      </c>
      <c r="J464" s="19">
        <v>0</v>
      </c>
    </row>
    <row r="465" spans="2:10" s="1" customFormat="1" ht="18" customHeight="1" x14ac:dyDescent="0.2">
      <c r="B465" s="56" t="s">
        <v>146</v>
      </c>
      <c r="C465" s="21" t="s">
        <v>9</v>
      </c>
      <c r="D465" s="21" t="s">
        <v>75</v>
      </c>
      <c r="E465" s="21" t="s">
        <v>69</v>
      </c>
      <c r="F465" s="23" t="s">
        <v>475</v>
      </c>
      <c r="G465" s="48" t="s">
        <v>147</v>
      </c>
      <c r="H465" s="19">
        <f>418+46.4</f>
        <v>464.4</v>
      </c>
      <c r="I465" s="19">
        <f>418+46.4</f>
        <v>464.4</v>
      </c>
      <c r="J465" s="19">
        <f>418+46.4</f>
        <v>464.4</v>
      </c>
    </row>
    <row r="466" spans="2:10" s="1" customFormat="1" ht="21.75" customHeight="1" x14ac:dyDescent="0.2">
      <c r="B466" s="74" t="s">
        <v>476</v>
      </c>
      <c r="C466" s="16" t="s">
        <v>477</v>
      </c>
      <c r="D466" s="16"/>
      <c r="E466" s="16"/>
      <c r="F466" s="16"/>
      <c r="G466" s="16"/>
      <c r="H466" s="17">
        <f t="shared" ref="H466:J469" si="73">H467</f>
        <v>1062.5</v>
      </c>
      <c r="I466" s="17">
        <f t="shared" si="73"/>
        <v>1342.6</v>
      </c>
      <c r="J466" s="17">
        <f t="shared" si="73"/>
        <v>1342.6</v>
      </c>
    </row>
    <row r="467" spans="2:10" s="1" customFormat="1" x14ac:dyDescent="0.2">
      <c r="B467" s="74" t="s">
        <v>10</v>
      </c>
      <c r="C467" s="16" t="s">
        <v>477</v>
      </c>
      <c r="D467" s="16" t="s">
        <v>11</v>
      </c>
      <c r="E467" s="16"/>
      <c r="F467" s="21"/>
      <c r="G467" s="16"/>
      <c r="H467" s="17">
        <f t="shared" si="73"/>
        <v>1062.5</v>
      </c>
      <c r="I467" s="17">
        <f t="shared" si="73"/>
        <v>1342.6</v>
      </c>
      <c r="J467" s="17">
        <f t="shared" si="73"/>
        <v>1342.6</v>
      </c>
    </row>
    <row r="468" spans="2:10" s="1" customFormat="1" ht="38.25" customHeight="1" x14ac:dyDescent="0.2">
      <c r="B468" s="90" t="s">
        <v>478</v>
      </c>
      <c r="C468" s="16" t="s">
        <v>477</v>
      </c>
      <c r="D468" s="16" t="s">
        <v>11</v>
      </c>
      <c r="E468" s="16" t="s">
        <v>161</v>
      </c>
      <c r="F468" s="21"/>
      <c r="G468" s="21"/>
      <c r="H468" s="17">
        <f t="shared" si="73"/>
        <v>1062.5</v>
      </c>
      <c r="I468" s="17">
        <f t="shared" si="73"/>
        <v>1342.6</v>
      </c>
      <c r="J468" s="17">
        <f t="shared" si="73"/>
        <v>1342.6</v>
      </c>
    </row>
    <row r="469" spans="2:10" s="1" customFormat="1" ht="24" customHeight="1" x14ac:dyDescent="0.2">
      <c r="B469" s="44" t="s">
        <v>479</v>
      </c>
      <c r="C469" s="21" t="s">
        <v>477</v>
      </c>
      <c r="D469" s="21" t="s">
        <v>11</v>
      </c>
      <c r="E469" s="21" t="s">
        <v>161</v>
      </c>
      <c r="F469" s="28" t="s">
        <v>480</v>
      </c>
      <c r="G469" s="109"/>
      <c r="H469" s="19">
        <f t="shared" si="73"/>
        <v>1062.5</v>
      </c>
      <c r="I469" s="19">
        <f t="shared" si="73"/>
        <v>1342.6</v>
      </c>
      <c r="J469" s="19">
        <f t="shared" si="73"/>
        <v>1342.6</v>
      </c>
    </row>
    <row r="470" spans="2:10" s="1" customFormat="1" x14ac:dyDescent="0.2">
      <c r="B470" s="20" t="s">
        <v>36</v>
      </c>
      <c r="C470" s="21" t="s">
        <v>477</v>
      </c>
      <c r="D470" s="21" t="s">
        <v>11</v>
      </c>
      <c r="E470" s="21" t="s">
        <v>161</v>
      </c>
      <c r="F470" s="28" t="s">
        <v>481</v>
      </c>
      <c r="G470" s="109"/>
      <c r="H470" s="19">
        <f>H471+H472</f>
        <v>1062.5</v>
      </c>
      <c r="I470" s="19">
        <f>I471+I472</f>
        <v>1342.6</v>
      </c>
      <c r="J470" s="19">
        <f>J471+J472</f>
        <v>1342.6</v>
      </c>
    </row>
    <row r="471" spans="2:10" s="1" customFormat="1" ht="25.5" x14ac:dyDescent="0.2">
      <c r="B471" s="32" t="s">
        <v>22</v>
      </c>
      <c r="C471" s="21" t="s">
        <v>477</v>
      </c>
      <c r="D471" s="21" t="s">
        <v>11</v>
      </c>
      <c r="E471" s="21" t="s">
        <v>161</v>
      </c>
      <c r="F471" s="28" t="s">
        <v>481</v>
      </c>
      <c r="G471" s="109">
        <v>120</v>
      </c>
      <c r="H471" s="19">
        <f>288.8+8.7</f>
        <v>297.5</v>
      </c>
      <c r="I471" s="19">
        <v>577.6</v>
      </c>
      <c r="J471" s="19">
        <v>577.6</v>
      </c>
    </row>
    <row r="472" spans="2:10" s="1" customFormat="1" ht="25.5" x14ac:dyDescent="0.2">
      <c r="B472" s="20" t="s">
        <v>34</v>
      </c>
      <c r="C472" s="21" t="s">
        <v>477</v>
      </c>
      <c r="D472" s="21" t="s">
        <v>11</v>
      </c>
      <c r="E472" s="21" t="s">
        <v>161</v>
      </c>
      <c r="F472" s="28" t="s">
        <v>481</v>
      </c>
      <c r="G472" s="109">
        <v>240</v>
      </c>
      <c r="H472" s="19">
        <v>765</v>
      </c>
      <c r="I472" s="19">
        <v>765</v>
      </c>
      <c r="J472" s="19">
        <v>765</v>
      </c>
    </row>
    <row r="473" spans="2:10" s="59" customFormat="1" ht="15" customHeight="1" x14ac:dyDescent="0.2">
      <c r="B473" s="15" t="s">
        <v>482</v>
      </c>
      <c r="C473" s="16" t="s">
        <v>483</v>
      </c>
      <c r="D473" s="16"/>
      <c r="E473" s="16"/>
      <c r="F473" s="110"/>
      <c r="G473" s="111"/>
      <c r="H473" s="17">
        <f t="shared" ref="H473:J475" si="74">H474</f>
        <v>1211.9000000000001</v>
      </c>
      <c r="I473" s="17">
        <f t="shared" si="74"/>
        <v>1211.9000000000001</v>
      </c>
      <c r="J473" s="17">
        <f t="shared" si="74"/>
        <v>1211.9000000000001</v>
      </c>
    </row>
    <row r="474" spans="2:10" s="59" customFormat="1" ht="14.25" customHeight="1" x14ac:dyDescent="0.2">
      <c r="B474" s="15" t="s">
        <v>10</v>
      </c>
      <c r="C474" s="16" t="s">
        <v>483</v>
      </c>
      <c r="D474" s="16" t="s">
        <v>11</v>
      </c>
      <c r="E474" s="16"/>
      <c r="F474" s="110"/>
      <c r="G474" s="111"/>
      <c r="H474" s="17">
        <f t="shared" si="74"/>
        <v>1211.9000000000001</v>
      </c>
      <c r="I474" s="17">
        <f t="shared" si="74"/>
        <v>1211.9000000000001</v>
      </c>
      <c r="J474" s="17">
        <f t="shared" si="74"/>
        <v>1211.9000000000001</v>
      </c>
    </row>
    <row r="475" spans="2:10" s="59" customFormat="1" ht="42" customHeight="1" x14ac:dyDescent="0.2">
      <c r="B475" s="15" t="s">
        <v>484</v>
      </c>
      <c r="C475" s="16" t="s">
        <v>483</v>
      </c>
      <c r="D475" s="16" t="s">
        <v>11</v>
      </c>
      <c r="E475" s="16" t="s">
        <v>364</v>
      </c>
      <c r="F475" s="110"/>
      <c r="G475" s="111"/>
      <c r="H475" s="17">
        <f>H476</f>
        <v>1211.9000000000001</v>
      </c>
      <c r="I475" s="17">
        <f t="shared" si="74"/>
        <v>1211.9000000000001</v>
      </c>
      <c r="J475" s="17">
        <f t="shared" si="74"/>
        <v>1211.9000000000001</v>
      </c>
    </row>
    <row r="476" spans="2:10" s="1" customFormat="1" ht="16.5" customHeight="1" x14ac:dyDescent="0.2">
      <c r="B476" s="112" t="s">
        <v>486</v>
      </c>
      <c r="C476" s="21" t="s">
        <v>483</v>
      </c>
      <c r="D476" s="21" t="s">
        <v>11</v>
      </c>
      <c r="E476" s="21" t="s">
        <v>364</v>
      </c>
      <c r="F476" s="28" t="s">
        <v>485</v>
      </c>
      <c r="G476" s="28"/>
      <c r="H476" s="19">
        <f>H477</f>
        <v>1211.9000000000001</v>
      </c>
      <c r="I476" s="19">
        <f>I477</f>
        <v>1211.9000000000001</v>
      </c>
      <c r="J476" s="19">
        <f>J477</f>
        <v>1211.9000000000001</v>
      </c>
    </row>
    <row r="477" spans="2:10" s="1" customFormat="1" ht="17.25" customHeight="1" x14ac:dyDescent="0.2">
      <c r="B477" s="44" t="s">
        <v>36</v>
      </c>
      <c r="C477" s="21" t="s">
        <v>483</v>
      </c>
      <c r="D477" s="21" t="s">
        <v>11</v>
      </c>
      <c r="E477" s="21" t="s">
        <v>364</v>
      </c>
      <c r="F477" s="28" t="s">
        <v>487</v>
      </c>
      <c r="G477" s="28"/>
      <c r="H477" s="19">
        <f>H478+H479+H480</f>
        <v>1211.9000000000001</v>
      </c>
      <c r="I477" s="19">
        <f>I478+I479+I480</f>
        <v>1211.9000000000001</v>
      </c>
      <c r="J477" s="19">
        <f>J478+J479+J480</f>
        <v>1211.9000000000001</v>
      </c>
    </row>
    <row r="478" spans="2:10" s="1" customFormat="1" ht="26.25" customHeight="1" x14ac:dyDescent="0.2">
      <c r="B478" s="20" t="s">
        <v>22</v>
      </c>
      <c r="C478" s="21" t="s">
        <v>483</v>
      </c>
      <c r="D478" s="21" t="s">
        <v>11</v>
      </c>
      <c r="E478" s="21" t="s">
        <v>364</v>
      </c>
      <c r="F478" s="28" t="s">
        <v>487</v>
      </c>
      <c r="G478" s="28" t="s">
        <v>23</v>
      </c>
      <c r="H478" s="36">
        <f>948.2+8</f>
        <v>956.2</v>
      </c>
      <c r="I478" s="36">
        <f>948.2+8</f>
        <v>956.2</v>
      </c>
      <c r="J478" s="36">
        <f>948.2+8</f>
        <v>956.2</v>
      </c>
    </row>
    <row r="479" spans="2:10" s="1" customFormat="1" ht="26.25" customHeight="1" x14ac:dyDescent="0.2">
      <c r="B479" s="20" t="s">
        <v>34</v>
      </c>
      <c r="C479" s="21" t="s">
        <v>483</v>
      </c>
      <c r="D479" s="21" t="s">
        <v>11</v>
      </c>
      <c r="E479" s="21" t="s">
        <v>364</v>
      </c>
      <c r="F479" s="28" t="s">
        <v>487</v>
      </c>
      <c r="G479" s="28" t="s">
        <v>35</v>
      </c>
      <c r="H479" s="36">
        <v>255.7</v>
      </c>
      <c r="I479" s="36">
        <v>255.7</v>
      </c>
      <c r="J479" s="36">
        <v>255.7</v>
      </c>
    </row>
    <row r="480" spans="2:10" s="1" customFormat="1" ht="17.25" hidden="1" customHeight="1" x14ac:dyDescent="0.2">
      <c r="B480" s="20" t="s">
        <v>38</v>
      </c>
      <c r="C480" s="21" t="s">
        <v>483</v>
      </c>
      <c r="D480" s="21" t="s">
        <v>11</v>
      </c>
      <c r="E480" s="21" t="s">
        <v>364</v>
      </c>
      <c r="F480" s="28" t="s">
        <v>487</v>
      </c>
      <c r="G480" s="28" t="s">
        <v>39</v>
      </c>
      <c r="H480" s="36"/>
      <c r="I480" s="36"/>
      <c r="J480" s="36"/>
    </row>
    <row r="481" spans="2:14" s="59" customFormat="1" ht="25.5" customHeight="1" x14ac:dyDescent="0.2">
      <c r="B481" s="15" t="s">
        <v>488</v>
      </c>
      <c r="C481" s="16" t="s">
        <v>489</v>
      </c>
      <c r="D481" s="16"/>
      <c r="E481" s="16"/>
      <c r="F481" s="16"/>
      <c r="G481" s="16"/>
      <c r="H481" s="17">
        <f>H482+H508+H517</f>
        <v>27008.7</v>
      </c>
      <c r="I481" s="17">
        <f>I482+I508+I517</f>
        <v>26162.400000000001</v>
      </c>
      <c r="J481" s="17">
        <f>J482+J508+J517</f>
        <v>26081.9</v>
      </c>
    </row>
    <row r="482" spans="2:14" s="59" customFormat="1" x14ac:dyDescent="0.2">
      <c r="B482" s="15" t="s">
        <v>10</v>
      </c>
      <c r="C482" s="16" t="s">
        <v>489</v>
      </c>
      <c r="D482" s="16" t="s">
        <v>11</v>
      </c>
      <c r="E482" s="16"/>
      <c r="F482" s="16"/>
      <c r="G482" s="16"/>
      <c r="H482" s="17">
        <f>H483+H496</f>
        <v>26878.2</v>
      </c>
      <c r="I482" s="17">
        <f>I483+I496</f>
        <v>26031.9</v>
      </c>
      <c r="J482" s="17">
        <f>J483+J496</f>
        <v>26001.9</v>
      </c>
    </row>
    <row r="483" spans="2:14" s="59" customFormat="1" ht="24" customHeight="1" x14ac:dyDescent="0.2">
      <c r="B483" s="15" t="s">
        <v>484</v>
      </c>
      <c r="C483" s="16" t="s">
        <v>489</v>
      </c>
      <c r="D483" s="16" t="s">
        <v>11</v>
      </c>
      <c r="E483" s="16" t="s">
        <v>364</v>
      </c>
      <c r="F483" s="16"/>
      <c r="G483" s="16"/>
      <c r="H483" s="17">
        <f>H484+H487</f>
        <v>10516.6</v>
      </c>
      <c r="I483" s="17">
        <f>I484+I487</f>
        <v>10237.300000000001</v>
      </c>
      <c r="J483" s="17">
        <f>J484+J487</f>
        <v>10207.300000000001</v>
      </c>
    </row>
    <row r="484" spans="2:14" s="1" customFormat="1" ht="19.5" customHeight="1" x14ac:dyDescent="0.2">
      <c r="B484" s="20" t="s">
        <v>70</v>
      </c>
      <c r="C484" s="21" t="s">
        <v>489</v>
      </c>
      <c r="D484" s="21" t="s">
        <v>11</v>
      </c>
      <c r="E484" s="21" t="s">
        <v>364</v>
      </c>
      <c r="F484" s="21" t="s">
        <v>71</v>
      </c>
      <c r="G484" s="21"/>
      <c r="H484" s="19">
        <f t="shared" ref="H484:J485" si="75">H485</f>
        <v>47.4</v>
      </c>
      <c r="I484" s="19">
        <f t="shared" si="75"/>
        <v>47.1</v>
      </c>
      <c r="J484" s="19">
        <f t="shared" si="75"/>
        <v>47.1</v>
      </c>
    </row>
    <row r="485" spans="2:14" s="1" customFormat="1" ht="80.25" customHeight="1" x14ac:dyDescent="0.2">
      <c r="B485" s="37" t="s">
        <v>490</v>
      </c>
      <c r="C485" s="21" t="s">
        <v>489</v>
      </c>
      <c r="D485" s="21" t="s">
        <v>11</v>
      </c>
      <c r="E485" s="21" t="s">
        <v>364</v>
      </c>
      <c r="F485" s="21" t="s">
        <v>491</v>
      </c>
      <c r="G485" s="21"/>
      <c r="H485" s="19">
        <f t="shared" si="75"/>
        <v>47.4</v>
      </c>
      <c r="I485" s="19">
        <f t="shared" si="75"/>
        <v>47.1</v>
      </c>
      <c r="J485" s="19">
        <f t="shared" si="75"/>
        <v>47.1</v>
      </c>
    </row>
    <row r="486" spans="2:14" s="1" customFormat="1" ht="25.5" customHeight="1" x14ac:dyDescent="0.2">
      <c r="B486" s="20" t="s">
        <v>22</v>
      </c>
      <c r="C486" s="21" t="s">
        <v>489</v>
      </c>
      <c r="D486" s="21" t="s">
        <v>11</v>
      </c>
      <c r="E486" s="21" t="s">
        <v>364</v>
      </c>
      <c r="F486" s="21" t="s">
        <v>491</v>
      </c>
      <c r="G486" s="21" t="s">
        <v>23</v>
      </c>
      <c r="H486" s="19">
        <v>47.4</v>
      </c>
      <c r="I486" s="19">
        <v>47.1</v>
      </c>
      <c r="J486" s="19">
        <v>47.1</v>
      </c>
    </row>
    <row r="487" spans="2:14" s="53" customFormat="1" ht="25.5" customHeight="1" x14ac:dyDescent="0.2">
      <c r="B487" s="20" t="s">
        <v>492</v>
      </c>
      <c r="C487" s="21" t="s">
        <v>489</v>
      </c>
      <c r="D487" s="21" t="s">
        <v>11</v>
      </c>
      <c r="E487" s="21" t="s">
        <v>364</v>
      </c>
      <c r="F487" s="23" t="s">
        <v>493</v>
      </c>
      <c r="G487" s="21"/>
      <c r="H487" s="19">
        <f t="shared" ref="H487:J488" si="76">H488</f>
        <v>10469.200000000001</v>
      </c>
      <c r="I487" s="19">
        <f t="shared" si="76"/>
        <v>10190.200000000001</v>
      </c>
      <c r="J487" s="19">
        <f t="shared" si="76"/>
        <v>10160.200000000001</v>
      </c>
      <c r="K487" s="1"/>
      <c r="L487" s="1"/>
      <c r="M487" s="1"/>
      <c r="N487" s="1"/>
    </row>
    <row r="488" spans="2:14" s="53" customFormat="1" ht="19.5" customHeight="1" x14ac:dyDescent="0.2">
      <c r="B488" s="39" t="s">
        <v>16</v>
      </c>
      <c r="C488" s="21" t="s">
        <v>489</v>
      </c>
      <c r="D488" s="21" t="s">
        <v>11</v>
      </c>
      <c r="E488" s="21" t="s">
        <v>364</v>
      </c>
      <c r="F488" s="23" t="s">
        <v>494</v>
      </c>
      <c r="G488" s="21"/>
      <c r="H488" s="19">
        <f t="shared" si="76"/>
        <v>10469.200000000001</v>
      </c>
      <c r="I488" s="19">
        <f t="shared" si="76"/>
        <v>10190.200000000001</v>
      </c>
      <c r="J488" s="19">
        <f t="shared" si="76"/>
        <v>10160.200000000001</v>
      </c>
      <c r="K488" s="1"/>
      <c r="L488" s="1"/>
      <c r="M488" s="1"/>
      <c r="N488" s="1"/>
    </row>
    <row r="489" spans="2:14" s="53" customFormat="1" ht="30" customHeight="1" x14ac:dyDescent="0.2">
      <c r="B489" s="39" t="s">
        <v>495</v>
      </c>
      <c r="C489" s="21" t="s">
        <v>489</v>
      </c>
      <c r="D489" s="21" t="s">
        <v>11</v>
      </c>
      <c r="E489" s="21" t="s">
        <v>364</v>
      </c>
      <c r="F489" s="23" t="s">
        <v>496</v>
      </c>
      <c r="G489" s="48"/>
      <c r="H489" s="19">
        <f>H490+H494</f>
        <v>10469.200000000001</v>
      </c>
      <c r="I489" s="19">
        <f>I490+I494</f>
        <v>10190.200000000001</v>
      </c>
      <c r="J489" s="19">
        <f>J490+J494</f>
        <v>10160.200000000001</v>
      </c>
      <c r="K489" s="1"/>
      <c r="L489" s="1"/>
      <c r="M489" s="1"/>
      <c r="N489" s="1"/>
    </row>
    <row r="490" spans="2:14" s="53" customFormat="1" ht="18" customHeight="1" x14ac:dyDescent="0.2">
      <c r="B490" s="42" t="s">
        <v>36</v>
      </c>
      <c r="C490" s="21" t="s">
        <v>489</v>
      </c>
      <c r="D490" s="21" t="s">
        <v>11</v>
      </c>
      <c r="E490" s="21" t="s">
        <v>364</v>
      </c>
      <c r="F490" s="23" t="s">
        <v>497</v>
      </c>
      <c r="G490" s="48"/>
      <c r="H490" s="19">
        <f>H491+H492+H493</f>
        <v>10444.200000000001</v>
      </c>
      <c r="I490" s="19">
        <f>I491+I492+I493</f>
        <v>10165.200000000001</v>
      </c>
      <c r="J490" s="19">
        <f>J491+J492+J493</f>
        <v>10135.200000000001</v>
      </c>
      <c r="K490" s="1"/>
      <c r="L490" s="1"/>
      <c r="M490" s="1"/>
      <c r="N490" s="1"/>
    </row>
    <row r="491" spans="2:14" s="53" customFormat="1" ht="25.5" customHeight="1" x14ac:dyDescent="0.2">
      <c r="B491" s="20" t="s">
        <v>22</v>
      </c>
      <c r="C491" s="21" t="s">
        <v>489</v>
      </c>
      <c r="D491" s="21" t="s">
        <v>11</v>
      </c>
      <c r="E491" s="21" t="s">
        <v>364</v>
      </c>
      <c r="F491" s="23" t="s">
        <v>497</v>
      </c>
      <c r="G491" s="48" t="s">
        <v>23</v>
      </c>
      <c r="H491" s="19">
        <f>9501.4+30.2+279</f>
        <v>9810.6</v>
      </c>
      <c r="I491" s="19">
        <f>9501.4+30.2</f>
        <v>9531.6</v>
      </c>
      <c r="J491" s="19">
        <f>9501.4+30.2</f>
        <v>9531.6</v>
      </c>
      <c r="K491" s="1"/>
      <c r="L491" s="1"/>
      <c r="M491" s="1"/>
      <c r="N491" s="1"/>
    </row>
    <row r="492" spans="2:14" s="53" customFormat="1" ht="30.75" customHeight="1" x14ac:dyDescent="0.2">
      <c r="B492" s="20" t="s">
        <v>34</v>
      </c>
      <c r="C492" s="21" t="s">
        <v>489</v>
      </c>
      <c r="D492" s="21" t="s">
        <v>11</v>
      </c>
      <c r="E492" s="21" t="s">
        <v>364</v>
      </c>
      <c r="F492" s="23" t="s">
        <v>497</v>
      </c>
      <c r="G492" s="48" t="s">
        <v>35</v>
      </c>
      <c r="H492" s="19">
        <v>632.6</v>
      </c>
      <c r="I492" s="19">
        <v>632.6</v>
      </c>
      <c r="J492" s="19">
        <f>632.6-30</f>
        <v>602.6</v>
      </c>
      <c r="K492" s="1"/>
      <c r="L492" s="1"/>
      <c r="M492" s="1"/>
      <c r="N492" s="1"/>
    </row>
    <row r="493" spans="2:14" s="53" customFormat="1" ht="16.5" customHeight="1" x14ac:dyDescent="0.2">
      <c r="B493" s="20" t="s">
        <v>38</v>
      </c>
      <c r="C493" s="21" t="s">
        <v>489</v>
      </c>
      <c r="D493" s="21" t="s">
        <v>11</v>
      </c>
      <c r="E493" s="21" t="s">
        <v>364</v>
      </c>
      <c r="F493" s="23" t="s">
        <v>497</v>
      </c>
      <c r="G493" s="48" t="s">
        <v>39</v>
      </c>
      <c r="H493" s="19">
        <v>1</v>
      </c>
      <c r="I493" s="19">
        <v>1</v>
      </c>
      <c r="J493" s="19">
        <v>1</v>
      </c>
      <c r="K493" s="1"/>
      <c r="L493" s="1"/>
      <c r="M493" s="1"/>
      <c r="N493" s="1"/>
    </row>
    <row r="494" spans="2:14" s="53" customFormat="1" ht="25.5" customHeight="1" x14ac:dyDescent="0.2">
      <c r="B494" s="20" t="s">
        <v>118</v>
      </c>
      <c r="C494" s="21" t="s">
        <v>489</v>
      </c>
      <c r="D494" s="21" t="s">
        <v>11</v>
      </c>
      <c r="E494" s="21" t="s">
        <v>364</v>
      </c>
      <c r="F494" s="23" t="s">
        <v>498</v>
      </c>
      <c r="G494" s="21"/>
      <c r="H494" s="19">
        <f>H495</f>
        <v>25</v>
      </c>
      <c r="I494" s="19">
        <f>I495</f>
        <v>25</v>
      </c>
      <c r="J494" s="19">
        <f>J495</f>
        <v>25</v>
      </c>
      <c r="K494" s="1"/>
      <c r="L494" s="1"/>
      <c r="M494" s="1"/>
      <c r="N494" s="1"/>
    </row>
    <row r="495" spans="2:14" s="53" customFormat="1" ht="25.5" customHeight="1" x14ac:dyDescent="0.2">
      <c r="B495" s="20" t="s">
        <v>34</v>
      </c>
      <c r="C495" s="21" t="s">
        <v>489</v>
      </c>
      <c r="D495" s="21" t="s">
        <v>11</v>
      </c>
      <c r="E495" s="21" t="s">
        <v>364</v>
      </c>
      <c r="F495" s="23" t="s">
        <v>498</v>
      </c>
      <c r="G495" s="21" t="s">
        <v>35</v>
      </c>
      <c r="H495" s="19">
        <v>25</v>
      </c>
      <c r="I495" s="19">
        <v>25</v>
      </c>
      <c r="J495" s="19">
        <v>25</v>
      </c>
      <c r="K495" s="1"/>
      <c r="L495" s="1"/>
      <c r="M495" s="1"/>
      <c r="N495" s="1"/>
    </row>
    <row r="496" spans="2:14" s="59" customFormat="1" ht="15.75" customHeight="1" x14ac:dyDescent="0.2">
      <c r="B496" s="90" t="s">
        <v>81</v>
      </c>
      <c r="C496" s="16" t="s">
        <v>489</v>
      </c>
      <c r="D496" s="16" t="s">
        <v>11</v>
      </c>
      <c r="E496" s="16" t="s">
        <v>82</v>
      </c>
      <c r="F496" s="71"/>
      <c r="G496" s="16"/>
      <c r="H496" s="17">
        <f t="shared" ref="H496:J498" si="77">H497</f>
        <v>16361.6</v>
      </c>
      <c r="I496" s="17">
        <f t="shared" si="77"/>
        <v>15794.6</v>
      </c>
      <c r="J496" s="17">
        <f t="shared" si="77"/>
        <v>15794.6</v>
      </c>
    </row>
    <row r="497" spans="2:14" s="53" customFormat="1" ht="24.75" customHeight="1" x14ac:dyDescent="0.2">
      <c r="B497" s="20" t="s">
        <v>492</v>
      </c>
      <c r="C497" s="21" t="s">
        <v>489</v>
      </c>
      <c r="D497" s="21" t="s">
        <v>11</v>
      </c>
      <c r="E497" s="21" t="s">
        <v>82</v>
      </c>
      <c r="F497" s="23" t="s">
        <v>493</v>
      </c>
      <c r="G497" s="28"/>
      <c r="H497" s="19">
        <f t="shared" si="77"/>
        <v>16361.6</v>
      </c>
      <c r="I497" s="19">
        <f t="shared" si="77"/>
        <v>15794.6</v>
      </c>
      <c r="J497" s="19">
        <f t="shared" si="77"/>
        <v>15794.6</v>
      </c>
      <c r="K497" s="1"/>
      <c r="L497" s="1"/>
      <c r="M497" s="1"/>
      <c r="N497" s="1"/>
    </row>
    <row r="498" spans="2:14" s="53" customFormat="1" ht="18" customHeight="1" x14ac:dyDescent="0.2">
      <c r="B498" s="39" t="s">
        <v>16</v>
      </c>
      <c r="C498" s="21" t="s">
        <v>489</v>
      </c>
      <c r="D498" s="21" t="s">
        <v>11</v>
      </c>
      <c r="E498" s="21" t="s">
        <v>82</v>
      </c>
      <c r="F498" s="23" t="s">
        <v>494</v>
      </c>
      <c r="G498" s="28"/>
      <c r="H498" s="19">
        <f>H499</f>
        <v>16361.6</v>
      </c>
      <c r="I498" s="19">
        <f t="shared" si="77"/>
        <v>15794.6</v>
      </c>
      <c r="J498" s="19">
        <f t="shared" si="77"/>
        <v>15794.6</v>
      </c>
      <c r="K498" s="1"/>
      <c r="L498" s="1"/>
      <c r="M498" s="1"/>
      <c r="N498" s="1"/>
    </row>
    <row r="499" spans="2:14" s="53" customFormat="1" ht="31.5" customHeight="1" x14ac:dyDescent="0.2">
      <c r="B499" s="39" t="s">
        <v>495</v>
      </c>
      <c r="C499" s="21" t="s">
        <v>489</v>
      </c>
      <c r="D499" s="21" t="s">
        <v>11</v>
      </c>
      <c r="E499" s="21" t="s">
        <v>82</v>
      </c>
      <c r="F499" s="23" t="s">
        <v>496</v>
      </c>
      <c r="G499" s="28"/>
      <c r="H499" s="19">
        <f>H500+H502+H506</f>
        <v>16361.6</v>
      </c>
      <c r="I499" s="19">
        <f>I500+I502+I506</f>
        <v>15794.6</v>
      </c>
      <c r="J499" s="19">
        <f>J500+J502+J506</f>
        <v>15794.6</v>
      </c>
      <c r="K499" s="1"/>
      <c r="L499" s="1"/>
      <c r="M499" s="1"/>
      <c r="N499" s="1"/>
    </row>
    <row r="500" spans="2:14" s="53" customFormat="1" ht="16.5" customHeight="1" x14ac:dyDescent="0.2">
      <c r="B500" s="37" t="s">
        <v>499</v>
      </c>
      <c r="C500" s="21" t="s">
        <v>489</v>
      </c>
      <c r="D500" s="21" t="s">
        <v>11</v>
      </c>
      <c r="E500" s="21" t="s">
        <v>82</v>
      </c>
      <c r="F500" s="23" t="s">
        <v>500</v>
      </c>
      <c r="G500" s="28"/>
      <c r="H500" s="19">
        <f>H501</f>
        <v>30</v>
      </c>
      <c r="I500" s="19">
        <f>I501</f>
        <v>30</v>
      </c>
      <c r="J500" s="19">
        <f>J501</f>
        <v>30</v>
      </c>
      <c r="K500" s="1"/>
      <c r="L500" s="1"/>
      <c r="M500" s="1"/>
      <c r="N500" s="1"/>
    </row>
    <row r="501" spans="2:14" s="53" customFormat="1" ht="16.5" customHeight="1" x14ac:dyDescent="0.2">
      <c r="B501" s="37" t="s">
        <v>38</v>
      </c>
      <c r="C501" s="21" t="s">
        <v>489</v>
      </c>
      <c r="D501" s="21" t="s">
        <v>11</v>
      </c>
      <c r="E501" s="21" t="s">
        <v>82</v>
      </c>
      <c r="F501" s="23" t="s">
        <v>500</v>
      </c>
      <c r="G501" s="28" t="s">
        <v>39</v>
      </c>
      <c r="H501" s="19">
        <v>30</v>
      </c>
      <c r="I501" s="19">
        <v>30</v>
      </c>
      <c r="J501" s="19">
        <v>30</v>
      </c>
      <c r="K501" s="1"/>
      <c r="L501" s="1"/>
      <c r="M501" s="1"/>
      <c r="N501" s="1"/>
    </row>
    <row r="502" spans="2:14" s="53" customFormat="1" ht="26.25" customHeight="1" x14ac:dyDescent="0.2">
      <c r="B502" s="20" t="s">
        <v>220</v>
      </c>
      <c r="C502" s="21" t="s">
        <v>489</v>
      </c>
      <c r="D502" s="21" t="s">
        <v>11</v>
      </c>
      <c r="E502" s="21" t="s">
        <v>82</v>
      </c>
      <c r="F502" s="23" t="s">
        <v>501</v>
      </c>
      <c r="G502" s="28"/>
      <c r="H502" s="19">
        <f>H503+H504+H505</f>
        <v>1360.4</v>
      </c>
      <c r="I502" s="19">
        <f>I503+I504+I505</f>
        <v>793.4</v>
      </c>
      <c r="J502" s="19">
        <f>J503+J504+J505</f>
        <v>793.4</v>
      </c>
      <c r="K502" s="1"/>
      <c r="L502" s="1"/>
      <c r="M502" s="1"/>
      <c r="N502" s="1"/>
    </row>
    <row r="503" spans="2:14" s="53" customFormat="1" ht="19.5" hidden="1" customHeight="1" x14ac:dyDescent="0.2">
      <c r="B503" s="40" t="s">
        <v>128</v>
      </c>
      <c r="C503" s="21" t="s">
        <v>489</v>
      </c>
      <c r="D503" s="21" t="s">
        <v>11</v>
      </c>
      <c r="E503" s="21" t="s">
        <v>82</v>
      </c>
      <c r="F503" s="23" t="s">
        <v>501</v>
      </c>
      <c r="G503" s="28" t="s">
        <v>129</v>
      </c>
      <c r="H503" s="19"/>
      <c r="I503" s="19"/>
      <c r="J503" s="19"/>
      <c r="K503" s="1"/>
      <c r="L503" s="1"/>
      <c r="M503" s="1"/>
      <c r="N503" s="1"/>
    </row>
    <row r="504" spans="2:14" s="53" customFormat="1" ht="27.75" customHeight="1" x14ac:dyDescent="0.2">
      <c r="B504" s="40" t="s">
        <v>34</v>
      </c>
      <c r="C504" s="21" t="s">
        <v>489</v>
      </c>
      <c r="D504" s="21" t="s">
        <v>11</v>
      </c>
      <c r="E504" s="21" t="s">
        <v>82</v>
      </c>
      <c r="F504" s="23" t="s">
        <v>501</v>
      </c>
      <c r="G504" s="28" t="s">
        <v>35</v>
      </c>
      <c r="H504" s="19">
        <v>1360.4</v>
      </c>
      <c r="I504" s="19">
        <v>793.4</v>
      </c>
      <c r="J504" s="19">
        <v>793.4</v>
      </c>
      <c r="K504" s="1"/>
      <c r="L504" s="1"/>
      <c r="M504" s="1"/>
      <c r="N504" s="1"/>
    </row>
    <row r="505" spans="2:14" s="53" customFormat="1" ht="14.25" hidden="1" customHeight="1" x14ac:dyDescent="0.2">
      <c r="B505" s="20" t="s">
        <v>38</v>
      </c>
      <c r="C505" s="21" t="s">
        <v>489</v>
      </c>
      <c r="D505" s="21" t="s">
        <v>11</v>
      </c>
      <c r="E505" s="21" t="s">
        <v>82</v>
      </c>
      <c r="F505" s="23" t="s">
        <v>501</v>
      </c>
      <c r="G505" s="28" t="s">
        <v>39</v>
      </c>
      <c r="H505" s="19"/>
      <c r="I505" s="19"/>
      <c r="J505" s="19"/>
      <c r="K505" s="1"/>
      <c r="L505" s="1"/>
      <c r="M505" s="1"/>
      <c r="N505" s="1"/>
    </row>
    <row r="506" spans="2:14" s="53" customFormat="1" ht="26.25" customHeight="1" x14ac:dyDescent="0.2">
      <c r="B506" s="37" t="s">
        <v>40</v>
      </c>
      <c r="C506" s="21" t="s">
        <v>489</v>
      </c>
      <c r="D506" s="21" t="s">
        <v>11</v>
      </c>
      <c r="E506" s="21" t="s">
        <v>82</v>
      </c>
      <c r="F506" s="23" t="s">
        <v>502</v>
      </c>
      <c r="G506" s="28"/>
      <c r="H506" s="19">
        <f>H507</f>
        <v>14971.2</v>
      </c>
      <c r="I506" s="19">
        <f>I507</f>
        <v>14971.2</v>
      </c>
      <c r="J506" s="19">
        <f>J507</f>
        <v>14971.2</v>
      </c>
      <c r="K506" s="1"/>
      <c r="L506" s="1"/>
      <c r="M506" s="1"/>
      <c r="N506" s="1"/>
    </row>
    <row r="507" spans="2:14" s="53" customFormat="1" ht="14.25" customHeight="1" x14ac:dyDescent="0.2">
      <c r="B507" s="113" t="s">
        <v>128</v>
      </c>
      <c r="C507" s="21" t="s">
        <v>489</v>
      </c>
      <c r="D507" s="21" t="s">
        <v>11</v>
      </c>
      <c r="E507" s="21" t="s">
        <v>82</v>
      </c>
      <c r="F507" s="23" t="s">
        <v>502</v>
      </c>
      <c r="G507" s="28" t="s">
        <v>129</v>
      </c>
      <c r="H507" s="19">
        <f>2599.6+12371.6</f>
        <v>14971.2</v>
      </c>
      <c r="I507" s="19">
        <f>2599.6+12371.6</f>
        <v>14971.2</v>
      </c>
      <c r="J507" s="19">
        <f>2599.6+12371.6</f>
        <v>14971.2</v>
      </c>
      <c r="K507" s="1"/>
      <c r="L507" s="1"/>
      <c r="M507" s="1"/>
      <c r="N507" s="1"/>
    </row>
    <row r="508" spans="2:14" s="75" customFormat="1" ht="15" customHeight="1" x14ac:dyDescent="0.2">
      <c r="B508" s="15" t="s">
        <v>200</v>
      </c>
      <c r="C508" s="16" t="s">
        <v>489</v>
      </c>
      <c r="D508" s="16" t="s">
        <v>26</v>
      </c>
      <c r="E508" s="16"/>
      <c r="F508" s="71"/>
      <c r="G508" s="16"/>
      <c r="H508" s="17">
        <f>H509</f>
        <v>50</v>
      </c>
      <c r="I508" s="17">
        <f t="shared" ref="I508:J510" si="78">I509</f>
        <v>50</v>
      </c>
      <c r="J508" s="17">
        <f t="shared" si="78"/>
        <v>50</v>
      </c>
      <c r="K508" s="59"/>
      <c r="L508" s="59"/>
      <c r="M508" s="59"/>
      <c r="N508" s="59"/>
    </row>
    <row r="509" spans="2:14" s="75" customFormat="1" ht="12.75" customHeight="1" x14ac:dyDescent="0.2">
      <c r="B509" s="77" t="s">
        <v>238</v>
      </c>
      <c r="C509" s="16" t="s">
        <v>489</v>
      </c>
      <c r="D509" s="16" t="s">
        <v>26</v>
      </c>
      <c r="E509" s="16" t="s">
        <v>239</v>
      </c>
      <c r="F509" s="71"/>
      <c r="G509" s="16"/>
      <c r="H509" s="17">
        <f>H510</f>
        <v>50</v>
      </c>
      <c r="I509" s="17">
        <f t="shared" si="78"/>
        <v>50</v>
      </c>
      <c r="J509" s="17">
        <f t="shared" si="78"/>
        <v>50</v>
      </c>
      <c r="K509" s="59"/>
      <c r="L509" s="59"/>
      <c r="M509" s="59"/>
      <c r="N509" s="59"/>
    </row>
    <row r="510" spans="2:14" s="53" customFormat="1" ht="24" customHeight="1" x14ac:dyDescent="0.2">
      <c r="B510" s="20" t="s">
        <v>240</v>
      </c>
      <c r="C510" s="21" t="s">
        <v>489</v>
      </c>
      <c r="D510" s="21" t="s">
        <v>26</v>
      </c>
      <c r="E510" s="21" t="s">
        <v>239</v>
      </c>
      <c r="F510" s="23" t="s">
        <v>241</v>
      </c>
      <c r="G510" s="21"/>
      <c r="H510" s="19">
        <f>H511</f>
        <v>50</v>
      </c>
      <c r="I510" s="19">
        <f t="shared" si="78"/>
        <v>50</v>
      </c>
      <c r="J510" s="19">
        <f t="shared" si="78"/>
        <v>50</v>
      </c>
      <c r="K510" s="1"/>
      <c r="L510" s="1"/>
      <c r="M510" s="1"/>
      <c r="N510" s="1"/>
    </row>
    <row r="511" spans="2:14" s="53" customFormat="1" ht="17.25" customHeight="1" x14ac:dyDescent="0.2">
      <c r="B511" s="20" t="s">
        <v>16</v>
      </c>
      <c r="C511" s="21" t="s">
        <v>489</v>
      </c>
      <c r="D511" s="21" t="s">
        <v>26</v>
      </c>
      <c r="E511" s="21" t="s">
        <v>239</v>
      </c>
      <c r="F511" s="23" t="s">
        <v>250</v>
      </c>
      <c r="G511" s="21"/>
      <c r="H511" s="19">
        <f>H512</f>
        <v>50</v>
      </c>
      <c r="I511" s="19">
        <f>I512</f>
        <v>50</v>
      </c>
      <c r="J511" s="19">
        <f>J512</f>
        <v>50</v>
      </c>
      <c r="K511" s="1"/>
      <c r="L511" s="1"/>
      <c r="M511" s="1"/>
      <c r="N511" s="1"/>
    </row>
    <row r="512" spans="2:14" s="53" customFormat="1" ht="26.25" customHeight="1" x14ac:dyDescent="0.2">
      <c r="B512" s="20" t="s">
        <v>251</v>
      </c>
      <c r="C512" s="21" t="s">
        <v>489</v>
      </c>
      <c r="D512" s="21" t="s">
        <v>26</v>
      </c>
      <c r="E512" s="21" t="s">
        <v>239</v>
      </c>
      <c r="F512" s="23" t="s">
        <v>252</v>
      </c>
      <c r="G512" s="21"/>
      <c r="H512" s="19">
        <f>H513+H515</f>
        <v>50</v>
      </c>
      <c r="I512" s="19">
        <f>I513+I515</f>
        <v>50</v>
      </c>
      <c r="J512" s="19">
        <f>J513+J515</f>
        <v>50</v>
      </c>
      <c r="K512" s="1"/>
      <c r="L512" s="1"/>
      <c r="M512" s="1"/>
      <c r="N512" s="1"/>
    </row>
    <row r="513" spans="2:14" s="53" customFormat="1" ht="12.75" customHeight="1" x14ac:dyDescent="0.2">
      <c r="B513" s="20" t="s">
        <v>503</v>
      </c>
      <c r="C513" s="21" t="s">
        <v>489</v>
      </c>
      <c r="D513" s="21" t="s">
        <v>26</v>
      </c>
      <c r="E513" s="21" t="s">
        <v>239</v>
      </c>
      <c r="F513" s="23" t="s">
        <v>504</v>
      </c>
      <c r="G513" s="21"/>
      <c r="H513" s="19">
        <f>H514</f>
        <v>50</v>
      </c>
      <c r="I513" s="19">
        <f>I514</f>
        <v>50</v>
      </c>
      <c r="J513" s="19">
        <f>J514</f>
        <v>50</v>
      </c>
      <c r="K513" s="1"/>
      <c r="L513" s="1"/>
      <c r="M513" s="1"/>
      <c r="N513" s="1"/>
    </row>
    <row r="514" spans="2:14" s="53" customFormat="1" ht="25.5" customHeight="1" x14ac:dyDescent="0.2">
      <c r="B514" s="20" t="s">
        <v>34</v>
      </c>
      <c r="C514" s="21" t="s">
        <v>489</v>
      </c>
      <c r="D514" s="21" t="s">
        <v>26</v>
      </c>
      <c r="E514" s="21" t="s">
        <v>239</v>
      </c>
      <c r="F514" s="23" t="s">
        <v>504</v>
      </c>
      <c r="G514" s="21" t="s">
        <v>35</v>
      </c>
      <c r="H514" s="19">
        <v>50</v>
      </c>
      <c r="I514" s="19">
        <v>50</v>
      </c>
      <c r="J514" s="19">
        <v>50</v>
      </c>
      <c r="K514" s="1"/>
      <c r="L514" s="1"/>
      <c r="M514" s="1"/>
      <c r="N514" s="1"/>
    </row>
    <row r="515" spans="2:14" s="53" customFormat="1" ht="24" customHeight="1" x14ac:dyDescent="0.2">
      <c r="B515" s="20" t="s">
        <v>248</v>
      </c>
      <c r="C515" s="21" t="s">
        <v>489</v>
      </c>
      <c r="D515" s="21" t="s">
        <v>26</v>
      </c>
      <c r="E515" s="21" t="s">
        <v>239</v>
      </c>
      <c r="F515" s="23" t="s">
        <v>505</v>
      </c>
      <c r="G515" s="21"/>
      <c r="H515" s="19">
        <f>H516</f>
        <v>0</v>
      </c>
      <c r="I515" s="19">
        <f>I516</f>
        <v>0</v>
      </c>
      <c r="J515" s="19">
        <f>J516</f>
        <v>0</v>
      </c>
      <c r="K515" s="1"/>
      <c r="L515" s="1"/>
      <c r="M515" s="1"/>
      <c r="N515" s="1"/>
    </row>
    <row r="516" spans="2:14" s="53" customFormat="1" ht="23.25" customHeight="1" x14ac:dyDescent="0.2">
      <c r="B516" s="20" t="s">
        <v>34</v>
      </c>
      <c r="C516" s="21" t="s">
        <v>489</v>
      </c>
      <c r="D516" s="21" t="s">
        <v>26</v>
      </c>
      <c r="E516" s="21" t="s">
        <v>239</v>
      </c>
      <c r="F516" s="23" t="s">
        <v>505</v>
      </c>
      <c r="G516" s="21" t="s">
        <v>35</v>
      </c>
      <c r="H516" s="19">
        <v>0</v>
      </c>
      <c r="I516" s="19">
        <v>0</v>
      </c>
      <c r="J516" s="19">
        <v>0</v>
      </c>
      <c r="K516" s="1"/>
      <c r="L516" s="1"/>
      <c r="M516" s="1"/>
      <c r="N516" s="1"/>
    </row>
    <row r="517" spans="2:14" s="1" customFormat="1" ht="27.75" customHeight="1" x14ac:dyDescent="0.2">
      <c r="B517" s="15" t="s">
        <v>506</v>
      </c>
      <c r="C517" s="16" t="s">
        <v>489</v>
      </c>
      <c r="D517" s="114" t="s">
        <v>82</v>
      </c>
      <c r="E517" s="114"/>
      <c r="F517" s="23"/>
      <c r="G517" s="21"/>
      <c r="H517" s="19">
        <f t="shared" ref="H517:J522" si="79">H518</f>
        <v>80.5</v>
      </c>
      <c r="I517" s="19">
        <f t="shared" si="79"/>
        <v>80.5</v>
      </c>
      <c r="J517" s="19">
        <f t="shared" si="79"/>
        <v>30</v>
      </c>
    </row>
    <row r="518" spans="2:14" s="1" customFormat="1" ht="27.75" customHeight="1" x14ac:dyDescent="0.2">
      <c r="B518" s="15" t="s">
        <v>507</v>
      </c>
      <c r="C518" s="16" t="s">
        <v>489</v>
      </c>
      <c r="D518" s="114" t="s">
        <v>82</v>
      </c>
      <c r="E518" s="114" t="s">
        <v>11</v>
      </c>
      <c r="F518" s="23"/>
      <c r="G518" s="21"/>
      <c r="H518" s="19">
        <f t="shared" si="79"/>
        <v>80.5</v>
      </c>
      <c r="I518" s="19">
        <f t="shared" si="79"/>
        <v>80.5</v>
      </c>
      <c r="J518" s="19">
        <f t="shared" si="79"/>
        <v>30</v>
      </c>
    </row>
    <row r="519" spans="2:14" s="1" customFormat="1" ht="27.75" customHeight="1" x14ac:dyDescent="0.2">
      <c r="B519" s="44" t="s">
        <v>492</v>
      </c>
      <c r="C519" s="21" t="s">
        <v>489</v>
      </c>
      <c r="D519" s="48" t="s">
        <v>82</v>
      </c>
      <c r="E519" s="48" t="s">
        <v>11</v>
      </c>
      <c r="F519" s="23" t="s">
        <v>493</v>
      </c>
      <c r="G519" s="21"/>
      <c r="H519" s="19">
        <f t="shared" si="79"/>
        <v>80.5</v>
      </c>
      <c r="I519" s="19">
        <f t="shared" si="79"/>
        <v>80.5</v>
      </c>
      <c r="J519" s="19">
        <f t="shared" si="79"/>
        <v>30</v>
      </c>
    </row>
    <row r="520" spans="2:14" s="1" customFormat="1" ht="20.25" customHeight="1" x14ac:dyDescent="0.2">
      <c r="B520" s="44" t="s">
        <v>16</v>
      </c>
      <c r="C520" s="21" t="s">
        <v>489</v>
      </c>
      <c r="D520" s="48" t="s">
        <v>82</v>
      </c>
      <c r="E520" s="48" t="s">
        <v>11</v>
      </c>
      <c r="F520" s="23" t="s">
        <v>494</v>
      </c>
      <c r="G520" s="21"/>
      <c r="H520" s="19">
        <f t="shared" si="79"/>
        <v>80.5</v>
      </c>
      <c r="I520" s="19">
        <f t="shared" si="79"/>
        <v>80.5</v>
      </c>
      <c r="J520" s="19">
        <f t="shared" si="79"/>
        <v>30</v>
      </c>
    </row>
    <row r="521" spans="2:14" s="1" customFormat="1" ht="42.75" customHeight="1" x14ac:dyDescent="0.2">
      <c r="B521" s="42" t="s">
        <v>508</v>
      </c>
      <c r="C521" s="21" t="s">
        <v>489</v>
      </c>
      <c r="D521" s="48" t="s">
        <v>82</v>
      </c>
      <c r="E521" s="48" t="s">
        <v>11</v>
      </c>
      <c r="F521" s="23" t="s">
        <v>509</v>
      </c>
      <c r="G521" s="21"/>
      <c r="H521" s="19">
        <f t="shared" si="79"/>
        <v>80.5</v>
      </c>
      <c r="I521" s="19">
        <f t="shared" si="79"/>
        <v>80.5</v>
      </c>
      <c r="J521" s="19">
        <f t="shared" si="79"/>
        <v>30</v>
      </c>
    </row>
    <row r="522" spans="2:14" s="1" customFormat="1" ht="30.75" customHeight="1" x14ac:dyDescent="0.2">
      <c r="B522" s="42" t="s">
        <v>510</v>
      </c>
      <c r="C522" s="21" t="s">
        <v>489</v>
      </c>
      <c r="D522" s="48" t="s">
        <v>82</v>
      </c>
      <c r="E522" s="48" t="s">
        <v>11</v>
      </c>
      <c r="F522" s="23" t="s">
        <v>511</v>
      </c>
      <c r="G522" s="21"/>
      <c r="H522" s="19">
        <f t="shared" si="79"/>
        <v>80.5</v>
      </c>
      <c r="I522" s="19">
        <f t="shared" si="79"/>
        <v>80.5</v>
      </c>
      <c r="J522" s="19">
        <f t="shared" si="79"/>
        <v>30</v>
      </c>
    </row>
    <row r="523" spans="2:14" s="1" customFormat="1" ht="16.5" customHeight="1" x14ac:dyDescent="0.2">
      <c r="B523" s="20" t="s">
        <v>512</v>
      </c>
      <c r="C523" s="21" t="s">
        <v>489</v>
      </c>
      <c r="D523" s="48" t="s">
        <v>82</v>
      </c>
      <c r="E523" s="48" t="s">
        <v>11</v>
      </c>
      <c r="F523" s="23" t="s">
        <v>511</v>
      </c>
      <c r="G523" s="21" t="s">
        <v>513</v>
      </c>
      <c r="H523" s="19">
        <v>80.5</v>
      </c>
      <c r="I523" s="19">
        <v>80.5</v>
      </c>
      <c r="J523" s="19">
        <v>30</v>
      </c>
    </row>
    <row r="524" spans="2:14" s="1" customFormat="1" ht="25.5" x14ac:dyDescent="0.2">
      <c r="B524" s="15" t="s">
        <v>514</v>
      </c>
      <c r="C524" s="16" t="s">
        <v>515</v>
      </c>
      <c r="D524" s="16"/>
      <c r="E524" s="16"/>
      <c r="F524" s="16"/>
      <c r="G524" s="16"/>
      <c r="H524" s="17">
        <f>H525+H536+H555+H562</f>
        <v>11463.6</v>
      </c>
      <c r="I524" s="17">
        <f>I525+I536+I555+I562</f>
        <v>9047.4</v>
      </c>
      <c r="J524" s="17">
        <f>J525+J536+J555+J562</f>
        <v>9044.1</v>
      </c>
    </row>
    <row r="525" spans="2:14" s="1" customFormat="1" x14ac:dyDescent="0.2">
      <c r="B525" s="15" t="s">
        <v>10</v>
      </c>
      <c r="C525" s="16" t="s">
        <v>515</v>
      </c>
      <c r="D525" s="16" t="s">
        <v>11</v>
      </c>
      <c r="E525" s="16"/>
      <c r="F525" s="16"/>
      <c r="G525" s="16"/>
      <c r="H525" s="17">
        <f>H526</f>
        <v>3079.5</v>
      </c>
      <c r="I525" s="17">
        <f>I526</f>
        <v>2759.5</v>
      </c>
      <c r="J525" s="17">
        <f>J526</f>
        <v>2759.5</v>
      </c>
    </row>
    <row r="526" spans="2:14" s="59" customFormat="1" ht="15.75" customHeight="1" x14ac:dyDescent="0.2">
      <c r="B526" s="15" t="s">
        <v>81</v>
      </c>
      <c r="C526" s="16" t="s">
        <v>515</v>
      </c>
      <c r="D526" s="16" t="s">
        <v>11</v>
      </c>
      <c r="E526" s="16" t="s">
        <v>82</v>
      </c>
      <c r="F526" s="16"/>
      <c r="G526" s="16"/>
      <c r="H526" s="17">
        <f>H530+H527</f>
        <v>3079.5</v>
      </c>
      <c r="I526" s="17">
        <f>I530+I527</f>
        <v>2759.5</v>
      </c>
      <c r="J526" s="17">
        <f>J530+J527</f>
        <v>2759.5</v>
      </c>
    </row>
    <row r="527" spans="2:14" s="59" customFormat="1" ht="25.5" customHeight="1" x14ac:dyDescent="0.2">
      <c r="B527" s="44" t="s">
        <v>83</v>
      </c>
      <c r="C527" s="21" t="s">
        <v>515</v>
      </c>
      <c r="D527" s="21" t="s">
        <v>11</v>
      </c>
      <c r="E527" s="21" t="s">
        <v>82</v>
      </c>
      <c r="F527" s="21" t="s">
        <v>84</v>
      </c>
      <c r="G527" s="16"/>
      <c r="H527" s="19">
        <f t="shared" ref="H527:J528" si="80">H528</f>
        <v>320</v>
      </c>
      <c r="I527" s="19">
        <f t="shared" si="80"/>
        <v>0</v>
      </c>
      <c r="J527" s="19">
        <f t="shared" si="80"/>
        <v>0</v>
      </c>
    </row>
    <row r="528" spans="2:14" s="59" customFormat="1" ht="27" customHeight="1" x14ac:dyDescent="0.2">
      <c r="B528" s="39" t="s">
        <v>85</v>
      </c>
      <c r="C528" s="21" t="s">
        <v>515</v>
      </c>
      <c r="D528" s="21" t="s">
        <v>11</v>
      </c>
      <c r="E528" s="21" t="s">
        <v>82</v>
      </c>
      <c r="F528" s="21" t="s">
        <v>86</v>
      </c>
      <c r="G528" s="16"/>
      <c r="H528" s="19">
        <f t="shared" si="80"/>
        <v>320</v>
      </c>
      <c r="I528" s="19">
        <f t="shared" si="80"/>
        <v>0</v>
      </c>
      <c r="J528" s="19">
        <f t="shared" si="80"/>
        <v>0</v>
      </c>
    </row>
    <row r="529" spans="2:14" s="59" customFormat="1" ht="26.25" customHeight="1" x14ac:dyDescent="0.2">
      <c r="B529" s="20" t="s">
        <v>34</v>
      </c>
      <c r="C529" s="21" t="s">
        <v>515</v>
      </c>
      <c r="D529" s="21" t="s">
        <v>11</v>
      </c>
      <c r="E529" s="21" t="s">
        <v>82</v>
      </c>
      <c r="F529" s="21" t="s">
        <v>86</v>
      </c>
      <c r="G529" s="21" t="s">
        <v>35</v>
      </c>
      <c r="H529" s="19">
        <v>320</v>
      </c>
      <c r="I529" s="19">
        <v>0</v>
      </c>
      <c r="J529" s="19">
        <v>0</v>
      </c>
    </row>
    <row r="530" spans="2:14" s="75" customFormat="1" ht="38.25" customHeight="1" x14ac:dyDescent="0.2">
      <c r="B530" s="49" t="s">
        <v>259</v>
      </c>
      <c r="C530" s="21" t="s">
        <v>515</v>
      </c>
      <c r="D530" s="21" t="s">
        <v>11</v>
      </c>
      <c r="E530" s="21" t="s">
        <v>82</v>
      </c>
      <c r="F530" s="23" t="s">
        <v>320</v>
      </c>
      <c r="G530" s="28"/>
      <c r="H530" s="19">
        <f t="shared" ref="H530:J532" si="81">H531</f>
        <v>2759.5</v>
      </c>
      <c r="I530" s="19">
        <f t="shared" si="81"/>
        <v>2759.5</v>
      </c>
      <c r="J530" s="19">
        <f t="shared" si="81"/>
        <v>2759.5</v>
      </c>
      <c r="K530" s="59"/>
      <c r="L530" s="59"/>
      <c r="M530" s="59"/>
      <c r="N530" s="59"/>
    </row>
    <row r="531" spans="2:14" s="75" customFormat="1" ht="15.75" customHeight="1" x14ac:dyDescent="0.2">
      <c r="B531" s="49" t="s">
        <v>16</v>
      </c>
      <c r="C531" s="21" t="s">
        <v>515</v>
      </c>
      <c r="D531" s="21" t="s">
        <v>11</v>
      </c>
      <c r="E531" s="21" t="s">
        <v>82</v>
      </c>
      <c r="F531" s="23" t="s">
        <v>321</v>
      </c>
      <c r="G531" s="28"/>
      <c r="H531" s="19">
        <f t="shared" si="81"/>
        <v>2759.5</v>
      </c>
      <c r="I531" s="19">
        <f t="shared" si="81"/>
        <v>2759.5</v>
      </c>
      <c r="J531" s="19">
        <f t="shared" si="81"/>
        <v>2759.5</v>
      </c>
      <c r="K531" s="59"/>
      <c r="L531" s="59"/>
      <c r="M531" s="59"/>
      <c r="N531" s="59"/>
    </row>
    <row r="532" spans="2:14" s="75" customFormat="1" ht="38.25" customHeight="1" x14ac:dyDescent="0.2">
      <c r="B532" s="20" t="s">
        <v>322</v>
      </c>
      <c r="C532" s="21" t="s">
        <v>515</v>
      </c>
      <c r="D532" s="21" t="s">
        <v>11</v>
      </c>
      <c r="E532" s="21" t="s">
        <v>82</v>
      </c>
      <c r="F532" s="23" t="s">
        <v>323</v>
      </c>
      <c r="G532" s="48"/>
      <c r="H532" s="19">
        <f t="shared" si="81"/>
        <v>2759.5</v>
      </c>
      <c r="I532" s="19">
        <f t="shared" si="81"/>
        <v>2759.5</v>
      </c>
      <c r="J532" s="19">
        <f t="shared" si="81"/>
        <v>2759.5</v>
      </c>
      <c r="K532" s="59"/>
      <c r="L532" s="59"/>
      <c r="M532" s="59"/>
      <c r="N532" s="59"/>
    </row>
    <row r="533" spans="2:14" s="75" customFormat="1" ht="28.5" customHeight="1" x14ac:dyDescent="0.2">
      <c r="B533" s="86" t="s">
        <v>262</v>
      </c>
      <c r="C533" s="21" t="s">
        <v>515</v>
      </c>
      <c r="D533" s="21" t="s">
        <v>11</v>
      </c>
      <c r="E533" s="21" t="s">
        <v>82</v>
      </c>
      <c r="F533" s="31" t="s">
        <v>324</v>
      </c>
      <c r="G533" s="47"/>
      <c r="H533" s="19">
        <f>H534+H535</f>
        <v>2759.5</v>
      </c>
      <c r="I533" s="19">
        <f>I534+I535</f>
        <v>2759.5</v>
      </c>
      <c r="J533" s="19">
        <f>J534+J535</f>
        <v>2759.5</v>
      </c>
      <c r="K533" s="59"/>
      <c r="L533" s="59"/>
      <c r="M533" s="59"/>
      <c r="N533" s="59"/>
    </row>
    <row r="534" spans="2:14" s="75" customFormat="1" ht="27" customHeight="1" x14ac:dyDescent="0.2">
      <c r="B534" s="41" t="s">
        <v>34</v>
      </c>
      <c r="C534" s="21" t="s">
        <v>515</v>
      </c>
      <c r="D534" s="21" t="s">
        <v>11</v>
      </c>
      <c r="E534" s="21" t="s">
        <v>82</v>
      </c>
      <c r="F534" s="31" t="s">
        <v>324</v>
      </c>
      <c r="G534" s="47" t="s">
        <v>35</v>
      </c>
      <c r="H534" s="19">
        <f>490+2224.5</f>
        <v>2714.5</v>
      </c>
      <c r="I534" s="19">
        <f>490+2224.5</f>
        <v>2714.5</v>
      </c>
      <c r="J534" s="19">
        <f>490+2224.5</f>
        <v>2714.5</v>
      </c>
      <c r="K534" s="59"/>
      <c r="L534" s="59"/>
      <c r="M534" s="59"/>
      <c r="N534" s="59"/>
    </row>
    <row r="535" spans="2:14" s="75" customFormat="1" ht="18" customHeight="1" x14ac:dyDescent="0.2">
      <c r="B535" s="41" t="s">
        <v>38</v>
      </c>
      <c r="C535" s="21" t="s">
        <v>515</v>
      </c>
      <c r="D535" s="21" t="s">
        <v>11</v>
      </c>
      <c r="E535" s="21" t="s">
        <v>82</v>
      </c>
      <c r="F535" s="31" t="s">
        <v>324</v>
      </c>
      <c r="G535" s="47" t="s">
        <v>39</v>
      </c>
      <c r="H535" s="19">
        <v>45</v>
      </c>
      <c r="I535" s="19">
        <v>45</v>
      </c>
      <c r="J535" s="19">
        <v>45</v>
      </c>
      <c r="K535" s="59"/>
      <c r="L535" s="59"/>
      <c r="M535" s="59"/>
      <c r="N535" s="59"/>
    </row>
    <row r="536" spans="2:14" s="59" customFormat="1" ht="13.5" customHeight="1" x14ac:dyDescent="0.2">
      <c r="B536" s="15" t="s">
        <v>200</v>
      </c>
      <c r="C536" s="16" t="s">
        <v>515</v>
      </c>
      <c r="D536" s="16" t="s">
        <v>26</v>
      </c>
      <c r="E536" s="16"/>
      <c r="F536" s="16"/>
      <c r="G536" s="16"/>
      <c r="H536" s="17">
        <f t="shared" ref="H536:J537" si="82">H537</f>
        <v>4378.7</v>
      </c>
      <c r="I536" s="17">
        <f t="shared" si="82"/>
        <v>4091.1</v>
      </c>
      <c r="J536" s="17">
        <f t="shared" si="82"/>
        <v>4087.8</v>
      </c>
    </row>
    <row r="537" spans="2:14" s="59" customFormat="1" ht="14.25" customHeight="1" x14ac:dyDescent="0.2">
      <c r="B537" s="77" t="s">
        <v>238</v>
      </c>
      <c r="C537" s="16" t="s">
        <v>515</v>
      </c>
      <c r="D537" s="16" t="s">
        <v>26</v>
      </c>
      <c r="E537" s="16" t="s">
        <v>239</v>
      </c>
      <c r="F537" s="16"/>
      <c r="G537" s="16"/>
      <c r="H537" s="17">
        <f t="shared" si="82"/>
        <v>4378.7</v>
      </c>
      <c r="I537" s="17">
        <f t="shared" si="82"/>
        <v>4091.1</v>
      </c>
      <c r="J537" s="17">
        <f t="shared" si="82"/>
        <v>4087.8</v>
      </c>
    </row>
    <row r="538" spans="2:14" s="53" customFormat="1" ht="41.25" customHeight="1" x14ac:dyDescent="0.2">
      <c r="B538" s="49" t="s">
        <v>259</v>
      </c>
      <c r="C538" s="21" t="s">
        <v>515</v>
      </c>
      <c r="D538" s="21" t="s">
        <v>26</v>
      </c>
      <c r="E538" s="21" t="s">
        <v>239</v>
      </c>
      <c r="F538" s="71" t="s">
        <v>320</v>
      </c>
      <c r="G538" s="21"/>
      <c r="H538" s="19">
        <f>H539+H546</f>
        <v>4378.7</v>
      </c>
      <c r="I538" s="19">
        <f>I539+I546</f>
        <v>4091.1</v>
      </c>
      <c r="J538" s="19">
        <f>J539+J546</f>
        <v>4087.8</v>
      </c>
      <c r="K538" s="1"/>
      <c r="L538" s="1"/>
      <c r="M538" s="1"/>
      <c r="N538" s="1"/>
    </row>
    <row r="539" spans="2:14" s="53" customFormat="1" ht="15.75" customHeight="1" x14ac:dyDescent="0.2">
      <c r="B539" s="20" t="s">
        <v>48</v>
      </c>
      <c r="C539" s="21" t="s">
        <v>515</v>
      </c>
      <c r="D539" s="21" t="s">
        <v>26</v>
      </c>
      <c r="E539" s="21" t="s">
        <v>239</v>
      </c>
      <c r="F539" s="23" t="s">
        <v>516</v>
      </c>
      <c r="G539" s="48"/>
      <c r="H539" s="19">
        <f>H540</f>
        <v>508.1</v>
      </c>
      <c r="I539" s="19">
        <f>I540</f>
        <v>300</v>
      </c>
      <c r="J539" s="19">
        <f>J540</f>
        <v>300</v>
      </c>
      <c r="K539" s="1"/>
      <c r="L539" s="1"/>
      <c r="M539" s="1"/>
      <c r="N539" s="1"/>
    </row>
    <row r="540" spans="2:14" s="53" customFormat="1" ht="31.5" customHeight="1" x14ac:dyDescent="0.2">
      <c r="B540" s="20" t="s">
        <v>517</v>
      </c>
      <c r="C540" s="21" t="s">
        <v>515</v>
      </c>
      <c r="D540" s="21" t="s">
        <v>26</v>
      </c>
      <c r="E540" s="21" t="s">
        <v>239</v>
      </c>
      <c r="F540" s="23" t="s">
        <v>518</v>
      </c>
      <c r="G540" s="48"/>
      <c r="H540" s="19">
        <f>H541+H543</f>
        <v>508.1</v>
      </c>
      <c r="I540" s="19">
        <f>I541+I543</f>
        <v>300</v>
      </c>
      <c r="J540" s="19">
        <f>J541+J543</f>
        <v>300</v>
      </c>
      <c r="K540" s="1"/>
      <c r="L540" s="1"/>
      <c r="M540" s="1"/>
      <c r="N540" s="1"/>
    </row>
    <row r="541" spans="2:14" s="53" customFormat="1" ht="42" customHeight="1" x14ac:dyDescent="0.2">
      <c r="B541" s="20" t="s">
        <v>519</v>
      </c>
      <c r="C541" s="21" t="s">
        <v>515</v>
      </c>
      <c r="D541" s="21" t="s">
        <v>26</v>
      </c>
      <c r="E541" s="21" t="s">
        <v>239</v>
      </c>
      <c r="F541" s="23" t="s">
        <v>520</v>
      </c>
      <c r="G541" s="48"/>
      <c r="H541" s="19">
        <f>H542</f>
        <v>208.1</v>
      </c>
      <c r="I541" s="19">
        <f>I542</f>
        <v>0</v>
      </c>
      <c r="J541" s="19">
        <f>J542</f>
        <v>0</v>
      </c>
      <c r="K541" s="1"/>
      <c r="L541" s="1"/>
      <c r="M541" s="1"/>
      <c r="N541" s="1"/>
    </row>
    <row r="542" spans="2:14" s="53" customFormat="1" ht="26.25" customHeight="1" x14ac:dyDescent="0.2">
      <c r="B542" s="20" t="s">
        <v>34</v>
      </c>
      <c r="C542" s="21" t="s">
        <v>515</v>
      </c>
      <c r="D542" s="21" t="s">
        <v>26</v>
      </c>
      <c r="E542" s="21" t="s">
        <v>239</v>
      </c>
      <c r="F542" s="23" t="s">
        <v>520</v>
      </c>
      <c r="G542" s="48" t="s">
        <v>35</v>
      </c>
      <c r="H542" s="19">
        <f>74.1+134</f>
        <v>208.1</v>
      </c>
      <c r="I542" s="19">
        <v>0</v>
      </c>
      <c r="J542" s="19">
        <v>0</v>
      </c>
      <c r="K542" s="1"/>
      <c r="L542" s="1"/>
      <c r="M542" s="1"/>
      <c r="N542" s="1"/>
    </row>
    <row r="543" spans="2:14" s="53" customFormat="1" ht="30.75" customHeight="1" x14ac:dyDescent="0.2">
      <c r="B543" s="20" t="s">
        <v>521</v>
      </c>
      <c r="C543" s="21" t="s">
        <v>515</v>
      </c>
      <c r="D543" s="48" t="s">
        <v>26</v>
      </c>
      <c r="E543" s="48" t="s">
        <v>239</v>
      </c>
      <c r="F543" s="23" t="s">
        <v>522</v>
      </c>
      <c r="G543" s="48"/>
      <c r="H543" s="19">
        <f>H544+H545</f>
        <v>300</v>
      </c>
      <c r="I543" s="19">
        <f>I544+I545</f>
        <v>300</v>
      </c>
      <c r="J543" s="19">
        <f>J544+J545</f>
        <v>300</v>
      </c>
      <c r="K543" s="1"/>
      <c r="L543" s="1"/>
      <c r="M543" s="1"/>
      <c r="N543" s="1"/>
    </row>
    <row r="544" spans="2:14" s="53" customFormat="1" ht="27" customHeight="1" x14ac:dyDescent="0.2">
      <c r="B544" s="20" t="s">
        <v>34</v>
      </c>
      <c r="C544" s="21" t="s">
        <v>515</v>
      </c>
      <c r="D544" s="48" t="s">
        <v>26</v>
      </c>
      <c r="E544" s="48" t="s">
        <v>239</v>
      </c>
      <c r="F544" s="23" t="s">
        <v>522</v>
      </c>
      <c r="G544" s="48" t="s">
        <v>35</v>
      </c>
      <c r="H544" s="19">
        <v>300</v>
      </c>
      <c r="I544" s="19">
        <v>300</v>
      </c>
      <c r="J544" s="19">
        <v>300</v>
      </c>
      <c r="K544" s="1"/>
      <c r="L544" s="1"/>
      <c r="M544" s="1"/>
      <c r="N544" s="1"/>
    </row>
    <row r="545" spans="2:14" s="53" customFormat="1" ht="16.5" hidden="1" customHeight="1" x14ac:dyDescent="0.2">
      <c r="B545" s="20" t="s">
        <v>38</v>
      </c>
      <c r="C545" s="21" t="s">
        <v>515</v>
      </c>
      <c r="D545" s="48" t="s">
        <v>26</v>
      </c>
      <c r="E545" s="48" t="s">
        <v>239</v>
      </c>
      <c r="F545" s="23" t="s">
        <v>522</v>
      </c>
      <c r="G545" s="48" t="s">
        <v>39</v>
      </c>
      <c r="H545" s="19">
        <v>0</v>
      </c>
      <c r="I545" s="19"/>
      <c r="J545" s="19">
        <v>0</v>
      </c>
      <c r="K545" s="1"/>
      <c r="L545" s="1"/>
      <c r="M545" s="1"/>
      <c r="N545" s="1"/>
    </row>
    <row r="546" spans="2:14" s="53" customFormat="1" ht="16.5" customHeight="1" x14ac:dyDescent="0.2">
      <c r="B546" s="29" t="s">
        <v>16</v>
      </c>
      <c r="C546" s="21" t="s">
        <v>515</v>
      </c>
      <c r="D546" s="21" t="s">
        <v>26</v>
      </c>
      <c r="E546" s="21" t="s">
        <v>239</v>
      </c>
      <c r="F546" s="23" t="s">
        <v>321</v>
      </c>
      <c r="G546" s="48"/>
      <c r="H546" s="19">
        <f>H547+H550</f>
        <v>3870.6</v>
      </c>
      <c r="I546" s="19">
        <f>I547+I550</f>
        <v>3791.1</v>
      </c>
      <c r="J546" s="19">
        <f>J547+J550</f>
        <v>3787.8</v>
      </c>
      <c r="K546" s="1"/>
      <c r="L546" s="1"/>
      <c r="M546" s="1"/>
      <c r="N546" s="1"/>
    </row>
    <row r="547" spans="2:14" s="53" customFormat="1" ht="52.5" customHeight="1" x14ac:dyDescent="0.2">
      <c r="B547" s="20" t="s">
        <v>523</v>
      </c>
      <c r="C547" s="21" t="s">
        <v>515</v>
      </c>
      <c r="D547" s="21" t="s">
        <v>26</v>
      </c>
      <c r="E547" s="21" t="s">
        <v>239</v>
      </c>
      <c r="F547" s="23" t="s">
        <v>524</v>
      </c>
      <c r="G547" s="48"/>
      <c r="H547" s="19">
        <f t="shared" ref="H547:J548" si="83">H548</f>
        <v>44.6</v>
      </c>
      <c r="I547" s="19">
        <f t="shared" si="83"/>
        <v>17</v>
      </c>
      <c r="J547" s="19">
        <f t="shared" si="83"/>
        <v>17</v>
      </c>
      <c r="K547" s="1"/>
      <c r="L547" s="1"/>
      <c r="M547" s="1"/>
      <c r="N547" s="1"/>
    </row>
    <row r="548" spans="2:14" s="53" customFormat="1" ht="68.25" customHeight="1" x14ac:dyDescent="0.2">
      <c r="B548" s="20" t="s">
        <v>525</v>
      </c>
      <c r="C548" s="21" t="s">
        <v>515</v>
      </c>
      <c r="D548" s="48" t="s">
        <v>26</v>
      </c>
      <c r="E548" s="48" t="s">
        <v>239</v>
      </c>
      <c r="F548" s="23" t="s">
        <v>526</v>
      </c>
      <c r="G548" s="48"/>
      <c r="H548" s="19">
        <f t="shared" si="83"/>
        <v>44.6</v>
      </c>
      <c r="I548" s="19">
        <f t="shared" si="83"/>
        <v>17</v>
      </c>
      <c r="J548" s="19">
        <f t="shared" si="83"/>
        <v>17</v>
      </c>
      <c r="K548" s="1"/>
      <c r="L548" s="1"/>
      <c r="M548" s="1"/>
      <c r="N548" s="1"/>
    </row>
    <row r="549" spans="2:14" s="53" customFormat="1" ht="29.25" customHeight="1" x14ac:dyDescent="0.2">
      <c r="B549" s="20" t="s">
        <v>34</v>
      </c>
      <c r="C549" s="21" t="s">
        <v>515</v>
      </c>
      <c r="D549" s="48" t="s">
        <v>26</v>
      </c>
      <c r="E549" s="48" t="s">
        <v>239</v>
      </c>
      <c r="F549" s="23" t="s">
        <v>526</v>
      </c>
      <c r="G549" s="48" t="s">
        <v>35</v>
      </c>
      <c r="H549" s="19">
        <v>44.6</v>
      </c>
      <c r="I549" s="19">
        <v>17</v>
      </c>
      <c r="J549" s="19">
        <v>17</v>
      </c>
      <c r="K549" s="1"/>
      <c r="L549" s="1"/>
      <c r="M549" s="1"/>
      <c r="N549" s="1"/>
    </row>
    <row r="550" spans="2:14" s="53" customFormat="1" ht="43.5" customHeight="1" x14ac:dyDescent="0.2">
      <c r="B550" s="20" t="s">
        <v>527</v>
      </c>
      <c r="C550" s="21" t="s">
        <v>515</v>
      </c>
      <c r="D550" s="21" t="s">
        <v>26</v>
      </c>
      <c r="E550" s="21" t="s">
        <v>239</v>
      </c>
      <c r="F550" s="23" t="s">
        <v>528</v>
      </c>
      <c r="G550" s="48"/>
      <c r="H550" s="19">
        <f>H551</f>
        <v>3826</v>
      </c>
      <c r="I550" s="19">
        <f>I551</f>
        <v>3774.1</v>
      </c>
      <c r="J550" s="19">
        <f>J551</f>
        <v>3770.8</v>
      </c>
      <c r="K550" s="1"/>
      <c r="L550" s="1"/>
      <c r="M550" s="1"/>
      <c r="N550" s="1"/>
    </row>
    <row r="551" spans="2:14" s="53" customFormat="1" ht="16.5" customHeight="1" x14ac:dyDescent="0.2">
      <c r="B551" s="42" t="s">
        <v>36</v>
      </c>
      <c r="C551" s="21" t="s">
        <v>515</v>
      </c>
      <c r="D551" s="21" t="s">
        <v>26</v>
      </c>
      <c r="E551" s="21" t="s">
        <v>239</v>
      </c>
      <c r="F551" s="23" t="s">
        <v>529</v>
      </c>
      <c r="G551" s="48"/>
      <c r="H551" s="19">
        <f>H552+H553+H554</f>
        <v>3826</v>
      </c>
      <c r="I551" s="19">
        <f>I552+I553+I554</f>
        <v>3774.1</v>
      </c>
      <c r="J551" s="19">
        <f>J552+J553+J554</f>
        <v>3770.8</v>
      </c>
      <c r="K551" s="1"/>
      <c r="L551" s="1"/>
      <c r="M551" s="1"/>
      <c r="N551" s="1"/>
    </row>
    <row r="552" spans="2:14" s="53" customFormat="1" ht="26.25" customHeight="1" x14ac:dyDescent="0.2">
      <c r="B552" s="20" t="s">
        <v>22</v>
      </c>
      <c r="C552" s="21" t="s">
        <v>515</v>
      </c>
      <c r="D552" s="48" t="s">
        <v>26</v>
      </c>
      <c r="E552" s="48" t="s">
        <v>239</v>
      </c>
      <c r="F552" s="23" t="s">
        <v>529</v>
      </c>
      <c r="G552" s="48" t="s">
        <v>23</v>
      </c>
      <c r="H552" s="19">
        <f>2300.4+1031.4+19.1+51.9</f>
        <v>3402.8</v>
      </c>
      <c r="I552" s="19">
        <f>2300.4+1031.4+19.1</f>
        <v>3350.9</v>
      </c>
      <c r="J552" s="19">
        <f>2300.4+1031.4+15.8</f>
        <v>3347.6000000000004</v>
      </c>
      <c r="K552" s="1"/>
      <c r="L552" s="1"/>
      <c r="M552" s="1"/>
      <c r="N552" s="1"/>
    </row>
    <row r="553" spans="2:14" s="53" customFormat="1" ht="28.5" customHeight="1" x14ac:dyDescent="0.2">
      <c r="B553" s="20" t="s">
        <v>34</v>
      </c>
      <c r="C553" s="21" t="s">
        <v>515</v>
      </c>
      <c r="D553" s="48" t="s">
        <v>26</v>
      </c>
      <c r="E553" s="48" t="s">
        <v>239</v>
      </c>
      <c r="F553" s="23" t="s">
        <v>529</v>
      </c>
      <c r="G553" s="48" t="s">
        <v>35</v>
      </c>
      <c r="H553" s="19">
        <f>362.2+60</f>
        <v>422.2</v>
      </c>
      <c r="I553" s="19">
        <v>422.2</v>
      </c>
      <c r="J553" s="19">
        <v>422.2</v>
      </c>
      <c r="K553" s="1"/>
      <c r="L553" s="1"/>
      <c r="M553" s="1"/>
      <c r="N553" s="1"/>
    </row>
    <row r="554" spans="2:14" s="53" customFormat="1" ht="16.5" customHeight="1" x14ac:dyDescent="0.2">
      <c r="B554" s="20" t="s">
        <v>38</v>
      </c>
      <c r="C554" s="21" t="s">
        <v>515</v>
      </c>
      <c r="D554" s="48" t="s">
        <v>26</v>
      </c>
      <c r="E554" s="48" t="s">
        <v>239</v>
      </c>
      <c r="F554" s="23" t="s">
        <v>529</v>
      </c>
      <c r="G554" s="48" t="s">
        <v>39</v>
      </c>
      <c r="H554" s="19">
        <v>1</v>
      </c>
      <c r="I554" s="19">
        <v>1</v>
      </c>
      <c r="J554" s="19">
        <v>1</v>
      </c>
      <c r="K554" s="1"/>
      <c r="L554" s="1"/>
      <c r="M554" s="1"/>
      <c r="N554" s="1"/>
    </row>
    <row r="555" spans="2:14" s="59" customFormat="1" ht="15" customHeight="1" x14ac:dyDescent="0.2">
      <c r="B555" s="15" t="s">
        <v>257</v>
      </c>
      <c r="C555" s="16" t="s">
        <v>515</v>
      </c>
      <c r="D555" s="16" t="s">
        <v>69</v>
      </c>
      <c r="E555" s="16"/>
      <c r="F555" s="16"/>
      <c r="G555" s="16"/>
      <c r="H555" s="17">
        <f t="shared" ref="H555:J559" si="84">H556</f>
        <v>1080</v>
      </c>
      <c r="I555" s="17">
        <f t="shared" si="84"/>
        <v>1080</v>
      </c>
      <c r="J555" s="17">
        <f t="shared" si="84"/>
        <v>1080</v>
      </c>
    </row>
    <row r="556" spans="2:14" s="59" customFormat="1" ht="13.5" customHeight="1" x14ac:dyDescent="0.2">
      <c r="B556" s="15" t="s">
        <v>258</v>
      </c>
      <c r="C556" s="16" t="s">
        <v>515</v>
      </c>
      <c r="D556" s="16" t="s">
        <v>69</v>
      </c>
      <c r="E556" s="16" t="s">
        <v>11</v>
      </c>
      <c r="F556" s="16"/>
      <c r="G556" s="16"/>
      <c r="H556" s="17">
        <f t="shared" si="84"/>
        <v>1080</v>
      </c>
      <c r="I556" s="17">
        <f t="shared" si="84"/>
        <v>1080</v>
      </c>
      <c r="J556" s="17">
        <f t="shared" si="84"/>
        <v>1080</v>
      </c>
    </row>
    <row r="557" spans="2:14" s="75" customFormat="1" ht="39" customHeight="1" x14ac:dyDescent="0.2">
      <c r="B557" s="49" t="s">
        <v>259</v>
      </c>
      <c r="C557" s="21" t="s">
        <v>515</v>
      </c>
      <c r="D557" s="21" t="s">
        <v>69</v>
      </c>
      <c r="E557" s="21" t="s">
        <v>11</v>
      </c>
      <c r="F557" s="23" t="s">
        <v>320</v>
      </c>
      <c r="G557" s="28"/>
      <c r="H557" s="19">
        <f>H558</f>
        <v>1080</v>
      </c>
      <c r="I557" s="19">
        <f t="shared" si="84"/>
        <v>1080</v>
      </c>
      <c r="J557" s="19">
        <f t="shared" si="84"/>
        <v>1080</v>
      </c>
      <c r="K557" s="59"/>
      <c r="L557" s="59"/>
      <c r="M557" s="59"/>
      <c r="N557" s="59"/>
    </row>
    <row r="558" spans="2:14" s="75" customFormat="1" ht="13.5" customHeight="1" x14ac:dyDescent="0.2">
      <c r="B558" s="29" t="s">
        <v>16</v>
      </c>
      <c r="C558" s="21" t="s">
        <v>515</v>
      </c>
      <c r="D558" s="21" t="s">
        <v>69</v>
      </c>
      <c r="E558" s="21" t="s">
        <v>11</v>
      </c>
      <c r="F558" s="23" t="s">
        <v>321</v>
      </c>
      <c r="G558" s="28"/>
      <c r="H558" s="19">
        <f>H559</f>
        <v>1080</v>
      </c>
      <c r="I558" s="19">
        <f>I559</f>
        <v>1080</v>
      </c>
      <c r="J558" s="19">
        <f>J559</f>
        <v>1080</v>
      </c>
      <c r="K558" s="59"/>
      <c r="L558" s="59"/>
      <c r="M558" s="59"/>
      <c r="N558" s="59"/>
    </row>
    <row r="559" spans="2:14" s="75" customFormat="1" ht="37.5" customHeight="1" x14ac:dyDescent="0.2">
      <c r="B559" s="20" t="s">
        <v>322</v>
      </c>
      <c r="C559" s="21" t="s">
        <v>515</v>
      </c>
      <c r="D559" s="21" t="s">
        <v>69</v>
      </c>
      <c r="E559" s="21" t="s">
        <v>11</v>
      </c>
      <c r="F559" s="23" t="s">
        <v>323</v>
      </c>
      <c r="G559" s="28"/>
      <c r="H559" s="19">
        <f t="shared" si="84"/>
        <v>1080</v>
      </c>
      <c r="I559" s="19">
        <f t="shared" si="84"/>
        <v>1080</v>
      </c>
      <c r="J559" s="19">
        <f t="shared" si="84"/>
        <v>1080</v>
      </c>
      <c r="K559" s="59"/>
      <c r="L559" s="59"/>
      <c r="M559" s="59"/>
      <c r="N559" s="59"/>
    </row>
    <row r="560" spans="2:14" s="75" customFormat="1" ht="24" customHeight="1" x14ac:dyDescent="0.2">
      <c r="B560" s="115" t="s">
        <v>262</v>
      </c>
      <c r="C560" s="21" t="s">
        <v>515</v>
      </c>
      <c r="D560" s="21" t="s">
        <v>69</v>
      </c>
      <c r="E560" s="21" t="s">
        <v>11</v>
      </c>
      <c r="F560" s="31" t="s">
        <v>324</v>
      </c>
      <c r="G560" s="47"/>
      <c r="H560" s="19">
        <f>H561</f>
        <v>1080</v>
      </c>
      <c r="I560" s="19">
        <f>I561</f>
        <v>1080</v>
      </c>
      <c r="J560" s="19">
        <f>J561</f>
        <v>1080</v>
      </c>
      <c r="K560" s="59"/>
      <c r="L560" s="59"/>
      <c r="M560" s="59"/>
      <c r="N560" s="59"/>
    </row>
    <row r="561" spans="2:14" s="75" customFormat="1" ht="27" customHeight="1" x14ac:dyDescent="0.2">
      <c r="B561" s="41" t="s">
        <v>34</v>
      </c>
      <c r="C561" s="21" t="s">
        <v>515</v>
      </c>
      <c r="D561" s="21" t="s">
        <v>69</v>
      </c>
      <c r="E561" s="21" t="s">
        <v>11</v>
      </c>
      <c r="F561" s="31" t="s">
        <v>324</v>
      </c>
      <c r="G561" s="47" t="s">
        <v>35</v>
      </c>
      <c r="H561" s="19">
        <v>1080</v>
      </c>
      <c r="I561" s="19">
        <v>1080</v>
      </c>
      <c r="J561" s="19">
        <v>1080</v>
      </c>
      <c r="K561" s="59"/>
      <c r="L561" s="59"/>
      <c r="M561" s="59"/>
      <c r="N561" s="59"/>
    </row>
    <row r="562" spans="2:14" s="75" customFormat="1" ht="16.5" customHeight="1" x14ac:dyDescent="0.2">
      <c r="B562" s="15" t="s">
        <v>425</v>
      </c>
      <c r="C562" s="16" t="s">
        <v>515</v>
      </c>
      <c r="D562" s="16" t="s">
        <v>426</v>
      </c>
      <c r="E562" s="16"/>
      <c r="F562" s="71"/>
      <c r="G562" s="110"/>
      <c r="H562" s="17">
        <f t="shared" ref="H562:J567" si="85">H563</f>
        <v>2925.4</v>
      </c>
      <c r="I562" s="17">
        <f t="shared" si="85"/>
        <v>1116.8</v>
      </c>
      <c r="J562" s="17">
        <f t="shared" si="85"/>
        <v>1116.8</v>
      </c>
      <c r="K562" s="59"/>
      <c r="L562" s="59"/>
      <c r="M562" s="59"/>
      <c r="N562" s="59"/>
    </row>
    <row r="563" spans="2:14" s="75" customFormat="1" ht="17.25" customHeight="1" x14ac:dyDescent="0.2">
      <c r="B563" s="15" t="s">
        <v>432</v>
      </c>
      <c r="C563" s="16" t="s">
        <v>515</v>
      </c>
      <c r="D563" s="16" t="s">
        <v>426</v>
      </c>
      <c r="E563" s="16" t="s">
        <v>161</v>
      </c>
      <c r="F563" s="71"/>
      <c r="G563" s="110"/>
      <c r="H563" s="17">
        <f t="shared" si="85"/>
        <v>2925.4</v>
      </c>
      <c r="I563" s="17">
        <f t="shared" si="85"/>
        <v>1116.8</v>
      </c>
      <c r="J563" s="17">
        <f t="shared" si="85"/>
        <v>1116.8</v>
      </c>
      <c r="K563" s="59"/>
      <c r="L563" s="59"/>
      <c r="M563" s="59"/>
      <c r="N563" s="59"/>
    </row>
    <row r="564" spans="2:14" s="75" customFormat="1" ht="39" customHeight="1" x14ac:dyDescent="0.2">
      <c r="B564" s="49" t="s">
        <v>259</v>
      </c>
      <c r="C564" s="21" t="s">
        <v>515</v>
      </c>
      <c r="D564" s="21" t="s">
        <v>426</v>
      </c>
      <c r="E564" s="21" t="s">
        <v>161</v>
      </c>
      <c r="F564" s="23" t="s">
        <v>320</v>
      </c>
      <c r="G564" s="21"/>
      <c r="H564" s="19">
        <f t="shared" si="85"/>
        <v>2925.4</v>
      </c>
      <c r="I564" s="19">
        <f t="shared" si="85"/>
        <v>1116.8</v>
      </c>
      <c r="J564" s="19">
        <f t="shared" si="85"/>
        <v>1116.8</v>
      </c>
      <c r="K564" s="59"/>
      <c r="L564" s="59"/>
      <c r="M564" s="59"/>
      <c r="N564" s="59"/>
    </row>
    <row r="565" spans="2:14" s="75" customFormat="1" ht="18" customHeight="1" x14ac:dyDescent="0.2">
      <c r="B565" s="29" t="s">
        <v>16</v>
      </c>
      <c r="C565" s="21" t="s">
        <v>515</v>
      </c>
      <c r="D565" s="21" t="s">
        <v>426</v>
      </c>
      <c r="E565" s="21" t="s">
        <v>161</v>
      </c>
      <c r="F565" s="23" t="s">
        <v>321</v>
      </c>
      <c r="G565" s="21"/>
      <c r="H565" s="19">
        <f t="shared" si="85"/>
        <v>2925.4</v>
      </c>
      <c r="I565" s="19">
        <f t="shared" si="85"/>
        <v>1116.8</v>
      </c>
      <c r="J565" s="19">
        <f t="shared" si="85"/>
        <v>1116.8</v>
      </c>
      <c r="K565" s="59"/>
      <c r="L565" s="59"/>
      <c r="M565" s="59"/>
      <c r="N565" s="59"/>
    </row>
    <row r="566" spans="2:14" s="75" customFormat="1" ht="57" customHeight="1" x14ac:dyDescent="0.2">
      <c r="B566" s="20" t="s">
        <v>523</v>
      </c>
      <c r="C566" s="21" t="s">
        <v>515</v>
      </c>
      <c r="D566" s="21" t="s">
        <v>426</v>
      </c>
      <c r="E566" s="21" t="s">
        <v>161</v>
      </c>
      <c r="F566" s="23" t="s">
        <v>524</v>
      </c>
      <c r="G566" s="21"/>
      <c r="H566" s="19">
        <f t="shared" si="85"/>
        <v>2925.4</v>
      </c>
      <c r="I566" s="19">
        <f t="shared" si="85"/>
        <v>1116.8</v>
      </c>
      <c r="J566" s="19">
        <f t="shared" si="85"/>
        <v>1116.8</v>
      </c>
      <c r="K566" s="59"/>
      <c r="L566" s="59"/>
      <c r="M566" s="59"/>
      <c r="N566" s="59"/>
    </row>
    <row r="567" spans="2:14" s="75" customFormat="1" ht="67.5" customHeight="1" x14ac:dyDescent="0.2">
      <c r="B567" s="20" t="s">
        <v>525</v>
      </c>
      <c r="C567" s="21" t="s">
        <v>515</v>
      </c>
      <c r="D567" s="21" t="s">
        <v>426</v>
      </c>
      <c r="E567" s="21" t="s">
        <v>161</v>
      </c>
      <c r="F567" s="23" t="s">
        <v>526</v>
      </c>
      <c r="G567" s="21"/>
      <c r="H567" s="19">
        <f t="shared" si="85"/>
        <v>2925.4</v>
      </c>
      <c r="I567" s="19">
        <f t="shared" si="85"/>
        <v>1116.8</v>
      </c>
      <c r="J567" s="19">
        <f t="shared" si="85"/>
        <v>1116.8</v>
      </c>
      <c r="K567" s="59"/>
      <c r="L567" s="59"/>
      <c r="M567" s="59"/>
      <c r="N567" s="59"/>
    </row>
    <row r="568" spans="2:14" s="75" customFormat="1" ht="15.75" customHeight="1" x14ac:dyDescent="0.2">
      <c r="B568" s="49" t="s">
        <v>440</v>
      </c>
      <c r="C568" s="21" t="s">
        <v>515</v>
      </c>
      <c r="D568" s="21" t="s">
        <v>426</v>
      </c>
      <c r="E568" s="21" t="s">
        <v>161</v>
      </c>
      <c r="F568" s="23" t="s">
        <v>526</v>
      </c>
      <c r="G568" s="21" t="s">
        <v>431</v>
      </c>
      <c r="H568" s="19">
        <v>2925.4</v>
      </c>
      <c r="I568" s="19">
        <v>1116.8</v>
      </c>
      <c r="J568" s="19">
        <v>1116.8</v>
      </c>
      <c r="K568" s="59"/>
      <c r="L568" s="59"/>
      <c r="M568" s="59"/>
      <c r="N568" s="59"/>
    </row>
    <row r="569" spans="2:14" s="59" customFormat="1" ht="25.5" x14ac:dyDescent="0.2">
      <c r="B569" s="116" t="s">
        <v>530</v>
      </c>
      <c r="C569" s="16" t="s">
        <v>531</v>
      </c>
      <c r="D569" s="16"/>
      <c r="E569" s="16"/>
      <c r="F569" s="16"/>
      <c r="G569" s="16"/>
      <c r="H569" s="17">
        <f>H584+H693+H577+H570+H713</f>
        <v>406476.7</v>
      </c>
      <c r="I569" s="17">
        <f>I584+I693+I577+I570+I713</f>
        <v>362603.60000000003</v>
      </c>
      <c r="J569" s="17">
        <f>J584+J693+J577+J570+J713</f>
        <v>434141.4</v>
      </c>
    </row>
    <row r="570" spans="2:14" s="59" customFormat="1" x14ac:dyDescent="0.2">
      <c r="B570" s="58" t="s">
        <v>164</v>
      </c>
      <c r="C570" s="16" t="s">
        <v>531</v>
      </c>
      <c r="D570" s="16" t="s">
        <v>161</v>
      </c>
      <c r="E570" s="16"/>
      <c r="F570" s="16"/>
      <c r="G570" s="16"/>
      <c r="H570" s="17">
        <f t="shared" ref="H570:J575" si="86">H571</f>
        <v>50</v>
      </c>
      <c r="I570" s="17">
        <f t="shared" si="86"/>
        <v>50</v>
      </c>
      <c r="J570" s="17">
        <f t="shared" si="86"/>
        <v>50</v>
      </c>
    </row>
    <row r="571" spans="2:14" s="59" customFormat="1" ht="25.5" x14ac:dyDescent="0.2">
      <c r="B571" s="116" t="s">
        <v>179</v>
      </c>
      <c r="C571" s="16" t="s">
        <v>531</v>
      </c>
      <c r="D571" s="16" t="s">
        <v>161</v>
      </c>
      <c r="E571" s="16" t="s">
        <v>180</v>
      </c>
      <c r="F571" s="16"/>
      <c r="G571" s="16"/>
      <c r="H571" s="17">
        <f>H572</f>
        <v>50</v>
      </c>
      <c r="I571" s="17">
        <f t="shared" si="86"/>
        <v>50</v>
      </c>
      <c r="J571" s="17">
        <f t="shared" si="86"/>
        <v>50</v>
      </c>
    </row>
    <row r="572" spans="2:14" s="59" customFormat="1" ht="26.25" customHeight="1" x14ac:dyDescent="0.2">
      <c r="B572" s="46" t="s">
        <v>211</v>
      </c>
      <c r="C572" s="21" t="s">
        <v>531</v>
      </c>
      <c r="D572" s="21" t="s">
        <v>161</v>
      </c>
      <c r="E572" s="21" t="s">
        <v>180</v>
      </c>
      <c r="F572" s="21" t="s">
        <v>212</v>
      </c>
      <c r="G572" s="21"/>
      <c r="H572" s="19">
        <f>H573</f>
        <v>50</v>
      </c>
      <c r="I572" s="19">
        <f t="shared" si="86"/>
        <v>50</v>
      </c>
      <c r="J572" s="19">
        <f t="shared" si="86"/>
        <v>50</v>
      </c>
    </row>
    <row r="573" spans="2:14" s="59" customFormat="1" ht="17.25" customHeight="1" x14ac:dyDescent="0.2">
      <c r="B573" s="20" t="s">
        <v>16</v>
      </c>
      <c r="C573" s="21" t="s">
        <v>531</v>
      </c>
      <c r="D573" s="21" t="s">
        <v>161</v>
      </c>
      <c r="E573" s="21" t="s">
        <v>180</v>
      </c>
      <c r="F573" s="21" t="s">
        <v>213</v>
      </c>
      <c r="G573" s="21"/>
      <c r="H573" s="19">
        <f>H574</f>
        <v>50</v>
      </c>
      <c r="I573" s="19">
        <f t="shared" si="86"/>
        <v>50</v>
      </c>
      <c r="J573" s="19">
        <f t="shared" si="86"/>
        <v>50</v>
      </c>
    </row>
    <row r="574" spans="2:14" s="59" customFormat="1" ht="26.25" customHeight="1" x14ac:dyDescent="0.2">
      <c r="B574" s="76" t="s">
        <v>234</v>
      </c>
      <c r="C574" s="21" t="s">
        <v>531</v>
      </c>
      <c r="D574" s="21" t="s">
        <v>161</v>
      </c>
      <c r="E574" s="21" t="s">
        <v>180</v>
      </c>
      <c r="F574" s="21" t="s">
        <v>235</v>
      </c>
      <c r="G574" s="21"/>
      <c r="H574" s="19">
        <f>H575</f>
        <v>50</v>
      </c>
      <c r="I574" s="19">
        <f t="shared" si="86"/>
        <v>50</v>
      </c>
      <c r="J574" s="19">
        <f t="shared" si="86"/>
        <v>50</v>
      </c>
    </row>
    <row r="575" spans="2:14" s="59" customFormat="1" ht="26.25" customHeight="1" x14ac:dyDescent="0.2">
      <c r="B575" s="76" t="s">
        <v>532</v>
      </c>
      <c r="C575" s="21" t="s">
        <v>531</v>
      </c>
      <c r="D575" s="21" t="s">
        <v>161</v>
      </c>
      <c r="E575" s="21" t="s">
        <v>180</v>
      </c>
      <c r="F575" s="23" t="s">
        <v>533</v>
      </c>
      <c r="G575" s="21"/>
      <c r="H575" s="19">
        <f>H576</f>
        <v>50</v>
      </c>
      <c r="I575" s="19">
        <f t="shared" si="86"/>
        <v>50</v>
      </c>
      <c r="J575" s="19">
        <f t="shared" si="86"/>
        <v>50</v>
      </c>
    </row>
    <row r="576" spans="2:14" s="59" customFormat="1" ht="26.25" customHeight="1" x14ac:dyDescent="0.2">
      <c r="B576" s="20" t="s">
        <v>34</v>
      </c>
      <c r="C576" s="21" t="s">
        <v>531</v>
      </c>
      <c r="D576" s="21" t="s">
        <v>161</v>
      </c>
      <c r="E576" s="21" t="s">
        <v>180</v>
      </c>
      <c r="F576" s="23" t="s">
        <v>533</v>
      </c>
      <c r="G576" s="21" t="s">
        <v>35</v>
      </c>
      <c r="H576" s="19">
        <v>50</v>
      </c>
      <c r="I576" s="19">
        <v>50</v>
      </c>
      <c r="J576" s="19">
        <v>50</v>
      </c>
    </row>
    <row r="577" spans="2:14" s="59" customFormat="1" x14ac:dyDescent="0.2">
      <c r="B577" s="116" t="s">
        <v>363</v>
      </c>
      <c r="C577" s="16" t="s">
        <v>531</v>
      </c>
      <c r="D577" s="16" t="s">
        <v>364</v>
      </c>
      <c r="E577" s="16"/>
      <c r="F577" s="16"/>
      <c r="G577" s="16"/>
      <c r="H577" s="17">
        <f t="shared" ref="H577:J582" si="87">H578</f>
        <v>30</v>
      </c>
      <c r="I577" s="17">
        <f t="shared" si="87"/>
        <v>30</v>
      </c>
      <c r="J577" s="17">
        <f t="shared" si="87"/>
        <v>30</v>
      </c>
    </row>
    <row r="578" spans="2:14" s="59" customFormat="1" x14ac:dyDescent="0.2">
      <c r="B578" s="116" t="s">
        <v>365</v>
      </c>
      <c r="C578" s="16" t="s">
        <v>531</v>
      </c>
      <c r="D578" s="16" t="s">
        <v>364</v>
      </c>
      <c r="E578" s="16" t="s">
        <v>69</v>
      </c>
      <c r="F578" s="16"/>
      <c r="G578" s="16"/>
      <c r="H578" s="17">
        <f t="shared" si="87"/>
        <v>30</v>
      </c>
      <c r="I578" s="17">
        <f t="shared" si="87"/>
        <v>30</v>
      </c>
      <c r="J578" s="17">
        <f t="shared" si="87"/>
        <v>30</v>
      </c>
    </row>
    <row r="579" spans="2:14" s="1" customFormat="1" ht="29.25" customHeight="1" x14ac:dyDescent="0.2">
      <c r="B579" s="20" t="s">
        <v>366</v>
      </c>
      <c r="C579" s="21" t="s">
        <v>531</v>
      </c>
      <c r="D579" s="21" t="s">
        <v>364</v>
      </c>
      <c r="E579" s="21" t="s">
        <v>69</v>
      </c>
      <c r="F579" s="21" t="s">
        <v>62</v>
      </c>
      <c r="G579" s="21"/>
      <c r="H579" s="19">
        <f>H580</f>
        <v>30</v>
      </c>
      <c r="I579" s="19">
        <f t="shared" si="87"/>
        <v>30</v>
      </c>
      <c r="J579" s="19">
        <f t="shared" si="87"/>
        <v>30</v>
      </c>
    </row>
    <row r="580" spans="2:14" s="1" customFormat="1" ht="14.25" customHeight="1" x14ac:dyDescent="0.2">
      <c r="B580" s="38" t="s">
        <v>16</v>
      </c>
      <c r="C580" s="21"/>
      <c r="D580" s="21"/>
      <c r="E580" s="21"/>
      <c r="F580" s="21" t="s">
        <v>63</v>
      </c>
      <c r="G580" s="21"/>
      <c r="H580" s="19">
        <f>H581</f>
        <v>30</v>
      </c>
      <c r="I580" s="19">
        <f>I581</f>
        <v>30</v>
      </c>
      <c r="J580" s="19">
        <f>J581</f>
        <v>30</v>
      </c>
    </row>
    <row r="581" spans="2:14" s="1" customFormat="1" ht="25.5" x14ac:dyDescent="0.2">
      <c r="B581" s="33" t="s">
        <v>376</v>
      </c>
      <c r="C581" s="21" t="s">
        <v>531</v>
      </c>
      <c r="D581" s="21" t="s">
        <v>364</v>
      </c>
      <c r="E581" s="21" t="s">
        <v>69</v>
      </c>
      <c r="F581" s="23" t="s">
        <v>377</v>
      </c>
      <c r="G581" s="21"/>
      <c r="H581" s="19">
        <f t="shared" si="87"/>
        <v>30</v>
      </c>
      <c r="I581" s="19">
        <f t="shared" si="87"/>
        <v>30</v>
      </c>
      <c r="J581" s="19">
        <f t="shared" si="87"/>
        <v>30</v>
      </c>
    </row>
    <row r="582" spans="2:14" s="1" customFormat="1" x14ac:dyDescent="0.2">
      <c r="B582" s="117" t="s">
        <v>378</v>
      </c>
      <c r="C582" s="21" t="s">
        <v>531</v>
      </c>
      <c r="D582" s="21" t="s">
        <v>364</v>
      </c>
      <c r="E582" s="21" t="s">
        <v>69</v>
      </c>
      <c r="F582" s="23" t="s">
        <v>379</v>
      </c>
      <c r="G582" s="21"/>
      <c r="H582" s="19">
        <f t="shared" si="87"/>
        <v>30</v>
      </c>
      <c r="I582" s="19">
        <f t="shared" si="87"/>
        <v>30</v>
      </c>
      <c r="J582" s="19">
        <f t="shared" si="87"/>
        <v>30</v>
      </c>
    </row>
    <row r="583" spans="2:14" s="1" customFormat="1" x14ac:dyDescent="0.2">
      <c r="B583" s="88" t="s">
        <v>100</v>
      </c>
      <c r="C583" s="21" t="s">
        <v>531</v>
      </c>
      <c r="D583" s="21" t="s">
        <v>364</v>
      </c>
      <c r="E583" s="21" t="s">
        <v>69</v>
      </c>
      <c r="F583" s="23" t="s">
        <v>379</v>
      </c>
      <c r="G583" s="21" t="s">
        <v>101</v>
      </c>
      <c r="H583" s="19">
        <v>30</v>
      </c>
      <c r="I583" s="19">
        <v>30</v>
      </c>
      <c r="J583" s="19">
        <v>30</v>
      </c>
    </row>
    <row r="584" spans="2:14" s="1" customFormat="1" x14ac:dyDescent="0.2">
      <c r="B584" s="58" t="s">
        <v>534</v>
      </c>
      <c r="C584" s="16" t="s">
        <v>531</v>
      </c>
      <c r="D584" s="16" t="s">
        <v>382</v>
      </c>
      <c r="E584" s="16"/>
      <c r="F584" s="16"/>
      <c r="G584" s="16"/>
      <c r="H584" s="17">
        <f>H585+H602+H668+H653</f>
        <v>404301.4</v>
      </c>
      <c r="I584" s="17">
        <f>I585+I602+I668+I653</f>
        <v>361062.00000000006</v>
      </c>
      <c r="J584" s="17">
        <f>J585+J602+J668+J653</f>
        <v>432599.80000000005</v>
      </c>
    </row>
    <row r="585" spans="2:14" s="1" customFormat="1" ht="12" customHeight="1" x14ac:dyDescent="0.2">
      <c r="B585" s="15" t="s">
        <v>535</v>
      </c>
      <c r="C585" s="16" t="s">
        <v>531</v>
      </c>
      <c r="D585" s="16" t="s">
        <v>382</v>
      </c>
      <c r="E585" s="16" t="s">
        <v>11</v>
      </c>
      <c r="F585" s="16"/>
      <c r="G585" s="16"/>
      <c r="H585" s="17">
        <f>H586</f>
        <v>92664.4</v>
      </c>
      <c r="I585" s="17">
        <f>I586</f>
        <v>93179.199999999997</v>
      </c>
      <c r="J585" s="17">
        <f>J586</f>
        <v>93179.199999999997</v>
      </c>
    </row>
    <row r="586" spans="2:14" s="53" customFormat="1" ht="26.25" customHeight="1" x14ac:dyDescent="0.2">
      <c r="B586" s="49" t="s">
        <v>202</v>
      </c>
      <c r="C586" s="21" t="s">
        <v>531</v>
      </c>
      <c r="D586" s="21" t="s">
        <v>382</v>
      </c>
      <c r="E586" s="21" t="s">
        <v>11</v>
      </c>
      <c r="F586" s="23" t="s">
        <v>203</v>
      </c>
      <c r="G586" s="21"/>
      <c r="H586" s="19">
        <f>H587+H593</f>
        <v>92664.4</v>
      </c>
      <c r="I586" s="19">
        <f>I587+I593</f>
        <v>93179.199999999997</v>
      </c>
      <c r="J586" s="19">
        <f>J587+J593</f>
        <v>93179.199999999997</v>
      </c>
      <c r="K586" s="1"/>
      <c r="L586" s="1"/>
      <c r="M586" s="1"/>
      <c r="N586" s="1"/>
    </row>
    <row r="587" spans="2:14" s="53" customFormat="1" ht="18" customHeight="1" x14ac:dyDescent="0.2">
      <c r="B587" s="92" t="s">
        <v>48</v>
      </c>
      <c r="C587" s="21" t="s">
        <v>531</v>
      </c>
      <c r="D587" s="21" t="s">
        <v>382</v>
      </c>
      <c r="E587" s="21" t="s">
        <v>11</v>
      </c>
      <c r="F587" s="31" t="s">
        <v>384</v>
      </c>
      <c r="G587" s="21"/>
      <c r="H587" s="94">
        <f>H588</f>
        <v>348.9</v>
      </c>
      <c r="I587" s="94">
        <f>I588</f>
        <v>96.3</v>
      </c>
      <c r="J587" s="94">
        <f>J588</f>
        <v>96.3</v>
      </c>
      <c r="K587" s="1"/>
      <c r="L587" s="1"/>
      <c r="M587" s="1"/>
      <c r="N587" s="1"/>
    </row>
    <row r="588" spans="2:14" s="53" customFormat="1" ht="26.25" customHeight="1" x14ac:dyDescent="0.2">
      <c r="B588" s="41" t="s">
        <v>385</v>
      </c>
      <c r="C588" s="21" t="s">
        <v>531</v>
      </c>
      <c r="D588" s="21" t="s">
        <v>382</v>
      </c>
      <c r="E588" s="21" t="s">
        <v>11</v>
      </c>
      <c r="F588" s="31" t="s">
        <v>386</v>
      </c>
      <c r="G588" s="21"/>
      <c r="H588" s="94">
        <f>H591+H589</f>
        <v>348.9</v>
      </c>
      <c r="I588" s="94">
        <f>I591+I589</f>
        <v>96.3</v>
      </c>
      <c r="J588" s="94">
        <f>J591+J589</f>
        <v>96.3</v>
      </c>
      <c r="K588" s="1"/>
      <c r="L588" s="1"/>
      <c r="M588" s="1"/>
      <c r="N588" s="1"/>
    </row>
    <row r="589" spans="2:14" s="53" customFormat="1" ht="54" customHeight="1" x14ac:dyDescent="0.2">
      <c r="B589" s="72" t="s">
        <v>536</v>
      </c>
      <c r="C589" s="21" t="s">
        <v>531</v>
      </c>
      <c r="D589" s="21" t="s">
        <v>382</v>
      </c>
      <c r="E589" s="21" t="s">
        <v>11</v>
      </c>
      <c r="F589" s="93" t="s">
        <v>537</v>
      </c>
      <c r="G589" s="21"/>
      <c r="H589" s="94">
        <f>H590</f>
        <v>252.6</v>
      </c>
      <c r="I589" s="94">
        <f>I590</f>
        <v>0</v>
      </c>
      <c r="J589" s="94">
        <f>J590</f>
        <v>0</v>
      </c>
      <c r="K589" s="1"/>
      <c r="L589" s="1"/>
      <c r="M589" s="1"/>
      <c r="N589" s="1"/>
    </row>
    <row r="590" spans="2:14" s="53" customFormat="1" ht="16.5" customHeight="1" x14ac:dyDescent="0.2">
      <c r="B590" s="66" t="s">
        <v>100</v>
      </c>
      <c r="C590" s="21" t="s">
        <v>531</v>
      </c>
      <c r="D590" s="21" t="s">
        <v>382</v>
      </c>
      <c r="E590" s="21" t="s">
        <v>11</v>
      </c>
      <c r="F590" s="93" t="s">
        <v>537</v>
      </c>
      <c r="G590" s="21" t="s">
        <v>101</v>
      </c>
      <c r="H590" s="94">
        <f>245+7.6</f>
        <v>252.6</v>
      </c>
      <c r="I590" s="94">
        <v>0</v>
      </c>
      <c r="J590" s="94">
        <v>0</v>
      </c>
      <c r="K590" s="1"/>
      <c r="L590" s="1"/>
      <c r="M590" s="1"/>
      <c r="N590" s="1"/>
    </row>
    <row r="591" spans="2:14" s="53" customFormat="1" ht="54.75" customHeight="1" x14ac:dyDescent="0.2">
      <c r="B591" s="72" t="s">
        <v>538</v>
      </c>
      <c r="C591" s="21" t="s">
        <v>531</v>
      </c>
      <c r="D591" s="21" t="s">
        <v>382</v>
      </c>
      <c r="E591" s="21" t="s">
        <v>11</v>
      </c>
      <c r="F591" s="93" t="s">
        <v>539</v>
      </c>
      <c r="G591" s="21"/>
      <c r="H591" s="94">
        <f>H592</f>
        <v>96.3</v>
      </c>
      <c r="I591" s="94">
        <f>I592</f>
        <v>96.3</v>
      </c>
      <c r="J591" s="94">
        <f>J592</f>
        <v>96.3</v>
      </c>
      <c r="K591" s="1"/>
      <c r="L591" s="1"/>
      <c r="M591" s="1"/>
      <c r="N591" s="1"/>
    </row>
    <row r="592" spans="2:14" s="53" customFormat="1" ht="15" customHeight="1" x14ac:dyDescent="0.2">
      <c r="B592" s="66" t="s">
        <v>100</v>
      </c>
      <c r="C592" s="21" t="s">
        <v>531</v>
      </c>
      <c r="D592" s="21" t="s">
        <v>382</v>
      </c>
      <c r="E592" s="21" t="s">
        <v>11</v>
      </c>
      <c r="F592" s="93" t="s">
        <v>539</v>
      </c>
      <c r="G592" s="21" t="s">
        <v>101</v>
      </c>
      <c r="H592" s="94">
        <f>77+19.3</f>
        <v>96.3</v>
      </c>
      <c r="I592" s="94">
        <f>77+19.3</f>
        <v>96.3</v>
      </c>
      <c r="J592" s="94">
        <f>77+19.3</f>
        <v>96.3</v>
      </c>
      <c r="K592" s="1"/>
      <c r="L592" s="1"/>
      <c r="M592" s="1"/>
      <c r="N592" s="1"/>
    </row>
    <row r="593" spans="2:14" s="53" customFormat="1" ht="18" customHeight="1" x14ac:dyDescent="0.2">
      <c r="B593" s="20" t="s">
        <v>16</v>
      </c>
      <c r="C593" s="21" t="s">
        <v>531</v>
      </c>
      <c r="D593" s="21" t="s">
        <v>382</v>
      </c>
      <c r="E593" s="21" t="s">
        <v>11</v>
      </c>
      <c r="F593" s="23" t="s">
        <v>204</v>
      </c>
      <c r="G593" s="21"/>
      <c r="H593" s="19">
        <f>H594</f>
        <v>92315.5</v>
      </c>
      <c r="I593" s="19">
        <f>I594</f>
        <v>93082.9</v>
      </c>
      <c r="J593" s="19">
        <f>J594</f>
        <v>93082.9</v>
      </c>
      <c r="K593" s="1"/>
      <c r="L593" s="1"/>
      <c r="M593" s="1"/>
      <c r="N593" s="1"/>
    </row>
    <row r="594" spans="2:14" s="53" customFormat="1" ht="26.25" customHeight="1" x14ac:dyDescent="0.2">
      <c r="B594" s="20" t="s">
        <v>540</v>
      </c>
      <c r="C594" s="21" t="s">
        <v>531</v>
      </c>
      <c r="D594" s="21" t="s">
        <v>382</v>
      </c>
      <c r="E594" s="21" t="s">
        <v>11</v>
      </c>
      <c r="F594" s="23" t="s">
        <v>541</v>
      </c>
      <c r="G594" s="21"/>
      <c r="H594" s="19">
        <f>H595+H597</f>
        <v>92315.5</v>
      </c>
      <c r="I594" s="19">
        <f>I595+I597</f>
        <v>93082.9</v>
      </c>
      <c r="J594" s="19">
        <f>J595+J597</f>
        <v>93082.9</v>
      </c>
      <c r="K594" s="1"/>
      <c r="L594" s="1"/>
      <c r="M594" s="1"/>
      <c r="N594" s="1"/>
    </row>
    <row r="595" spans="2:14" s="53" customFormat="1" ht="27.75" customHeight="1" x14ac:dyDescent="0.2">
      <c r="B595" s="92" t="s">
        <v>542</v>
      </c>
      <c r="C595" s="21" t="s">
        <v>531</v>
      </c>
      <c r="D595" s="21" t="s">
        <v>382</v>
      </c>
      <c r="E595" s="21" t="s">
        <v>11</v>
      </c>
      <c r="F595" s="23" t="s">
        <v>543</v>
      </c>
      <c r="G595" s="21"/>
      <c r="H595" s="19">
        <f>H596</f>
        <v>67305.2</v>
      </c>
      <c r="I595" s="19">
        <f>I596</f>
        <v>67305.2</v>
      </c>
      <c r="J595" s="19">
        <f>J596</f>
        <v>67305.2</v>
      </c>
      <c r="K595" s="1"/>
      <c r="L595" s="1"/>
      <c r="M595" s="1"/>
      <c r="N595" s="1"/>
    </row>
    <row r="596" spans="2:14" s="53" customFormat="1" ht="14.25" customHeight="1" x14ac:dyDescent="0.2">
      <c r="B596" s="118" t="s">
        <v>100</v>
      </c>
      <c r="C596" s="21" t="s">
        <v>531</v>
      </c>
      <c r="D596" s="21" t="s">
        <v>382</v>
      </c>
      <c r="E596" s="21" t="s">
        <v>11</v>
      </c>
      <c r="F596" s="23" t="s">
        <v>543</v>
      </c>
      <c r="G596" s="21" t="s">
        <v>101</v>
      </c>
      <c r="H596" s="19">
        <f>66981.8+323.4</f>
        <v>67305.2</v>
      </c>
      <c r="I596" s="19">
        <f>66981.8+323.4</f>
        <v>67305.2</v>
      </c>
      <c r="J596" s="57">
        <f>66981.8+323.4</f>
        <v>67305.2</v>
      </c>
      <c r="K596" s="1"/>
      <c r="L596" s="1"/>
      <c r="M596" s="1"/>
      <c r="N596" s="1"/>
    </row>
    <row r="597" spans="2:14" s="53" customFormat="1" ht="14.25" customHeight="1" x14ac:dyDescent="0.2">
      <c r="B597" s="92" t="s">
        <v>544</v>
      </c>
      <c r="C597" s="21" t="s">
        <v>531</v>
      </c>
      <c r="D597" s="21" t="s">
        <v>382</v>
      </c>
      <c r="E597" s="21" t="s">
        <v>11</v>
      </c>
      <c r="F597" s="23" t="s">
        <v>545</v>
      </c>
      <c r="G597" s="21"/>
      <c r="H597" s="19">
        <f>H598</f>
        <v>25010.300000000003</v>
      </c>
      <c r="I597" s="19">
        <f>I598</f>
        <v>25777.7</v>
      </c>
      <c r="J597" s="19">
        <f>J598</f>
        <v>25777.7</v>
      </c>
      <c r="K597" s="1"/>
      <c r="L597" s="1"/>
      <c r="M597" s="1"/>
      <c r="N597" s="1"/>
    </row>
    <row r="598" spans="2:14" s="53" customFormat="1" ht="15.75" customHeight="1" x14ac:dyDescent="0.2">
      <c r="B598" s="118" t="s">
        <v>100</v>
      </c>
      <c r="C598" s="21" t="s">
        <v>531</v>
      </c>
      <c r="D598" s="21" t="s">
        <v>382</v>
      </c>
      <c r="E598" s="21" t="s">
        <v>11</v>
      </c>
      <c r="F598" s="23" t="s">
        <v>545</v>
      </c>
      <c r="G598" s="21" t="s">
        <v>101</v>
      </c>
      <c r="H598" s="19">
        <f>27912.4-243-2659.1</f>
        <v>25010.300000000003</v>
      </c>
      <c r="I598" s="19">
        <f>27912.4-2134.7</f>
        <v>25777.7</v>
      </c>
      <c r="J598" s="19">
        <f>27912.4-2134.7</f>
        <v>25777.7</v>
      </c>
      <c r="K598" s="1"/>
      <c r="L598" s="1"/>
      <c r="M598" s="1"/>
      <c r="N598" s="1"/>
    </row>
    <row r="599" spans="2:14" s="53" customFormat="1" ht="39.75" hidden="1" customHeight="1" x14ac:dyDescent="0.2">
      <c r="B599" s="49" t="s">
        <v>546</v>
      </c>
      <c r="C599" s="21" t="s">
        <v>531</v>
      </c>
      <c r="D599" s="21" t="s">
        <v>382</v>
      </c>
      <c r="E599" s="21" t="s">
        <v>11</v>
      </c>
      <c r="F599" s="23" t="s">
        <v>547</v>
      </c>
      <c r="G599" s="21"/>
      <c r="H599" s="19">
        <f t="shared" ref="H599:J600" si="88">H600</f>
        <v>0</v>
      </c>
      <c r="I599" s="19">
        <f t="shared" si="88"/>
        <v>0</v>
      </c>
      <c r="J599" s="19">
        <f t="shared" si="88"/>
        <v>0</v>
      </c>
      <c r="K599" s="1"/>
      <c r="L599" s="1"/>
      <c r="M599" s="1"/>
      <c r="N599" s="1"/>
    </row>
    <row r="600" spans="2:14" s="53" customFormat="1" ht="15.75" hidden="1" customHeight="1" x14ac:dyDescent="0.2">
      <c r="B600" s="38" t="s">
        <v>544</v>
      </c>
      <c r="C600" s="21" t="s">
        <v>531</v>
      </c>
      <c r="D600" s="21" t="s">
        <v>382</v>
      </c>
      <c r="E600" s="21" t="s">
        <v>11</v>
      </c>
      <c r="F600" s="23" t="s">
        <v>548</v>
      </c>
      <c r="G600" s="21"/>
      <c r="H600" s="19">
        <f t="shared" si="88"/>
        <v>0</v>
      </c>
      <c r="I600" s="19">
        <f t="shared" si="88"/>
        <v>0</v>
      </c>
      <c r="J600" s="19">
        <f t="shared" si="88"/>
        <v>0</v>
      </c>
      <c r="K600" s="1"/>
      <c r="L600" s="1"/>
      <c r="M600" s="1"/>
      <c r="N600" s="1"/>
    </row>
    <row r="601" spans="2:14" s="53" customFormat="1" ht="16.5" hidden="1" customHeight="1" x14ac:dyDescent="0.2">
      <c r="B601" s="49" t="s">
        <v>100</v>
      </c>
      <c r="C601" s="21" t="s">
        <v>531</v>
      </c>
      <c r="D601" s="21" t="s">
        <v>382</v>
      </c>
      <c r="E601" s="21" t="s">
        <v>11</v>
      </c>
      <c r="F601" s="23" t="s">
        <v>548</v>
      </c>
      <c r="G601" s="21" t="s">
        <v>101</v>
      </c>
      <c r="H601" s="19">
        <v>0</v>
      </c>
      <c r="I601" s="19">
        <v>0</v>
      </c>
      <c r="J601" s="19">
        <v>0</v>
      </c>
      <c r="K601" s="1"/>
      <c r="L601" s="1"/>
      <c r="M601" s="1"/>
      <c r="N601" s="1"/>
    </row>
    <row r="602" spans="2:14" s="59" customFormat="1" ht="13.5" customHeight="1" x14ac:dyDescent="0.2">
      <c r="B602" s="15" t="s">
        <v>383</v>
      </c>
      <c r="C602" s="16" t="s">
        <v>531</v>
      </c>
      <c r="D602" s="16" t="s">
        <v>382</v>
      </c>
      <c r="E602" s="16" t="s">
        <v>13</v>
      </c>
      <c r="F602" s="16"/>
      <c r="G602" s="16"/>
      <c r="H602" s="17">
        <f>H603</f>
        <v>283971.60000000003</v>
      </c>
      <c r="I602" s="17">
        <f>I603</f>
        <v>242793.40000000002</v>
      </c>
      <c r="J602" s="17">
        <f>J603</f>
        <v>314331.2</v>
      </c>
    </row>
    <row r="603" spans="2:14" s="53" customFormat="1" ht="26.25" customHeight="1" x14ac:dyDescent="0.2">
      <c r="B603" s="49" t="s">
        <v>202</v>
      </c>
      <c r="C603" s="21" t="s">
        <v>531</v>
      </c>
      <c r="D603" s="21" t="s">
        <v>382</v>
      </c>
      <c r="E603" s="21" t="s">
        <v>13</v>
      </c>
      <c r="F603" s="23" t="s">
        <v>203</v>
      </c>
      <c r="G603" s="21"/>
      <c r="H603" s="19">
        <f>H604+H623+H639</f>
        <v>283971.60000000003</v>
      </c>
      <c r="I603" s="19">
        <f>I604+I623+I639</f>
        <v>242793.40000000002</v>
      </c>
      <c r="J603" s="19">
        <f>J604+J623+J639</f>
        <v>314331.2</v>
      </c>
      <c r="K603" s="1"/>
      <c r="L603" s="1"/>
      <c r="M603" s="1"/>
      <c r="N603" s="1"/>
    </row>
    <row r="604" spans="2:14" s="53" customFormat="1" ht="20.25" customHeight="1" x14ac:dyDescent="0.2">
      <c r="B604" s="92" t="s">
        <v>266</v>
      </c>
      <c r="C604" s="21" t="s">
        <v>531</v>
      </c>
      <c r="D604" s="21" t="s">
        <v>382</v>
      </c>
      <c r="E604" s="21" t="s">
        <v>13</v>
      </c>
      <c r="F604" s="23" t="s">
        <v>549</v>
      </c>
      <c r="G604" s="21"/>
      <c r="H604" s="19">
        <f>H605+H616</f>
        <v>77104.600000000006</v>
      </c>
      <c r="I604" s="19">
        <f>I605+I616</f>
        <v>41772.300000000003</v>
      </c>
      <c r="J604" s="19">
        <f>J605+J616</f>
        <v>115598.70000000001</v>
      </c>
      <c r="K604" s="1"/>
      <c r="L604" s="1"/>
      <c r="M604" s="1"/>
      <c r="N604" s="1"/>
    </row>
    <row r="605" spans="2:14" s="53" customFormat="1" ht="30.75" customHeight="1" x14ac:dyDescent="0.2">
      <c r="B605" s="92" t="s">
        <v>550</v>
      </c>
      <c r="C605" s="21" t="s">
        <v>531</v>
      </c>
      <c r="D605" s="21" t="s">
        <v>382</v>
      </c>
      <c r="E605" s="21" t="s">
        <v>13</v>
      </c>
      <c r="F605" s="31" t="s">
        <v>551</v>
      </c>
      <c r="G605" s="21"/>
      <c r="H605" s="19">
        <f>H608+H610+H614+H606+H612</f>
        <v>60720.1</v>
      </c>
      <c r="I605" s="19">
        <f t="shared" ref="I605:J605" si="89">I608+I610+I614+I606+I612</f>
        <v>25376.3</v>
      </c>
      <c r="J605" s="19">
        <f t="shared" si="89"/>
        <v>98711.3</v>
      </c>
      <c r="K605" s="1"/>
      <c r="L605" s="1"/>
      <c r="M605" s="1"/>
      <c r="N605" s="1"/>
    </row>
    <row r="606" spans="2:14" s="53" customFormat="1" ht="39" customHeight="1" x14ac:dyDescent="0.2">
      <c r="B606" s="92" t="s">
        <v>552</v>
      </c>
      <c r="C606" s="21" t="s">
        <v>531</v>
      </c>
      <c r="D606" s="21" t="s">
        <v>382</v>
      </c>
      <c r="E606" s="21" t="s">
        <v>13</v>
      </c>
      <c r="F606" s="31" t="s">
        <v>553</v>
      </c>
      <c r="G606" s="21"/>
      <c r="H606" s="19">
        <f>H607</f>
        <v>196.60000000000002</v>
      </c>
      <c r="I606" s="19">
        <f t="shared" ref="I606:J606" si="90">I607</f>
        <v>0</v>
      </c>
      <c r="J606" s="19">
        <f t="shared" si="90"/>
        <v>0</v>
      </c>
      <c r="K606" s="1"/>
      <c r="L606" s="1"/>
      <c r="M606" s="1"/>
      <c r="N606" s="1"/>
    </row>
    <row r="607" spans="2:14" s="53" customFormat="1" ht="14.25" customHeight="1" x14ac:dyDescent="0.2">
      <c r="B607" s="118" t="s">
        <v>100</v>
      </c>
      <c r="C607" s="21" t="s">
        <v>531</v>
      </c>
      <c r="D607" s="21" t="s">
        <v>382</v>
      </c>
      <c r="E607" s="21" t="s">
        <v>13</v>
      </c>
      <c r="F607" s="31" t="s">
        <v>553</v>
      </c>
      <c r="G607" s="21" t="s">
        <v>101</v>
      </c>
      <c r="H607" s="19">
        <f>184.8+11.8</f>
        <v>196.60000000000002</v>
      </c>
      <c r="I607" s="19">
        <v>0</v>
      </c>
      <c r="J607" s="57">
        <v>0</v>
      </c>
      <c r="K607" s="1"/>
      <c r="L607" s="1"/>
      <c r="M607" s="1"/>
      <c r="N607" s="1"/>
    </row>
    <row r="608" spans="2:14" s="53" customFormat="1" ht="18" customHeight="1" x14ac:dyDescent="0.2">
      <c r="B608" s="92" t="s">
        <v>554</v>
      </c>
      <c r="C608" s="21" t="s">
        <v>531</v>
      </c>
      <c r="D608" s="21" t="s">
        <v>382</v>
      </c>
      <c r="E608" s="21" t="s">
        <v>13</v>
      </c>
      <c r="F608" s="31" t="s">
        <v>555</v>
      </c>
      <c r="G608" s="21"/>
      <c r="H608" s="19">
        <f>H609</f>
        <v>49187.8</v>
      </c>
      <c r="I608" s="19">
        <f>I609</f>
        <v>-3.638200851696638E-13</v>
      </c>
      <c r="J608" s="19">
        <f>J609</f>
        <v>0</v>
      </c>
      <c r="K608" s="1"/>
      <c r="L608" s="1"/>
      <c r="M608" s="1"/>
      <c r="N608" s="1"/>
    </row>
    <row r="609" spans="2:14" s="53" customFormat="1" ht="16.5" customHeight="1" x14ac:dyDescent="0.2">
      <c r="B609" s="118" t="s">
        <v>100</v>
      </c>
      <c r="C609" s="21" t="s">
        <v>531</v>
      </c>
      <c r="D609" s="21" t="s">
        <v>382</v>
      </c>
      <c r="E609" s="21" t="s">
        <v>13</v>
      </c>
      <c r="F609" s="31" t="s">
        <v>555</v>
      </c>
      <c r="G609" s="21" t="s">
        <v>101</v>
      </c>
      <c r="H609" s="19">
        <f>12294.5+2.5+36883.4+7.4</f>
        <v>49187.8</v>
      </c>
      <c r="I609" s="19">
        <f>4303+0.9-4303-0.9</f>
        <v>-3.638200851696638E-13</v>
      </c>
      <c r="J609" s="19">
        <v>0</v>
      </c>
      <c r="K609" s="1"/>
      <c r="L609" s="1"/>
      <c r="M609" s="1"/>
      <c r="N609" s="1"/>
    </row>
    <row r="610" spans="2:14" s="53" customFormat="1" ht="54" customHeight="1" x14ac:dyDescent="0.2">
      <c r="B610" s="92" t="s">
        <v>556</v>
      </c>
      <c r="C610" s="21" t="s">
        <v>531</v>
      </c>
      <c r="D610" s="21" t="s">
        <v>382</v>
      </c>
      <c r="E610" s="21" t="s">
        <v>13</v>
      </c>
      <c r="F610" s="31" t="s">
        <v>557</v>
      </c>
      <c r="G610" s="21"/>
      <c r="H610" s="19">
        <f>H611</f>
        <v>11335.7</v>
      </c>
      <c r="I610" s="19">
        <f>I611</f>
        <v>13079.5</v>
      </c>
      <c r="J610" s="19">
        <f>J611</f>
        <v>13284</v>
      </c>
      <c r="K610" s="1"/>
      <c r="L610" s="1"/>
      <c r="M610" s="1"/>
      <c r="N610" s="1"/>
    </row>
    <row r="611" spans="2:14" s="53" customFormat="1" ht="14.25" customHeight="1" x14ac:dyDescent="0.2">
      <c r="B611" s="118" t="s">
        <v>100</v>
      </c>
      <c r="C611" s="21" t="s">
        <v>531</v>
      </c>
      <c r="D611" s="21" t="s">
        <v>382</v>
      </c>
      <c r="E611" s="21" t="s">
        <v>13</v>
      </c>
      <c r="F611" s="31" t="s">
        <v>557</v>
      </c>
      <c r="G611" s="21" t="s">
        <v>101</v>
      </c>
      <c r="H611" s="19">
        <f>2833.3+0.6+8500.1+1.7</f>
        <v>11335.7</v>
      </c>
      <c r="I611" s="19">
        <f>4576.9+0.9+8500+1.7</f>
        <v>13079.5</v>
      </c>
      <c r="J611" s="57">
        <f>13281.3+2.7</f>
        <v>13284</v>
      </c>
      <c r="K611" s="1"/>
      <c r="L611" s="1"/>
      <c r="M611" s="1"/>
      <c r="N611" s="1"/>
    </row>
    <row r="612" spans="2:14" s="53" customFormat="1" ht="25.5" customHeight="1" x14ac:dyDescent="0.2">
      <c r="B612" s="119" t="s">
        <v>558</v>
      </c>
      <c r="C612" s="21" t="s">
        <v>531</v>
      </c>
      <c r="D612" s="21" t="s">
        <v>382</v>
      </c>
      <c r="E612" s="21" t="s">
        <v>13</v>
      </c>
      <c r="F612" s="31" t="s">
        <v>559</v>
      </c>
      <c r="G612" s="21"/>
      <c r="H612" s="19">
        <f>H613</f>
        <v>0</v>
      </c>
      <c r="I612" s="19">
        <f t="shared" ref="I612:J612" si="91">I613</f>
        <v>12296.8</v>
      </c>
      <c r="J612" s="19">
        <f t="shared" si="91"/>
        <v>85427.3</v>
      </c>
      <c r="K612" s="1"/>
      <c r="L612" s="1"/>
      <c r="M612" s="1"/>
      <c r="N612" s="1"/>
    </row>
    <row r="613" spans="2:14" s="53" customFormat="1" ht="14.25" customHeight="1" x14ac:dyDescent="0.2">
      <c r="B613" s="120" t="s">
        <v>100</v>
      </c>
      <c r="C613" s="21" t="s">
        <v>531</v>
      </c>
      <c r="D613" s="21" t="s">
        <v>382</v>
      </c>
      <c r="E613" s="21" t="s">
        <v>13</v>
      </c>
      <c r="F613" s="31" t="s">
        <v>559</v>
      </c>
      <c r="G613" s="21" t="s">
        <v>101</v>
      </c>
      <c r="H613" s="19">
        <v>0</v>
      </c>
      <c r="I613" s="19">
        <f>12294.3+2.5</f>
        <v>12296.8</v>
      </c>
      <c r="J613" s="57">
        <f>85410.2+17.1</f>
        <v>85427.3</v>
      </c>
      <c r="K613" s="1"/>
      <c r="L613" s="1"/>
      <c r="M613" s="1"/>
      <c r="N613" s="1"/>
    </row>
    <row r="614" spans="2:14" s="53" customFormat="1" ht="77.25" hidden="1" customHeight="1" x14ac:dyDescent="0.2">
      <c r="B614" s="121" t="s">
        <v>560</v>
      </c>
      <c r="C614" s="21" t="s">
        <v>531</v>
      </c>
      <c r="D614" s="21" t="s">
        <v>382</v>
      </c>
      <c r="E614" s="21" t="s">
        <v>13</v>
      </c>
      <c r="F614" s="31" t="s">
        <v>561</v>
      </c>
      <c r="G614" s="21"/>
      <c r="H614" s="19">
        <f>H615</f>
        <v>9.0927265716800321E-14</v>
      </c>
      <c r="I614" s="19">
        <f>I615</f>
        <v>0</v>
      </c>
      <c r="J614" s="19">
        <f>J615</f>
        <v>0</v>
      </c>
      <c r="K614" s="1"/>
      <c r="L614" s="1"/>
      <c r="M614" s="1"/>
      <c r="N614" s="1"/>
    </row>
    <row r="615" spans="2:14" s="53" customFormat="1" ht="15" hidden="1" customHeight="1" x14ac:dyDescent="0.2">
      <c r="B615" s="66" t="s">
        <v>100</v>
      </c>
      <c r="C615" s="21" t="s">
        <v>531</v>
      </c>
      <c r="D615" s="21" t="s">
        <v>382</v>
      </c>
      <c r="E615" s="21" t="s">
        <v>13</v>
      </c>
      <c r="F615" s="31" t="s">
        <v>561</v>
      </c>
      <c r="G615" s="21" t="s">
        <v>101</v>
      </c>
      <c r="H615" s="19">
        <f>2000+0.4-2000-0.4</f>
        <v>9.0927265716800321E-14</v>
      </c>
      <c r="I615" s="19">
        <v>0</v>
      </c>
      <c r="J615" s="19">
        <v>0</v>
      </c>
      <c r="K615" s="1"/>
      <c r="L615" s="1"/>
      <c r="M615" s="1"/>
      <c r="N615" s="1"/>
    </row>
    <row r="616" spans="2:14" s="53" customFormat="1" ht="15" customHeight="1" x14ac:dyDescent="0.2">
      <c r="B616" s="119" t="s">
        <v>562</v>
      </c>
      <c r="C616" s="21" t="s">
        <v>531</v>
      </c>
      <c r="D616" s="21" t="s">
        <v>382</v>
      </c>
      <c r="E616" s="21" t="s">
        <v>13</v>
      </c>
      <c r="F616" s="31" t="s">
        <v>563</v>
      </c>
      <c r="G616" s="21"/>
      <c r="H616" s="19">
        <f>H619+H621+H617</f>
        <v>16384.5</v>
      </c>
      <c r="I616" s="19">
        <f t="shared" ref="I616:J616" si="92">I619+I621+I617</f>
        <v>16396</v>
      </c>
      <c r="J616" s="19">
        <f t="shared" si="92"/>
        <v>16887.400000000001</v>
      </c>
      <c r="K616" s="1"/>
      <c r="L616" s="1"/>
      <c r="M616" s="1"/>
      <c r="N616" s="1"/>
    </row>
    <row r="617" spans="2:14" s="53" customFormat="1" ht="80.25" customHeight="1" x14ac:dyDescent="0.2">
      <c r="B617" s="119" t="s">
        <v>564</v>
      </c>
      <c r="C617" s="21" t="s">
        <v>531</v>
      </c>
      <c r="D617" s="21" t="s">
        <v>382</v>
      </c>
      <c r="E617" s="21" t="s">
        <v>13</v>
      </c>
      <c r="F617" s="31" t="s">
        <v>565</v>
      </c>
      <c r="G617" s="21"/>
      <c r="H617" s="19">
        <f>H618</f>
        <v>547.4</v>
      </c>
      <c r="I617" s="19">
        <f t="shared" ref="I617:J617" si="93">I618</f>
        <v>547.4</v>
      </c>
      <c r="J617" s="19">
        <f t="shared" si="93"/>
        <v>547.4</v>
      </c>
      <c r="K617" s="1"/>
      <c r="L617" s="1"/>
      <c r="M617" s="1"/>
      <c r="N617" s="1"/>
    </row>
    <row r="618" spans="2:14" s="53" customFormat="1" ht="15" customHeight="1" x14ac:dyDescent="0.2">
      <c r="B618" s="66" t="s">
        <v>100</v>
      </c>
      <c r="C618" s="21" t="s">
        <v>531</v>
      </c>
      <c r="D618" s="21" t="s">
        <v>382</v>
      </c>
      <c r="E618" s="21" t="s">
        <v>13</v>
      </c>
      <c r="F618" s="31" t="s">
        <v>565</v>
      </c>
      <c r="G618" s="21" t="s">
        <v>101</v>
      </c>
      <c r="H618" s="19">
        <v>547.4</v>
      </c>
      <c r="I618" s="19">
        <v>547.4</v>
      </c>
      <c r="J618" s="19">
        <v>547.4</v>
      </c>
      <c r="K618" s="1"/>
      <c r="L618" s="1"/>
      <c r="M618" s="1"/>
      <c r="N618" s="1"/>
    </row>
    <row r="619" spans="2:14" s="53" customFormat="1" ht="41.25" customHeight="1" x14ac:dyDescent="0.2">
      <c r="B619" s="72" t="s">
        <v>566</v>
      </c>
      <c r="C619" s="21" t="s">
        <v>531</v>
      </c>
      <c r="D619" s="21" t="s">
        <v>382</v>
      </c>
      <c r="E619" s="21" t="s">
        <v>13</v>
      </c>
      <c r="F619" s="31" t="s">
        <v>567</v>
      </c>
      <c r="G619" s="21"/>
      <c r="H619" s="19">
        <f t="shared" ref="H619:J619" si="94">H620</f>
        <v>785</v>
      </c>
      <c r="I619" s="19">
        <f t="shared" si="94"/>
        <v>796.9</v>
      </c>
      <c r="J619" s="19">
        <f t="shared" si="94"/>
        <v>811.3</v>
      </c>
      <c r="K619" s="1"/>
      <c r="L619" s="1"/>
      <c r="M619" s="1"/>
      <c r="N619" s="1"/>
    </row>
    <row r="620" spans="2:14" s="53" customFormat="1" ht="15" customHeight="1" x14ac:dyDescent="0.2">
      <c r="B620" s="119" t="s">
        <v>100</v>
      </c>
      <c r="C620" s="21" t="s">
        <v>531</v>
      </c>
      <c r="D620" s="21" t="s">
        <v>382</v>
      </c>
      <c r="E620" s="21" t="s">
        <v>13</v>
      </c>
      <c r="F620" s="31" t="s">
        <v>567</v>
      </c>
      <c r="G620" s="21" t="s">
        <v>101</v>
      </c>
      <c r="H620" s="19">
        <f>31.3+753.7</f>
        <v>785</v>
      </c>
      <c r="I620" s="19">
        <f>330.5+466.4</f>
        <v>796.9</v>
      </c>
      <c r="J620" s="57">
        <f>330.5+480.8</f>
        <v>811.3</v>
      </c>
      <c r="K620" s="1"/>
      <c r="L620" s="1"/>
      <c r="M620" s="1"/>
      <c r="N620" s="1"/>
    </row>
    <row r="621" spans="2:14" s="53" customFormat="1" ht="66.75" customHeight="1" x14ac:dyDescent="0.2">
      <c r="B621" s="72" t="s">
        <v>568</v>
      </c>
      <c r="C621" s="21" t="s">
        <v>531</v>
      </c>
      <c r="D621" s="21" t="s">
        <v>382</v>
      </c>
      <c r="E621" s="21" t="s">
        <v>13</v>
      </c>
      <c r="F621" s="31" t="s">
        <v>569</v>
      </c>
      <c r="G621" s="21"/>
      <c r="H621" s="19">
        <f>H622</f>
        <v>15052.1</v>
      </c>
      <c r="I621" s="19">
        <f t="shared" ref="I621:J621" si="95">I622</f>
        <v>15051.7</v>
      </c>
      <c r="J621" s="19">
        <f t="shared" si="95"/>
        <v>15528.7</v>
      </c>
      <c r="K621" s="1"/>
      <c r="L621" s="1"/>
      <c r="M621" s="1"/>
      <c r="N621" s="1"/>
    </row>
    <row r="622" spans="2:14" s="53" customFormat="1" ht="15" customHeight="1" x14ac:dyDescent="0.2">
      <c r="B622" s="66" t="s">
        <v>100</v>
      </c>
      <c r="C622" s="21" t="s">
        <v>531</v>
      </c>
      <c r="D622" s="21" t="s">
        <v>382</v>
      </c>
      <c r="E622" s="21" t="s">
        <v>13</v>
      </c>
      <c r="F622" s="31" t="s">
        <v>569</v>
      </c>
      <c r="G622" s="21" t="s">
        <v>101</v>
      </c>
      <c r="H622" s="19">
        <f>15052.1</f>
        <v>15052.1</v>
      </c>
      <c r="I622" s="19">
        <v>15051.7</v>
      </c>
      <c r="J622" s="57">
        <v>15528.7</v>
      </c>
      <c r="K622" s="1"/>
      <c r="L622" s="1"/>
      <c r="M622" s="1"/>
      <c r="N622" s="1"/>
    </row>
    <row r="623" spans="2:14" s="53" customFormat="1" ht="15.75" customHeight="1" x14ac:dyDescent="0.2">
      <c r="B623" s="92" t="s">
        <v>48</v>
      </c>
      <c r="C623" s="21" t="s">
        <v>531</v>
      </c>
      <c r="D623" s="21" t="s">
        <v>382</v>
      </c>
      <c r="E623" s="21" t="s">
        <v>13</v>
      </c>
      <c r="F623" s="31" t="s">
        <v>384</v>
      </c>
      <c r="G623" s="21"/>
      <c r="H623" s="19">
        <f>H624</f>
        <v>18211.5</v>
      </c>
      <c r="I623" s="19">
        <f>I624</f>
        <v>12090.900000000001</v>
      </c>
      <c r="J623" s="19">
        <f>J624</f>
        <v>9844.4</v>
      </c>
      <c r="K623" s="1"/>
      <c r="L623" s="1"/>
      <c r="M623" s="1"/>
      <c r="N623" s="1"/>
    </row>
    <row r="624" spans="2:14" s="53" customFormat="1" ht="24.75" customHeight="1" x14ac:dyDescent="0.2">
      <c r="B624" s="41" t="s">
        <v>385</v>
      </c>
      <c r="C624" s="21" t="s">
        <v>531</v>
      </c>
      <c r="D624" s="21" t="s">
        <v>382</v>
      </c>
      <c r="E624" s="21" t="s">
        <v>13</v>
      </c>
      <c r="F624" s="31" t="s">
        <v>386</v>
      </c>
      <c r="G624" s="21"/>
      <c r="H624" s="19">
        <f>H627+H635+H625+H637+H633+H631+H629</f>
        <v>18211.5</v>
      </c>
      <c r="I624" s="19">
        <f t="shared" ref="I624:J624" si="96">I627+I635+I625+I637+I633+I631+I629</f>
        <v>12090.900000000001</v>
      </c>
      <c r="J624" s="19">
        <f t="shared" si="96"/>
        <v>9844.4</v>
      </c>
      <c r="K624" s="1"/>
      <c r="L624" s="1"/>
      <c r="M624" s="1"/>
      <c r="N624" s="1"/>
    </row>
    <row r="625" spans="2:14" s="53" customFormat="1" ht="15" customHeight="1" x14ac:dyDescent="0.2">
      <c r="B625" s="122" t="s">
        <v>570</v>
      </c>
      <c r="C625" s="21" t="s">
        <v>531</v>
      </c>
      <c r="D625" s="21" t="s">
        <v>382</v>
      </c>
      <c r="E625" s="21" t="s">
        <v>13</v>
      </c>
      <c r="F625" s="31" t="s">
        <v>571</v>
      </c>
      <c r="G625" s="21"/>
      <c r="H625" s="19">
        <f>H626</f>
        <v>1000.2</v>
      </c>
      <c r="I625" s="19">
        <f>I626</f>
        <v>0</v>
      </c>
      <c r="J625" s="19">
        <f>J626</f>
        <v>0</v>
      </c>
      <c r="K625" s="1"/>
      <c r="L625" s="1"/>
      <c r="M625" s="1"/>
      <c r="N625" s="1"/>
    </row>
    <row r="626" spans="2:14" s="53" customFormat="1" ht="15" customHeight="1" x14ac:dyDescent="0.2">
      <c r="B626" s="66" t="s">
        <v>100</v>
      </c>
      <c r="C626" s="21" t="s">
        <v>531</v>
      </c>
      <c r="D626" s="21" t="s">
        <v>382</v>
      </c>
      <c r="E626" s="21" t="s">
        <v>13</v>
      </c>
      <c r="F626" s="31" t="s">
        <v>571</v>
      </c>
      <c r="G626" s="21" t="s">
        <v>101</v>
      </c>
      <c r="H626" s="19">
        <f>1000+0.2</f>
        <v>1000.2</v>
      </c>
      <c r="I626" s="19">
        <v>0</v>
      </c>
      <c r="J626" s="19">
        <v>0</v>
      </c>
      <c r="K626" s="1"/>
      <c r="L626" s="1"/>
      <c r="M626" s="1"/>
      <c r="N626" s="1"/>
    </row>
    <row r="627" spans="2:14" s="53" customFormat="1" ht="24.75" customHeight="1" x14ac:dyDescent="0.2">
      <c r="B627" s="92" t="s">
        <v>572</v>
      </c>
      <c r="C627" s="21" t="s">
        <v>531</v>
      </c>
      <c r="D627" s="21" t="s">
        <v>382</v>
      </c>
      <c r="E627" s="21" t="s">
        <v>13</v>
      </c>
      <c r="F627" s="31" t="s">
        <v>573</v>
      </c>
      <c r="G627" s="21"/>
      <c r="H627" s="19">
        <f>H628</f>
        <v>4592.7999999999993</v>
      </c>
      <c r="I627" s="19">
        <f>I628</f>
        <v>5561.3</v>
      </c>
      <c r="J627" s="19">
        <f>J628</f>
        <v>3616.2999999999997</v>
      </c>
      <c r="K627" s="1"/>
      <c r="L627" s="1"/>
      <c r="M627" s="1"/>
      <c r="N627" s="1"/>
    </row>
    <row r="628" spans="2:14" s="53" customFormat="1" ht="15" customHeight="1" x14ac:dyDescent="0.2">
      <c r="B628" s="66" t="s">
        <v>100</v>
      </c>
      <c r="C628" s="21" t="s">
        <v>531</v>
      </c>
      <c r="D628" s="21" t="s">
        <v>382</v>
      </c>
      <c r="E628" s="21" t="s">
        <v>13</v>
      </c>
      <c r="F628" s="31" t="s">
        <v>573</v>
      </c>
      <c r="G628" s="21" t="s">
        <v>101</v>
      </c>
      <c r="H628" s="19">
        <f>4591.9+0.9</f>
        <v>4592.7999999999993</v>
      </c>
      <c r="I628" s="19">
        <f>5560.2+1.1</f>
        <v>5561.3</v>
      </c>
      <c r="J628" s="19">
        <f>3615.6+0.7</f>
        <v>3616.2999999999997</v>
      </c>
      <c r="K628" s="1"/>
      <c r="L628" s="1"/>
      <c r="M628" s="1"/>
      <c r="N628" s="1"/>
    </row>
    <row r="629" spans="2:14" s="53" customFormat="1" ht="24.75" customHeight="1" x14ac:dyDescent="0.2">
      <c r="B629" s="72" t="s">
        <v>574</v>
      </c>
      <c r="C629" s="21" t="s">
        <v>531</v>
      </c>
      <c r="D629" s="21" t="s">
        <v>382</v>
      </c>
      <c r="E629" s="21" t="s">
        <v>13</v>
      </c>
      <c r="F629" s="93" t="s">
        <v>575</v>
      </c>
      <c r="G629" s="47"/>
      <c r="H629" s="94">
        <f>H630</f>
        <v>3650.2</v>
      </c>
      <c r="I629" s="94">
        <f t="shared" ref="I629:J629" si="97">I630</f>
        <v>0</v>
      </c>
      <c r="J629" s="94">
        <f t="shared" si="97"/>
        <v>0</v>
      </c>
      <c r="K629" s="1"/>
      <c r="L629" s="1"/>
      <c r="M629" s="1"/>
      <c r="N629" s="1"/>
    </row>
    <row r="630" spans="2:14" s="53" customFormat="1" ht="15" customHeight="1" x14ac:dyDescent="0.2">
      <c r="B630" s="66" t="s">
        <v>100</v>
      </c>
      <c r="C630" s="21" t="s">
        <v>531</v>
      </c>
      <c r="D630" s="21" t="s">
        <v>382</v>
      </c>
      <c r="E630" s="21" t="s">
        <v>13</v>
      </c>
      <c r="F630" s="93" t="s">
        <v>575</v>
      </c>
      <c r="G630" s="47" t="s">
        <v>101</v>
      </c>
      <c r="H630" s="94">
        <f>2000+0.2+1650</f>
        <v>3650.2</v>
      </c>
      <c r="I630" s="94">
        <v>0</v>
      </c>
      <c r="J630" s="96">
        <v>0</v>
      </c>
      <c r="K630" s="1"/>
      <c r="L630" s="1"/>
      <c r="M630" s="1"/>
      <c r="N630" s="1"/>
    </row>
    <row r="631" spans="2:14" s="53" customFormat="1" ht="40.5" customHeight="1" x14ac:dyDescent="0.2">
      <c r="B631" s="72" t="s">
        <v>576</v>
      </c>
      <c r="C631" s="21" t="s">
        <v>531</v>
      </c>
      <c r="D631" s="21" t="s">
        <v>382</v>
      </c>
      <c r="E631" s="21" t="s">
        <v>13</v>
      </c>
      <c r="F631" s="31" t="s">
        <v>577</v>
      </c>
      <c r="G631" s="21"/>
      <c r="H631" s="94">
        <f>H632</f>
        <v>612.20000000000005</v>
      </c>
      <c r="I631" s="94">
        <f t="shared" ref="I631:J631" si="98">I632</f>
        <v>0</v>
      </c>
      <c r="J631" s="94">
        <f t="shared" si="98"/>
        <v>0</v>
      </c>
      <c r="K631" s="1"/>
      <c r="L631" s="1"/>
      <c r="M631" s="1"/>
      <c r="N631" s="1"/>
    </row>
    <row r="632" spans="2:14" s="53" customFormat="1" ht="15" customHeight="1" x14ac:dyDescent="0.2">
      <c r="B632" s="66" t="s">
        <v>100</v>
      </c>
      <c r="C632" s="21" t="s">
        <v>531</v>
      </c>
      <c r="D632" s="21" t="s">
        <v>382</v>
      </c>
      <c r="E632" s="21" t="s">
        <v>13</v>
      </c>
      <c r="F632" s="31" t="s">
        <v>577</v>
      </c>
      <c r="G632" s="21" t="s">
        <v>101</v>
      </c>
      <c r="H632" s="94">
        <f>600+12.2</f>
        <v>612.20000000000005</v>
      </c>
      <c r="I632" s="94">
        <v>0</v>
      </c>
      <c r="J632" s="94">
        <v>0</v>
      </c>
      <c r="K632" s="1"/>
      <c r="L632" s="1"/>
      <c r="M632" s="1"/>
      <c r="N632" s="1"/>
    </row>
    <row r="633" spans="2:14" s="53" customFormat="1" ht="54.75" customHeight="1" x14ac:dyDescent="0.2">
      <c r="B633" s="72" t="s">
        <v>538</v>
      </c>
      <c r="C633" s="21" t="s">
        <v>531</v>
      </c>
      <c r="D633" s="21" t="s">
        <v>382</v>
      </c>
      <c r="E633" s="21" t="s">
        <v>13</v>
      </c>
      <c r="F633" s="93" t="s">
        <v>539</v>
      </c>
      <c r="G633" s="21"/>
      <c r="H633" s="94">
        <f>H634</f>
        <v>1385.6</v>
      </c>
      <c r="I633" s="94">
        <f>I634</f>
        <v>1385.6</v>
      </c>
      <c r="J633" s="94">
        <f>J634</f>
        <v>1385.6</v>
      </c>
      <c r="K633" s="1"/>
      <c r="L633" s="1"/>
      <c r="M633" s="1"/>
      <c r="N633" s="1"/>
    </row>
    <row r="634" spans="2:14" s="53" customFormat="1" ht="15" customHeight="1" x14ac:dyDescent="0.2">
      <c r="B634" s="66" t="s">
        <v>100</v>
      </c>
      <c r="C634" s="21" t="s">
        <v>531</v>
      </c>
      <c r="D634" s="21" t="s">
        <v>382</v>
      </c>
      <c r="E634" s="21" t="s">
        <v>13</v>
      </c>
      <c r="F634" s="93" t="s">
        <v>539</v>
      </c>
      <c r="G634" s="21" t="s">
        <v>101</v>
      </c>
      <c r="H634" s="94">
        <f>1108.5+277.1</f>
        <v>1385.6</v>
      </c>
      <c r="I634" s="94">
        <f>1108.5+277.1</f>
        <v>1385.6</v>
      </c>
      <c r="J634" s="94">
        <f>1108.5+277.1</f>
        <v>1385.6</v>
      </c>
      <c r="K634" s="1"/>
      <c r="L634" s="1"/>
      <c r="M634" s="1"/>
      <c r="N634" s="1"/>
    </row>
    <row r="635" spans="2:14" s="53" customFormat="1" ht="46.5" customHeight="1" x14ac:dyDescent="0.2">
      <c r="B635" s="123" t="s">
        <v>578</v>
      </c>
      <c r="C635" s="21" t="s">
        <v>531</v>
      </c>
      <c r="D635" s="21" t="s">
        <v>382</v>
      </c>
      <c r="E635" s="21" t="s">
        <v>13</v>
      </c>
      <c r="F635" s="31" t="s">
        <v>579</v>
      </c>
      <c r="G635" s="21"/>
      <c r="H635" s="19">
        <f>H636</f>
        <v>1142.3000000000002</v>
      </c>
      <c r="I635" s="19">
        <f>I636</f>
        <v>0</v>
      </c>
      <c r="J635" s="19">
        <f>J636</f>
        <v>0</v>
      </c>
      <c r="K635" s="1"/>
      <c r="L635" s="1"/>
      <c r="M635" s="1"/>
      <c r="N635" s="1"/>
    </row>
    <row r="636" spans="2:14" s="53" customFormat="1" ht="15" customHeight="1" x14ac:dyDescent="0.2">
      <c r="B636" s="95" t="s">
        <v>100</v>
      </c>
      <c r="C636" s="21" t="s">
        <v>531</v>
      </c>
      <c r="D636" s="21" t="s">
        <v>382</v>
      </c>
      <c r="E636" s="21" t="s">
        <v>13</v>
      </c>
      <c r="F636" s="31" t="s">
        <v>579</v>
      </c>
      <c r="G636" s="21" t="s">
        <v>101</v>
      </c>
      <c r="H636" s="19">
        <f>2866.3+0.6-1724.3-0.3</f>
        <v>1142.3000000000002</v>
      </c>
      <c r="I636" s="19">
        <v>0</v>
      </c>
      <c r="J636" s="19">
        <v>0</v>
      </c>
      <c r="K636" s="1"/>
      <c r="L636" s="1"/>
      <c r="M636" s="1"/>
      <c r="N636" s="1"/>
    </row>
    <row r="637" spans="2:14" s="53" customFormat="1" ht="43.5" customHeight="1" x14ac:dyDescent="0.2">
      <c r="B637" s="72" t="s">
        <v>580</v>
      </c>
      <c r="C637" s="21" t="s">
        <v>531</v>
      </c>
      <c r="D637" s="21" t="s">
        <v>382</v>
      </c>
      <c r="E637" s="21" t="s">
        <v>13</v>
      </c>
      <c r="F637" s="93" t="s">
        <v>581</v>
      </c>
      <c r="G637" s="21"/>
      <c r="H637" s="94">
        <f>H638</f>
        <v>5828.2</v>
      </c>
      <c r="I637" s="94">
        <f>I638</f>
        <v>5144.0000000000009</v>
      </c>
      <c r="J637" s="94">
        <f>J638</f>
        <v>4842.5</v>
      </c>
      <c r="K637" s="1"/>
      <c r="L637" s="1"/>
      <c r="M637" s="1"/>
      <c r="N637" s="1"/>
    </row>
    <row r="638" spans="2:14" s="53" customFormat="1" ht="15" customHeight="1" x14ac:dyDescent="0.2">
      <c r="B638" s="66" t="s">
        <v>100</v>
      </c>
      <c r="C638" s="21" t="s">
        <v>531</v>
      </c>
      <c r="D638" s="21" t="s">
        <v>382</v>
      </c>
      <c r="E638" s="21" t="s">
        <v>13</v>
      </c>
      <c r="F638" s="93" t="s">
        <v>581</v>
      </c>
      <c r="G638" s="21" t="s">
        <v>101</v>
      </c>
      <c r="H638" s="94">
        <f>1466.9+29.9+4244.7+86.7</f>
        <v>5828.2</v>
      </c>
      <c r="I638" s="94">
        <f>1995.3+40.7+3045.8+62.6-0.4</f>
        <v>5144.0000000000009</v>
      </c>
      <c r="J638" s="94">
        <f>1995.3+40.7+2750.4+56.1</f>
        <v>4842.5</v>
      </c>
      <c r="K638" s="1"/>
      <c r="L638" s="1"/>
      <c r="M638" s="1"/>
      <c r="N638" s="1"/>
    </row>
    <row r="639" spans="2:14" s="53" customFormat="1" ht="18" customHeight="1" x14ac:dyDescent="0.2">
      <c r="B639" s="20" t="s">
        <v>16</v>
      </c>
      <c r="C639" s="21" t="s">
        <v>531</v>
      </c>
      <c r="D639" s="21" t="s">
        <v>382</v>
      </c>
      <c r="E639" s="21" t="s">
        <v>13</v>
      </c>
      <c r="F639" s="23" t="s">
        <v>204</v>
      </c>
      <c r="G639" s="21"/>
      <c r="H639" s="19">
        <f>H640+H647+H650</f>
        <v>188655.50000000003</v>
      </c>
      <c r="I639" s="19">
        <f>I640+I647+I650</f>
        <v>188930.2</v>
      </c>
      <c r="J639" s="19">
        <f>J640+J647+J650</f>
        <v>188888.1</v>
      </c>
      <c r="K639" s="1"/>
      <c r="L639" s="1"/>
      <c r="M639" s="1"/>
      <c r="N639" s="1"/>
    </row>
    <row r="640" spans="2:14" s="53" customFormat="1" ht="26.25" customHeight="1" x14ac:dyDescent="0.2">
      <c r="B640" s="20" t="s">
        <v>540</v>
      </c>
      <c r="C640" s="21" t="s">
        <v>531</v>
      </c>
      <c r="D640" s="21" t="s">
        <v>382</v>
      </c>
      <c r="E640" s="21" t="s">
        <v>13</v>
      </c>
      <c r="F640" s="23" t="s">
        <v>541</v>
      </c>
      <c r="G640" s="21"/>
      <c r="H640" s="19">
        <f>H641+H643+H645</f>
        <v>185208.50000000003</v>
      </c>
      <c r="I640" s="19">
        <f>I641+I643+I645</f>
        <v>185483.2</v>
      </c>
      <c r="J640" s="19">
        <f>J641+J643+J645</f>
        <v>185441.1</v>
      </c>
      <c r="K640" s="1"/>
      <c r="L640" s="1"/>
      <c r="M640" s="1"/>
      <c r="N640" s="1"/>
    </row>
    <row r="641" spans="2:14" s="53" customFormat="1" ht="27.75" customHeight="1" x14ac:dyDescent="0.2">
      <c r="B641" s="92" t="s">
        <v>542</v>
      </c>
      <c r="C641" s="21" t="s">
        <v>531</v>
      </c>
      <c r="D641" s="21" t="s">
        <v>382</v>
      </c>
      <c r="E641" s="21" t="s">
        <v>13</v>
      </c>
      <c r="F641" s="23" t="s">
        <v>543</v>
      </c>
      <c r="G641" s="21"/>
      <c r="H641" s="19">
        <f>H642</f>
        <v>129537.1</v>
      </c>
      <c r="I641" s="19">
        <f>I642</f>
        <v>126405.2</v>
      </c>
      <c r="J641" s="19">
        <f>J642</f>
        <v>126405.2</v>
      </c>
      <c r="K641" s="1"/>
      <c r="L641" s="1"/>
      <c r="M641" s="1"/>
      <c r="N641" s="1"/>
    </row>
    <row r="642" spans="2:14" s="53" customFormat="1" ht="14.25" customHeight="1" x14ac:dyDescent="0.2">
      <c r="B642" s="118" t="s">
        <v>100</v>
      </c>
      <c r="C642" s="21" t="s">
        <v>531</v>
      </c>
      <c r="D642" s="21" t="s">
        <v>382</v>
      </c>
      <c r="E642" s="21" t="s">
        <v>13</v>
      </c>
      <c r="F642" s="23" t="s">
        <v>543</v>
      </c>
      <c r="G642" s="21" t="s">
        <v>101</v>
      </c>
      <c r="H642" s="19">
        <f>129537.1</f>
        <v>129537.1</v>
      </c>
      <c r="I642" s="19">
        <f>126405.2</f>
        <v>126405.2</v>
      </c>
      <c r="J642" s="57">
        <f>126405.2</f>
        <v>126405.2</v>
      </c>
      <c r="K642" s="1"/>
      <c r="L642" s="1"/>
      <c r="M642" s="1"/>
      <c r="N642" s="1"/>
    </row>
    <row r="643" spans="2:14" s="53" customFormat="1" ht="15" customHeight="1" x14ac:dyDescent="0.2">
      <c r="B643" s="67" t="s">
        <v>582</v>
      </c>
      <c r="C643" s="21" t="s">
        <v>531</v>
      </c>
      <c r="D643" s="21" t="s">
        <v>382</v>
      </c>
      <c r="E643" s="21" t="s">
        <v>13</v>
      </c>
      <c r="F643" s="23" t="s">
        <v>583</v>
      </c>
      <c r="G643" s="21"/>
      <c r="H643" s="19">
        <f>H644</f>
        <v>53841.30000000001</v>
      </c>
      <c r="I643" s="19">
        <f>I644</f>
        <v>57247.900000000009</v>
      </c>
      <c r="J643" s="19">
        <f>J644</f>
        <v>57205.80000000001</v>
      </c>
      <c r="K643" s="1"/>
      <c r="L643" s="1"/>
      <c r="M643" s="1"/>
      <c r="N643" s="1"/>
    </row>
    <row r="644" spans="2:14" s="53" customFormat="1" ht="15.75" customHeight="1" x14ac:dyDescent="0.2">
      <c r="B644" s="118" t="s">
        <v>100</v>
      </c>
      <c r="C644" s="21" t="s">
        <v>531</v>
      </c>
      <c r="D644" s="21" t="s">
        <v>382</v>
      </c>
      <c r="E644" s="21" t="s">
        <v>13</v>
      </c>
      <c r="F644" s="23" t="s">
        <v>583</v>
      </c>
      <c r="G644" s="21" t="s">
        <v>101</v>
      </c>
      <c r="H644" s="19">
        <f>63111.8-1830.1-770-4064.7-955.7-1650</f>
        <v>53841.30000000001</v>
      </c>
      <c r="I644" s="19">
        <f>63111.8-1830.1-4000-62.6-2.5-1.7+32.6+0.4</f>
        <v>57247.900000000009</v>
      </c>
      <c r="J644" s="19">
        <f>63111.8-1830.1-4000-56.1-2.7-17.1</f>
        <v>57205.80000000001</v>
      </c>
      <c r="K644" s="1"/>
      <c r="L644" s="1"/>
      <c r="M644" s="1"/>
      <c r="N644" s="1"/>
    </row>
    <row r="645" spans="2:14" s="53" customFormat="1" ht="24.75" customHeight="1" x14ac:dyDescent="0.2">
      <c r="B645" s="49" t="s">
        <v>40</v>
      </c>
      <c r="C645" s="21" t="s">
        <v>531</v>
      </c>
      <c r="D645" s="21" t="s">
        <v>382</v>
      </c>
      <c r="E645" s="21" t="s">
        <v>13</v>
      </c>
      <c r="F645" s="23" t="s">
        <v>584</v>
      </c>
      <c r="G645" s="21"/>
      <c r="H645" s="19">
        <f>H646</f>
        <v>1830.1</v>
      </c>
      <c r="I645" s="19">
        <f>I646</f>
        <v>1830.1</v>
      </c>
      <c r="J645" s="19">
        <f>J646</f>
        <v>1830.1</v>
      </c>
      <c r="K645" s="1"/>
      <c r="L645" s="1"/>
      <c r="M645" s="1"/>
      <c r="N645" s="1"/>
    </row>
    <row r="646" spans="2:14" s="53" customFormat="1" ht="15.75" customHeight="1" x14ac:dyDescent="0.2">
      <c r="B646" s="49" t="s">
        <v>145</v>
      </c>
      <c r="C646" s="21" t="s">
        <v>531</v>
      </c>
      <c r="D646" s="21" t="s">
        <v>382</v>
      </c>
      <c r="E646" s="21" t="s">
        <v>13</v>
      </c>
      <c r="F646" s="23" t="s">
        <v>584</v>
      </c>
      <c r="G646" s="21" t="s">
        <v>101</v>
      </c>
      <c r="H646" s="19">
        <v>1830.1</v>
      </c>
      <c r="I646" s="19">
        <v>1830.1</v>
      </c>
      <c r="J646" s="19">
        <v>1830.1</v>
      </c>
      <c r="K646" s="1"/>
      <c r="L646" s="1"/>
      <c r="M646" s="1"/>
      <c r="N646" s="1"/>
    </row>
    <row r="647" spans="2:14" s="53" customFormat="1" ht="23.25" customHeight="1" x14ac:dyDescent="0.2">
      <c r="B647" s="20" t="s">
        <v>585</v>
      </c>
      <c r="C647" s="21" t="s">
        <v>531</v>
      </c>
      <c r="D647" s="21" t="s">
        <v>382</v>
      </c>
      <c r="E647" s="21" t="s">
        <v>13</v>
      </c>
      <c r="F647" s="23" t="s">
        <v>586</v>
      </c>
      <c r="G647" s="21"/>
      <c r="H647" s="19">
        <f t="shared" ref="H647:J648" si="99">H648</f>
        <v>3397</v>
      </c>
      <c r="I647" s="19">
        <f t="shared" si="99"/>
        <v>3397</v>
      </c>
      <c r="J647" s="19">
        <f t="shared" si="99"/>
        <v>3397</v>
      </c>
      <c r="K647" s="1"/>
      <c r="L647" s="1"/>
      <c r="M647" s="1"/>
      <c r="N647" s="1"/>
    </row>
    <row r="648" spans="2:14" s="53" customFormat="1" ht="39" customHeight="1" x14ac:dyDescent="0.2">
      <c r="B648" s="118" t="s">
        <v>587</v>
      </c>
      <c r="C648" s="21" t="s">
        <v>531</v>
      </c>
      <c r="D648" s="21" t="s">
        <v>382</v>
      </c>
      <c r="E648" s="21" t="s">
        <v>13</v>
      </c>
      <c r="F648" s="23" t="s">
        <v>588</v>
      </c>
      <c r="G648" s="21"/>
      <c r="H648" s="19">
        <f t="shared" si="99"/>
        <v>3397</v>
      </c>
      <c r="I648" s="19">
        <f t="shared" si="99"/>
        <v>3397</v>
      </c>
      <c r="J648" s="19">
        <f t="shared" si="99"/>
        <v>3397</v>
      </c>
      <c r="K648" s="1"/>
      <c r="L648" s="1"/>
      <c r="M648" s="1"/>
      <c r="N648" s="1"/>
    </row>
    <row r="649" spans="2:14" s="53" customFormat="1" ht="14.25" customHeight="1" x14ac:dyDescent="0.2">
      <c r="B649" s="120" t="s">
        <v>100</v>
      </c>
      <c r="C649" s="21" t="s">
        <v>531</v>
      </c>
      <c r="D649" s="21" t="s">
        <v>382</v>
      </c>
      <c r="E649" s="21" t="s">
        <v>13</v>
      </c>
      <c r="F649" s="23" t="s">
        <v>588</v>
      </c>
      <c r="G649" s="21" t="s">
        <v>101</v>
      </c>
      <c r="H649" s="19">
        <v>3397</v>
      </c>
      <c r="I649" s="19">
        <v>3397</v>
      </c>
      <c r="J649" s="19">
        <v>3397</v>
      </c>
      <c r="K649" s="1"/>
      <c r="L649" s="1"/>
      <c r="M649" s="1"/>
      <c r="N649" s="1"/>
    </row>
    <row r="650" spans="2:14" s="53" customFormat="1" ht="27.75" customHeight="1" x14ac:dyDescent="0.2">
      <c r="B650" s="20" t="s">
        <v>589</v>
      </c>
      <c r="C650" s="21" t="s">
        <v>531</v>
      </c>
      <c r="D650" s="21" t="s">
        <v>382</v>
      </c>
      <c r="E650" s="21" t="s">
        <v>13</v>
      </c>
      <c r="F650" s="69" t="s">
        <v>590</v>
      </c>
      <c r="G650" s="21"/>
      <c r="H650" s="19">
        <f t="shared" ref="H650:J651" si="100">H651</f>
        <v>50</v>
      </c>
      <c r="I650" s="19">
        <f t="shared" si="100"/>
        <v>50</v>
      </c>
      <c r="J650" s="19">
        <f t="shared" si="100"/>
        <v>50</v>
      </c>
      <c r="K650" s="1"/>
      <c r="L650" s="1"/>
      <c r="M650" s="1"/>
      <c r="N650" s="1"/>
    </row>
    <row r="651" spans="2:14" s="53" customFormat="1" ht="27.75" customHeight="1" x14ac:dyDescent="0.2">
      <c r="B651" s="20" t="s">
        <v>591</v>
      </c>
      <c r="C651" s="21" t="s">
        <v>531</v>
      </c>
      <c r="D651" s="21" t="s">
        <v>382</v>
      </c>
      <c r="E651" s="21" t="s">
        <v>13</v>
      </c>
      <c r="F651" s="69" t="s">
        <v>592</v>
      </c>
      <c r="G651" s="21"/>
      <c r="H651" s="19">
        <f t="shared" si="100"/>
        <v>50</v>
      </c>
      <c r="I651" s="19">
        <f t="shared" si="100"/>
        <v>50</v>
      </c>
      <c r="J651" s="19">
        <f t="shared" si="100"/>
        <v>50</v>
      </c>
      <c r="K651" s="1"/>
      <c r="L651" s="1"/>
      <c r="M651" s="1"/>
      <c r="N651" s="1"/>
    </row>
    <row r="652" spans="2:14" s="53" customFormat="1" ht="14.25" customHeight="1" x14ac:dyDescent="0.2">
      <c r="B652" s="118" t="s">
        <v>100</v>
      </c>
      <c r="C652" s="21" t="s">
        <v>531</v>
      </c>
      <c r="D652" s="21" t="s">
        <v>382</v>
      </c>
      <c r="E652" s="21" t="s">
        <v>13</v>
      </c>
      <c r="F652" s="69" t="s">
        <v>592</v>
      </c>
      <c r="G652" s="21" t="s">
        <v>101</v>
      </c>
      <c r="H652" s="19">
        <v>50</v>
      </c>
      <c r="I652" s="19">
        <v>50</v>
      </c>
      <c r="J652" s="19">
        <v>50</v>
      </c>
      <c r="K652" s="1"/>
      <c r="L652" s="1"/>
      <c r="M652" s="1"/>
      <c r="N652" s="1"/>
    </row>
    <row r="653" spans="2:14" s="75" customFormat="1" ht="13.5" customHeight="1" x14ac:dyDescent="0.2">
      <c r="B653" s="99" t="s">
        <v>389</v>
      </c>
      <c r="C653" s="16" t="s">
        <v>531</v>
      </c>
      <c r="D653" s="16" t="s">
        <v>382</v>
      </c>
      <c r="E653" s="16" t="s">
        <v>161</v>
      </c>
      <c r="F653" s="71"/>
      <c r="G653" s="16"/>
      <c r="H653" s="17">
        <f>H654</f>
        <v>22051.9</v>
      </c>
      <c r="I653" s="17">
        <f>I654</f>
        <v>19503.900000000001</v>
      </c>
      <c r="J653" s="17">
        <f>J654</f>
        <v>19503.900000000001</v>
      </c>
      <c r="K653" s="59"/>
      <c r="L653" s="59"/>
      <c r="M653" s="59"/>
      <c r="N653" s="59"/>
    </row>
    <row r="654" spans="2:14" s="125" customFormat="1" ht="24.75" customHeight="1" x14ac:dyDescent="0.2">
      <c r="B654" s="49" t="s">
        <v>202</v>
      </c>
      <c r="C654" s="21" t="s">
        <v>531</v>
      </c>
      <c r="D654" s="21" t="s">
        <v>382</v>
      </c>
      <c r="E654" s="21" t="s">
        <v>161</v>
      </c>
      <c r="F654" s="23" t="s">
        <v>203</v>
      </c>
      <c r="G654" s="21"/>
      <c r="H654" s="19">
        <f>H655+H659</f>
        <v>22051.9</v>
      </c>
      <c r="I654" s="19">
        <f>I655+I659</f>
        <v>19503.900000000001</v>
      </c>
      <c r="J654" s="19">
        <f>J655+J659</f>
        <v>19503.900000000001</v>
      </c>
      <c r="K654" s="124"/>
      <c r="L654" s="124"/>
      <c r="M654" s="124"/>
      <c r="N654" s="124"/>
    </row>
    <row r="655" spans="2:14" s="125" customFormat="1" ht="18.75" customHeight="1" x14ac:dyDescent="0.2">
      <c r="B655" s="92" t="s">
        <v>48</v>
      </c>
      <c r="C655" s="21" t="s">
        <v>531</v>
      </c>
      <c r="D655" s="21" t="s">
        <v>382</v>
      </c>
      <c r="E655" s="21" t="s">
        <v>161</v>
      </c>
      <c r="F655" s="23" t="s">
        <v>384</v>
      </c>
      <c r="G655" s="21"/>
      <c r="H655" s="19">
        <f t="shared" ref="H655:J657" si="101">H656</f>
        <v>1139.2</v>
      </c>
      <c r="I655" s="19">
        <f t="shared" si="101"/>
        <v>1139.2</v>
      </c>
      <c r="J655" s="19">
        <f t="shared" si="101"/>
        <v>1139.2</v>
      </c>
      <c r="K655" s="124"/>
      <c r="L655" s="124"/>
      <c r="M655" s="124"/>
      <c r="N655" s="124"/>
    </row>
    <row r="656" spans="2:14" s="125" customFormat="1" ht="28.5" customHeight="1" x14ac:dyDescent="0.2">
      <c r="B656" s="72" t="s">
        <v>593</v>
      </c>
      <c r="C656" s="21" t="s">
        <v>531</v>
      </c>
      <c r="D656" s="21" t="s">
        <v>382</v>
      </c>
      <c r="E656" s="21" t="s">
        <v>161</v>
      </c>
      <c r="F656" s="93" t="s">
        <v>594</v>
      </c>
      <c r="G656" s="21"/>
      <c r="H656" s="19">
        <f t="shared" si="101"/>
        <v>1139.2</v>
      </c>
      <c r="I656" s="19">
        <f t="shared" si="101"/>
        <v>1139.2</v>
      </c>
      <c r="J656" s="19">
        <f t="shared" si="101"/>
        <v>1139.2</v>
      </c>
      <c r="K656" s="124"/>
      <c r="L656" s="124"/>
      <c r="M656" s="124"/>
      <c r="N656" s="124"/>
    </row>
    <row r="657" spans="2:14" s="125" customFormat="1" ht="27" customHeight="1" x14ac:dyDescent="0.2">
      <c r="B657" s="72" t="s">
        <v>595</v>
      </c>
      <c r="C657" s="21" t="s">
        <v>531</v>
      </c>
      <c r="D657" s="21" t="s">
        <v>382</v>
      </c>
      <c r="E657" s="21" t="s">
        <v>161</v>
      </c>
      <c r="F657" s="93" t="s">
        <v>596</v>
      </c>
      <c r="G657" s="21"/>
      <c r="H657" s="19">
        <f t="shared" si="101"/>
        <v>1139.2</v>
      </c>
      <c r="I657" s="19">
        <f t="shared" si="101"/>
        <v>1139.2</v>
      </c>
      <c r="J657" s="19">
        <f t="shared" si="101"/>
        <v>1139.2</v>
      </c>
      <c r="K657" s="124"/>
      <c r="L657" s="124"/>
      <c r="M657" s="124"/>
      <c r="N657" s="124"/>
    </row>
    <row r="658" spans="2:14" s="125" customFormat="1" ht="14.25" customHeight="1" x14ac:dyDescent="0.2">
      <c r="B658" s="66" t="s">
        <v>100</v>
      </c>
      <c r="C658" s="21" t="s">
        <v>531</v>
      </c>
      <c r="D658" s="21" t="s">
        <v>382</v>
      </c>
      <c r="E658" s="21" t="s">
        <v>161</v>
      </c>
      <c r="F658" s="93" t="s">
        <v>596</v>
      </c>
      <c r="G658" s="21" t="s">
        <v>101</v>
      </c>
      <c r="H658" s="94">
        <f>569.6+569.6</f>
        <v>1139.2</v>
      </c>
      <c r="I658" s="94">
        <f>569.6+569.6</f>
        <v>1139.2</v>
      </c>
      <c r="J658" s="94">
        <f>569.6+569.6</f>
        <v>1139.2</v>
      </c>
      <c r="K658" s="124"/>
      <c r="L658" s="124"/>
      <c r="M658" s="124"/>
      <c r="N658" s="124"/>
    </row>
    <row r="659" spans="2:14" s="125" customFormat="1" ht="14.25" customHeight="1" x14ac:dyDescent="0.2">
      <c r="B659" s="29" t="s">
        <v>16</v>
      </c>
      <c r="C659" s="21" t="s">
        <v>531</v>
      </c>
      <c r="D659" s="21" t="s">
        <v>382</v>
      </c>
      <c r="E659" s="21" t="s">
        <v>161</v>
      </c>
      <c r="F659" s="93" t="s">
        <v>204</v>
      </c>
      <c r="G659" s="21"/>
      <c r="H659" s="94">
        <f>H665+H660</f>
        <v>20912.7</v>
      </c>
      <c r="I659" s="94">
        <f>I665+I660</f>
        <v>18364.7</v>
      </c>
      <c r="J659" s="94">
        <f>J665+J660</f>
        <v>18364.7</v>
      </c>
      <c r="K659" s="124"/>
      <c r="L659" s="124"/>
      <c r="M659" s="124"/>
      <c r="N659" s="124"/>
    </row>
    <row r="660" spans="2:14" s="125" customFormat="1" ht="27.75" customHeight="1" x14ac:dyDescent="0.2">
      <c r="B660" s="20" t="s">
        <v>540</v>
      </c>
      <c r="C660" s="21" t="s">
        <v>531</v>
      </c>
      <c r="D660" s="21" t="s">
        <v>382</v>
      </c>
      <c r="E660" s="21" t="s">
        <v>161</v>
      </c>
      <c r="F660" s="93" t="s">
        <v>541</v>
      </c>
      <c r="G660" s="21"/>
      <c r="H660" s="94">
        <f>H661+H663</f>
        <v>20862.7</v>
      </c>
      <c r="I660" s="94">
        <f>I661+I663</f>
        <v>18314.7</v>
      </c>
      <c r="J660" s="94">
        <f>J661+J663</f>
        <v>18314.7</v>
      </c>
      <c r="K660" s="124"/>
      <c r="L660" s="124"/>
      <c r="M660" s="124"/>
      <c r="N660" s="124"/>
    </row>
    <row r="661" spans="2:14" s="125" customFormat="1" ht="14.25" customHeight="1" x14ac:dyDescent="0.2">
      <c r="B661" s="20" t="s">
        <v>597</v>
      </c>
      <c r="C661" s="21" t="s">
        <v>531</v>
      </c>
      <c r="D661" s="21" t="s">
        <v>382</v>
      </c>
      <c r="E661" s="21" t="s">
        <v>161</v>
      </c>
      <c r="F661" s="31" t="s">
        <v>598</v>
      </c>
      <c r="G661" s="47"/>
      <c r="H661" s="19">
        <f>H662</f>
        <v>17562.7</v>
      </c>
      <c r="I661" s="19">
        <f>I662</f>
        <v>18314.7</v>
      </c>
      <c r="J661" s="19">
        <f>J662</f>
        <v>18314.7</v>
      </c>
      <c r="K661" s="124"/>
      <c r="L661" s="124"/>
      <c r="M661" s="124"/>
      <c r="N661" s="124"/>
    </row>
    <row r="662" spans="2:14" s="125" customFormat="1" ht="14.25" customHeight="1" x14ac:dyDescent="0.2">
      <c r="B662" s="118" t="s">
        <v>100</v>
      </c>
      <c r="C662" s="21" t="s">
        <v>531</v>
      </c>
      <c r="D662" s="21" t="s">
        <v>382</v>
      </c>
      <c r="E662" s="21" t="s">
        <v>161</v>
      </c>
      <c r="F662" s="31" t="s">
        <v>598</v>
      </c>
      <c r="G662" s="47" t="s">
        <v>101</v>
      </c>
      <c r="H662" s="19">
        <f>18314.7-280-472</f>
        <v>17562.7</v>
      </c>
      <c r="I662" s="19">
        <f>18314.7</f>
        <v>18314.7</v>
      </c>
      <c r="J662" s="19">
        <f>18314.7</f>
        <v>18314.7</v>
      </c>
      <c r="K662" s="124"/>
      <c r="L662" s="124"/>
      <c r="M662" s="124"/>
      <c r="N662" s="124"/>
    </row>
    <row r="663" spans="2:14" s="125" customFormat="1" ht="28.5" customHeight="1" x14ac:dyDescent="0.2">
      <c r="B663" s="20" t="s">
        <v>599</v>
      </c>
      <c r="C663" s="21" t="s">
        <v>531</v>
      </c>
      <c r="D663" s="21" t="s">
        <v>382</v>
      </c>
      <c r="E663" s="21" t="s">
        <v>161</v>
      </c>
      <c r="F663" s="31" t="s">
        <v>600</v>
      </c>
      <c r="G663" s="47"/>
      <c r="H663" s="19">
        <f>H664</f>
        <v>3300</v>
      </c>
      <c r="I663" s="19">
        <f>I664</f>
        <v>0</v>
      </c>
      <c r="J663" s="19">
        <f>J664</f>
        <v>0</v>
      </c>
      <c r="K663" s="124"/>
      <c r="L663" s="124"/>
      <c r="M663" s="124"/>
      <c r="N663" s="124"/>
    </row>
    <row r="664" spans="2:14" s="125" customFormat="1" ht="19.5" customHeight="1" x14ac:dyDescent="0.2">
      <c r="B664" s="118" t="s">
        <v>100</v>
      </c>
      <c r="C664" s="21" t="s">
        <v>531</v>
      </c>
      <c r="D664" s="21" t="s">
        <v>382</v>
      </c>
      <c r="E664" s="21" t="s">
        <v>161</v>
      </c>
      <c r="F664" s="31" t="s">
        <v>600</v>
      </c>
      <c r="G664" s="47" t="s">
        <v>101</v>
      </c>
      <c r="H664" s="19">
        <v>3300</v>
      </c>
      <c r="I664" s="19">
        <v>0</v>
      </c>
      <c r="J664" s="57">
        <v>0</v>
      </c>
      <c r="K664" s="124"/>
      <c r="L664" s="124"/>
      <c r="M664" s="124"/>
      <c r="N664" s="124"/>
    </row>
    <row r="665" spans="2:14" s="125" customFormat="1" ht="27.75" customHeight="1" x14ac:dyDescent="0.2">
      <c r="B665" s="20" t="s">
        <v>589</v>
      </c>
      <c r="C665" s="21" t="s">
        <v>531</v>
      </c>
      <c r="D665" s="21" t="s">
        <v>382</v>
      </c>
      <c r="E665" s="21" t="s">
        <v>161</v>
      </c>
      <c r="F665" s="93" t="s">
        <v>590</v>
      </c>
      <c r="G665" s="21"/>
      <c r="H665" s="94">
        <f t="shared" ref="H665:J666" si="102">H666</f>
        <v>50</v>
      </c>
      <c r="I665" s="94">
        <f t="shared" si="102"/>
        <v>50</v>
      </c>
      <c r="J665" s="94">
        <f t="shared" si="102"/>
        <v>50</v>
      </c>
      <c r="K665" s="124"/>
      <c r="L665" s="124"/>
      <c r="M665" s="124"/>
      <c r="N665" s="124"/>
    </row>
    <row r="666" spans="2:14" s="125" customFormat="1" ht="28.5" customHeight="1" x14ac:dyDescent="0.2">
      <c r="B666" s="20" t="s">
        <v>591</v>
      </c>
      <c r="C666" s="21" t="s">
        <v>531</v>
      </c>
      <c r="D666" s="21" t="s">
        <v>382</v>
      </c>
      <c r="E666" s="21" t="s">
        <v>161</v>
      </c>
      <c r="F666" s="93" t="s">
        <v>592</v>
      </c>
      <c r="G666" s="21"/>
      <c r="H666" s="94">
        <f t="shared" si="102"/>
        <v>50</v>
      </c>
      <c r="I666" s="94">
        <f t="shared" si="102"/>
        <v>50</v>
      </c>
      <c r="J666" s="94">
        <f t="shared" si="102"/>
        <v>50</v>
      </c>
      <c r="K666" s="124"/>
      <c r="L666" s="124"/>
      <c r="M666" s="124"/>
      <c r="N666" s="124"/>
    </row>
    <row r="667" spans="2:14" s="125" customFormat="1" ht="14.25" customHeight="1" x14ac:dyDescent="0.2">
      <c r="B667" s="66" t="s">
        <v>100</v>
      </c>
      <c r="C667" s="21" t="s">
        <v>531</v>
      </c>
      <c r="D667" s="21" t="s">
        <v>382</v>
      </c>
      <c r="E667" s="21" t="s">
        <v>161</v>
      </c>
      <c r="F667" s="93" t="s">
        <v>592</v>
      </c>
      <c r="G667" s="21" t="s">
        <v>101</v>
      </c>
      <c r="H667" s="19">
        <v>50</v>
      </c>
      <c r="I667" s="19">
        <v>50</v>
      </c>
      <c r="J667" s="19">
        <v>50</v>
      </c>
      <c r="K667" s="124"/>
      <c r="L667" s="124"/>
      <c r="M667" s="124"/>
      <c r="N667" s="124"/>
    </row>
    <row r="668" spans="2:14" s="59" customFormat="1" ht="13.5" customHeight="1" x14ac:dyDescent="0.2">
      <c r="B668" s="90" t="s">
        <v>601</v>
      </c>
      <c r="C668" s="16" t="s">
        <v>531</v>
      </c>
      <c r="D668" s="16" t="s">
        <v>382</v>
      </c>
      <c r="E668" s="16" t="s">
        <v>166</v>
      </c>
      <c r="F668" s="16"/>
      <c r="G668" s="16"/>
      <c r="H668" s="17">
        <f>H669+H679+H674</f>
        <v>5613.5</v>
      </c>
      <c r="I668" s="17">
        <f>I669+I679+I674</f>
        <v>5585.5</v>
      </c>
      <c r="J668" s="17">
        <f>J669+J679+J674</f>
        <v>5585.5</v>
      </c>
    </row>
    <row r="669" spans="2:14" s="53" customFormat="1" ht="38.25" hidden="1" x14ac:dyDescent="0.2">
      <c r="B669" s="20" t="s">
        <v>602</v>
      </c>
      <c r="C669" s="21" t="s">
        <v>531</v>
      </c>
      <c r="D669" s="21" t="s">
        <v>382</v>
      </c>
      <c r="E669" s="21" t="s">
        <v>166</v>
      </c>
      <c r="F669" s="23" t="s">
        <v>327</v>
      </c>
      <c r="G669" s="21"/>
      <c r="H669" s="19">
        <f t="shared" ref="H669:J670" si="103">H670</f>
        <v>0</v>
      </c>
      <c r="I669" s="19">
        <f t="shared" si="103"/>
        <v>0</v>
      </c>
      <c r="J669" s="19">
        <f t="shared" si="103"/>
        <v>0</v>
      </c>
      <c r="K669" s="1"/>
      <c r="L669" s="1"/>
      <c r="M669" s="1"/>
      <c r="N669" s="1"/>
    </row>
    <row r="670" spans="2:14" s="53" customFormat="1" ht="25.5" hidden="1" x14ac:dyDescent="0.2">
      <c r="B670" s="49" t="s">
        <v>603</v>
      </c>
      <c r="C670" s="21" t="s">
        <v>531</v>
      </c>
      <c r="D670" s="21" t="s">
        <v>382</v>
      </c>
      <c r="E670" s="21" t="s">
        <v>166</v>
      </c>
      <c r="F670" s="23" t="s">
        <v>328</v>
      </c>
      <c r="G670" s="21"/>
      <c r="H670" s="19">
        <f t="shared" si="103"/>
        <v>0</v>
      </c>
      <c r="I670" s="19">
        <f t="shared" si="103"/>
        <v>0</v>
      </c>
      <c r="J670" s="19">
        <f t="shared" si="103"/>
        <v>0</v>
      </c>
      <c r="K670" s="1"/>
      <c r="L670" s="1"/>
      <c r="M670" s="1"/>
      <c r="N670" s="1"/>
    </row>
    <row r="671" spans="2:14" s="53" customFormat="1" ht="29.25" hidden="1" customHeight="1" x14ac:dyDescent="0.2">
      <c r="B671" s="40" t="s">
        <v>604</v>
      </c>
      <c r="C671" s="21" t="s">
        <v>531</v>
      </c>
      <c r="D671" s="21" t="s">
        <v>382</v>
      </c>
      <c r="E671" s="21" t="s">
        <v>166</v>
      </c>
      <c r="F671" s="23" t="s">
        <v>605</v>
      </c>
      <c r="G671" s="21"/>
      <c r="H671" s="19">
        <f>H672+H673</f>
        <v>0</v>
      </c>
      <c r="I671" s="19">
        <f>I672+I673</f>
        <v>0</v>
      </c>
      <c r="J671" s="19">
        <f>J672+J673</f>
        <v>0</v>
      </c>
      <c r="K671" s="1"/>
      <c r="L671" s="1"/>
      <c r="M671" s="1"/>
      <c r="N671" s="1"/>
    </row>
    <row r="672" spans="2:14" s="53" customFormat="1" ht="25.5" hidden="1" x14ac:dyDescent="0.2">
      <c r="B672" s="40" t="s">
        <v>34</v>
      </c>
      <c r="C672" s="21" t="s">
        <v>531</v>
      </c>
      <c r="D672" s="21" t="s">
        <v>382</v>
      </c>
      <c r="E672" s="21" t="s">
        <v>166</v>
      </c>
      <c r="F672" s="23" t="s">
        <v>605</v>
      </c>
      <c r="G672" s="21" t="s">
        <v>35</v>
      </c>
      <c r="H672" s="19"/>
      <c r="I672" s="19"/>
      <c r="J672" s="19"/>
      <c r="K672" s="1"/>
      <c r="L672" s="1"/>
      <c r="M672" s="1"/>
      <c r="N672" s="1"/>
    </row>
    <row r="673" spans="2:14" s="53" customFormat="1" ht="17.25" hidden="1" customHeight="1" x14ac:dyDescent="0.2">
      <c r="B673" s="49" t="s">
        <v>100</v>
      </c>
      <c r="C673" s="21" t="s">
        <v>531</v>
      </c>
      <c r="D673" s="21" t="s">
        <v>382</v>
      </c>
      <c r="E673" s="21" t="s">
        <v>166</v>
      </c>
      <c r="F673" s="23" t="s">
        <v>605</v>
      </c>
      <c r="G673" s="21" t="s">
        <v>101</v>
      </c>
      <c r="H673" s="19">
        <v>0</v>
      </c>
      <c r="I673" s="19">
        <v>0</v>
      </c>
      <c r="J673" s="19">
        <v>0</v>
      </c>
      <c r="K673" s="1"/>
      <c r="L673" s="1"/>
      <c r="M673" s="1"/>
      <c r="N673" s="1"/>
    </row>
    <row r="674" spans="2:14" s="53" customFormat="1" ht="25.5" hidden="1" x14ac:dyDescent="0.2">
      <c r="B674" s="32" t="s">
        <v>14</v>
      </c>
      <c r="C674" s="21" t="s">
        <v>531</v>
      </c>
      <c r="D674" s="21" t="s">
        <v>382</v>
      </c>
      <c r="E674" s="21" t="s">
        <v>166</v>
      </c>
      <c r="F674" s="21" t="s">
        <v>139</v>
      </c>
      <c r="G674" s="21"/>
      <c r="H674" s="19">
        <f t="shared" ref="H674:J677" si="104">H675</f>
        <v>0</v>
      </c>
      <c r="I674" s="19">
        <f t="shared" si="104"/>
        <v>0</v>
      </c>
      <c r="J674" s="19">
        <f t="shared" si="104"/>
        <v>0</v>
      </c>
      <c r="K674" s="1"/>
      <c r="L674" s="1"/>
      <c r="M674" s="1"/>
      <c r="N674" s="1"/>
    </row>
    <row r="675" spans="2:14" s="53" customFormat="1" ht="38.25" hidden="1" x14ac:dyDescent="0.2">
      <c r="B675" s="32" t="s">
        <v>606</v>
      </c>
      <c r="C675" s="21" t="s">
        <v>531</v>
      </c>
      <c r="D675" s="21" t="s">
        <v>382</v>
      </c>
      <c r="E675" s="21" t="s">
        <v>166</v>
      </c>
      <c r="F675" s="21" t="s">
        <v>148</v>
      </c>
      <c r="G675" s="21"/>
      <c r="H675" s="19">
        <f t="shared" si="104"/>
        <v>0</v>
      </c>
      <c r="I675" s="19">
        <f t="shared" si="104"/>
        <v>0</v>
      </c>
      <c r="J675" s="19">
        <f t="shared" si="104"/>
        <v>0</v>
      </c>
      <c r="K675" s="1"/>
      <c r="L675" s="1"/>
      <c r="M675" s="1"/>
      <c r="N675" s="1"/>
    </row>
    <row r="676" spans="2:14" s="53" customFormat="1" ht="25.5" hidden="1" x14ac:dyDescent="0.2">
      <c r="B676" s="20" t="s">
        <v>607</v>
      </c>
      <c r="C676" s="21" t="s">
        <v>531</v>
      </c>
      <c r="D676" s="21" t="s">
        <v>382</v>
      </c>
      <c r="E676" s="21" t="s">
        <v>166</v>
      </c>
      <c r="F676" s="21" t="s">
        <v>391</v>
      </c>
      <c r="G676" s="21"/>
      <c r="H676" s="19">
        <f t="shared" si="104"/>
        <v>0</v>
      </c>
      <c r="I676" s="19">
        <f t="shared" si="104"/>
        <v>0</v>
      </c>
      <c r="J676" s="19">
        <f t="shared" si="104"/>
        <v>0</v>
      </c>
      <c r="K676" s="1"/>
      <c r="L676" s="1"/>
      <c r="M676" s="1"/>
      <c r="N676" s="1"/>
    </row>
    <row r="677" spans="2:14" s="53" customFormat="1" ht="114.75" hidden="1" x14ac:dyDescent="0.2">
      <c r="B677" s="126" t="s">
        <v>608</v>
      </c>
      <c r="C677" s="21" t="s">
        <v>531</v>
      </c>
      <c r="D677" s="21" t="s">
        <v>382</v>
      </c>
      <c r="E677" s="21" t="s">
        <v>166</v>
      </c>
      <c r="F677" s="23" t="s">
        <v>609</v>
      </c>
      <c r="G677" s="21"/>
      <c r="H677" s="19">
        <f t="shared" si="104"/>
        <v>0</v>
      </c>
      <c r="I677" s="19">
        <f t="shared" si="104"/>
        <v>0</v>
      </c>
      <c r="J677" s="19">
        <f t="shared" si="104"/>
        <v>0</v>
      </c>
      <c r="K677" s="1"/>
      <c r="L677" s="1"/>
      <c r="M677" s="1"/>
      <c r="N677" s="1"/>
    </row>
    <row r="678" spans="2:14" s="53" customFormat="1" ht="25.5" hidden="1" x14ac:dyDescent="0.2">
      <c r="B678" s="126" t="s">
        <v>22</v>
      </c>
      <c r="C678" s="21" t="s">
        <v>531</v>
      </c>
      <c r="D678" s="21" t="s">
        <v>382</v>
      </c>
      <c r="E678" s="21" t="s">
        <v>166</v>
      </c>
      <c r="F678" s="23" t="s">
        <v>609</v>
      </c>
      <c r="G678" s="21" t="s">
        <v>23</v>
      </c>
      <c r="H678" s="19"/>
      <c r="I678" s="19"/>
      <c r="J678" s="19"/>
      <c r="K678" s="1"/>
      <c r="L678" s="1"/>
      <c r="M678" s="1"/>
      <c r="N678" s="1"/>
    </row>
    <row r="679" spans="2:14" s="53" customFormat="1" ht="25.5" x14ac:dyDescent="0.2">
      <c r="B679" s="49" t="s">
        <v>202</v>
      </c>
      <c r="C679" s="21" t="s">
        <v>531</v>
      </c>
      <c r="D679" s="21" t="s">
        <v>382</v>
      </c>
      <c r="E679" s="21" t="s">
        <v>166</v>
      </c>
      <c r="F679" s="23" t="s">
        <v>203</v>
      </c>
      <c r="G679" s="21"/>
      <c r="H679" s="19">
        <f>H680</f>
        <v>5613.5</v>
      </c>
      <c r="I679" s="19">
        <f>I680</f>
        <v>5585.5</v>
      </c>
      <c r="J679" s="19">
        <f>J680</f>
        <v>5585.5</v>
      </c>
      <c r="K679" s="1"/>
      <c r="L679" s="1"/>
      <c r="M679" s="1"/>
      <c r="N679" s="1"/>
    </row>
    <row r="680" spans="2:14" s="53" customFormat="1" x14ac:dyDescent="0.2">
      <c r="B680" s="29" t="s">
        <v>16</v>
      </c>
      <c r="C680" s="21" t="s">
        <v>531</v>
      </c>
      <c r="D680" s="21" t="s">
        <v>382</v>
      </c>
      <c r="E680" s="21" t="s">
        <v>166</v>
      </c>
      <c r="F680" s="93" t="s">
        <v>204</v>
      </c>
      <c r="G680" s="21"/>
      <c r="H680" s="94">
        <f>H681+H687</f>
        <v>5613.5</v>
      </c>
      <c r="I680" s="94">
        <f>I681+I687</f>
        <v>5585.5</v>
      </c>
      <c r="J680" s="94">
        <f>J681+J687</f>
        <v>5585.5</v>
      </c>
      <c r="K680" s="1"/>
      <c r="L680" s="1"/>
      <c r="M680" s="1"/>
      <c r="N680" s="1"/>
    </row>
    <row r="681" spans="2:14" s="53" customFormat="1" ht="29.25" customHeight="1" x14ac:dyDescent="0.2">
      <c r="B681" s="20" t="s">
        <v>589</v>
      </c>
      <c r="C681" s="21" t="s">
        <v>531</v>
      </c>
      <c r="D681" s="21" t="s">
        <v>382</v>
      </c>
      <c r="E681" s="21" t="s">
        <v>166</v>
      </c>
      <c r="F681" s="93" t="s">
        <v>590</v>
      </c>
      <c r="G681" s="21"/>
      <c r="H681" s="94">
        <f>H682+H685</f>
        <v>782.5</v>
      </c>
      <c r="I681" s="94">
        <f>I682+I685</f>
        <v>782.5</v>
      </c>
      <c r="J681" s="94">
        <f>J682+J685</f>
        <v>782.5</v>
      </c>
      <c r="K681" s="1"/>
      <c r="L681" s="1"/>
      <c r="M681" s="1"/>
      <c r="N681" s="1"/>
    </row>
    <row r="682" spans="2:14" s="53" customFormat="1" ht="25.5" x14ac:dyDescent="0.2">
      <c r="B682" s="20" t="s">
        <v>591</v>
      </c>
      <c r="C682" s="21" t="s">
        <v>531</v>
      </c>
      <c r="D682" s="21" t="s">
        <v>382</v>
      </c>
      <c r="E682" s="21" t="s">
        <v>166</v>
      </c>
      <c r="F682" s="93" t="s">
        <v>592</v>
      </c>
      <c r="G682" s="21"/>
      <c r="H682" s="94">
        <f>H683+H684</f>
        <v>282.5</v>
      </c>
      <c r="I682" s="94">
        <f>I683+I684</f>
        <v>282.5</v>
      </c>
      <c r="J682" s="94">
        <f>J683+J684</f>
        <v>282.5</v>
      </c>
      <c r="K682" s="1"/>
      <c r="L682" s="1"/>
      <c r="M682" s="1"/>
      <c r="N682" s="1"/>
    </row>
    <row r="683" spans="2:14" s="53" customFormat="1" ht="25.5" x14ac:dyDescent="0.2">
      <c r="B683" s="63" t="s">
        <v>22</v>
      </c>
      <c r="C683" s="21" t="s">
        <v>531</v>
      </c>
      <c r="D683" s="21" t="s">
        <v>382</v>
      </c>
      <c r="E683" s="21" t="s">
        <v>166</v>
      </c>
      <c r="F683" s="93" t="s">
        <v>592</v>
      </c>
      <c r="G683" s="21" t="s">
        <v>23</v>
      </c>
      <c r="H683" s="94">
        <v>62</v>
      </c>
      <c r="I683" s="94">
        <v>62</v>
      </c>
      <c r="J683" s="94">
        <v>62</v>
      </c>
      <c r="K683" s="1"/>
      <c r="L683" s="1"/>
      <c r="M683" s="1"/>
      <c r="N683" s="1"/>
    </row>
    <row r="684" spans="2:14" s="53" customFormat="1" ht="29.25" customHeight="1" x14ac:dyDescent="0.2">
      <c r="B684" s="63" t="s">
        <v>34</v>
      </c>
      <c r="C684" s="21" t="s">
        <v>531</v>
      </c>
      <c r="D684" s="21" t="s">
        <v>382</v>
      </c>
      <c r="E684" s="21" t="s">
        <v>166</v>
      </c>
      <c r="F684" s="93" t="s">
        <v>592</v>
      </c>
      <c r="G684" s="21" t="s">
        <v>35</v>
      </c>
      <c r="H684" s="19">
        <v>220.5</v>
      </c>
      <c r="I684" s="19">
        <v>220.5</v>
      </c>
      <c r="J684" s="19">
        <v>220.5</v>
      </c>
      <c r="K684" s="1"/>
      <c r="L684" s="1"/>
      <c r="M684" s="1"/>
      <c r="N684" s="1"/>
    </row>
    <row r="685" spans="2:14" s="125" customFormat="1" ht="14.25" customHeight="1" x14ac:dyDescent="0.2">
      <c r="B685" s="49" t="s">
        <v>610</v>
      </c>
      <c r="C685" s="21" t="s">
        <v>531</v>
      </c>
      <c r="D685" s="21" t="s">
        <v>382</v>
      </c>
      <c r="E685" s="21" t="s">
        <v>166</v>
      </c>
      <c r="F685" s="23" t="s">
        <v>611</v>
      </c>
      <c r="G685" s="127"/>
      <c r="H685" s="68">
        <f>H686</f>
        <v>500</v>
      </c>
      <c r="I685" s="68">
        <f>I686</f>
        <v>500</v>
      </c>
      <c r="J685" s="68">
        <f>J686</f>
        <v>500</v>
      </c>
      <c r="K685" s="124"/>
      <c r="L685" s="124"/>
      <c r="M685" s="124"/>
      <c r="N685" s="124"/>
    </row>
    <row r="686" spans="2:14" s="125" customFormat="1" ht="14.25" customHeight="1" x14ac:dyDescent="0.2">
      <c r="B686" s="118" t="s">
        <v>100</v>
      </c>
      <c r="C686" s="21" t="s">
        <v>531</v>
      </c>
      <c r="D686" s="21" t="s">
        <v>382</v>
      </c>
      <c r="E686" s="21" t="s">
        <v>166</v>
      </c>
      <c r="F686" s="23" t="s">
        <v>611</v>
      </c>
      <c r="G686" s="127" t="s">
        <v>101</v>
      </c>
      <c r="H686" s="68">
        <v>500</v>
      </c>
      <c r="I686" s="68">
        <v>500</v>
      </c>
      <c r="J686" s="68">
        <v>500</v>
      </c>
      <c r="K686" s="124"/>
      <c r="L686" s="124"/>
      <c r="M686" s="124"/>
      <c r="N686" s="124"/>
    </row>
    <row r="687" spans="2:14" s="53" customFormat="1" ht="25.5" x14ac:dyDescent="0.2">
      <c r="B687" s="20" t="s">
        <v>612</v>
      </c>
      <c r="C687" s="21" t="s">
        <v>531</v>
      </c>
      <c r="D687" s="21" t="s">
        <v>382</v>
      </c>
      <c r="E687" s="21" t="s">
        <v>166</v>
      </c>
      <c r="F687" s="31" t="s">
        <v>613</v>
      </c>
      <c r="G687" s="47"/>
      <c r="H687" s="19">
        <f>H688+H691</f>
        <v>4831</v>
      </c>
      <c r="I687" s="19">
        <f>I688+I691</f>
        <v>4803</v>
      </c>
      <c r="J687" s="19">
        <f>J688+J691</f>
        <v>4803</v>
      </c>
      <c r="K687" s="1"/>
      <c r="L687" s="1"/>
      <c r="M687" s="1"/>
      <c r="N687" s="1"/>
    </row>
    <row r="688" spans="2:14" s="53" customFormat="1" x14ac:dyDescent="0.2">
      <c r="B688" s="20" t="s">
        <v>614</v>
      </c>
      <c r="C688" s="21" t="s">
        <v>531</v>
      </c>
      <c r="D688" s="21" t="s">
        <v>382</v>
      </c>
      <c r="E688" s="21" t="s">
        <v>166</v>
      </c>
      <c r="F688" s="31" t="s">
        <v>615</v>
      </c>
      <c r="G688" s="47"/>
      <c r="H688" s="19">
        <f>H689+H690</f>
        <v>4631</v>
      </c>
      <c r="I688" s="19">
        <f>I689+I690</f>
        <v>4553</v>
      </c>
      <c r="J688" s="19">
        <f>J689+J690</f>
        <v>4553</v>
      </c>
      <c r="K688" s="1"/>
      <c r="L688" s="1"/>
      <c r="M688" s="1"/>
      <c r="N688" s="1"/>
    </row>
    <row r="689" spans="2:14" s="53" customFormat="1" ht="25.5" x14ac:dyDescent="0.2">
      <c r="B689" s="63" t="s">
        <v>22</v>
      </c>
      <c r="C689" s="21" t="s">
        <v>531</v>
      </c>
      <c r="D689" s="21" t="s">
        <v>382</v>
      </c>
      <c r="E689" s="21" t="s">
        <v>166</v>
      </c>
      <c r="F689" s="31" t="s">
        <v>615</v>
      </c>
      <c r="G689" s="47" t="s">
        <v>23</v>
      </c>
      <c r="H689" s="19">
        <f>2358.4+1812.6+22+78</f>
        <v>4271</v>
      </c>
      <c r="I689" s="19">
        <f>2358.4+1812.6+22</f>
        <v>4193</v>
      </c>
      <c r="J689" s="19">
        <f>2358.4+1812.6+22</f>
        <v>4193</v>
      </c>
      <c r="K689" s="1"/>
      <c r="L689" s="1"/>
      <c r="M689" s="1"/>
      <c r="N689" s="1"/>
    </row>
    <row r="690" spans="2:14" s="53" customFormat="1" ht="25.5" x14ac:dyDescent="0.2">
      <c r="B690" s="20" t="s">
        <v>34</v>
      </c>
      <c r="C690" s="21" t="s">
        <v>531</v>
      </c>
      <c r="D690" s="21" t="s">
        <v>382</v>
      </c>
      <c r="E690" s="21" t="s">
        <v>166</v>
      </c>
      <c r="F690" s="31" t="s">
        <v>615</v>
      </c>
      <c r="G690" s="47" t="s">
        <v>35</v>
      </c>
      <c r="H690" s="19">
        <v>360</v>
      </c>
      <c r="I690" s="19">
        <v>360</v>
      </c>
      <c r="J690" s="57">
        <v>360</v>
      </c>
      <c r="K690" s="1"/>
      <c r="L690" s="1"/>
      <c r="M690" s="1"/>
      <c r="N690" s="1"/>
    </row>
    <row r="691" spans="2:14" s="53" customFormat="1" ht="38.25" x14ac:dyDescent="0.2">
      <c r="B691" s="20" t="s">
        <v>616</v>
      </c>
      <c r="C691" s="21" t="s">
        <v>531</v>
      </c>
      <c r="D691" s="21" t="s">
        <v>382</v>
      </c>
      <c r="E691" s="21" t="s">
        <v>166</v>
      </c>
      <c r="F691" s="31" t="s">
        <v>617</v>
      </c>
      <c r="G691" s="47"/>
      <c r="H691" s="19">
        <f>H692</f>
        <v>200</v>
      </c>
      <c r="I691" s="19">
        <f>I692</f>
        <v>250</v>
      </c>
      <c r="J691" s="19">
        <f>J692</f>
        <v>250</v>
      </c>
      <c r="K691" s="1"/>
      <c r="L691" s="1"/>
      <c r="M691" s="1"/>
      <c r="N691" s="1"/>
    </row>
    <row r="692" spans="2:14" s="53" customFormat="1" ht="25.5" x14ac:dyDescent="0.2">
      <c r="B692" s="20" t="s">
        <v>34</v>
      </c>
      <c r="C692" s="21" t="s">
        <v>531</v>
      </c>
      <c r="D692" s="21" t="s">
        <v>382</v>
      </c>
      <c r="E692" s="21" t="s">
        <v>166</v>
      </c>
      <c r="F692" s="31" t="s">
        <v>617</v>
      </c>
      <c r="G692" s="47" t="s">
        <v>35</v>
      </c>
      <c r="H692" s="19">
        <f>250-50</f>
        <v>200</v>
      </c>
      <c r="I692" s="19">
        <v>250</v>
      </c>
      <c r="J692" s="57">
        <v>250</v>
      </c>
      <c r="K692" s="1"/>
      <c r="L692" s="1"/>
      <c r="M692" s="1"/>
      <c r="N692" s="1"/>
    </row>
    <row r="693" spans="2:14" s="1" customFormat="1" x14ac:dyDescent="0.2">
      <c r="B693" s="15" t="s">
        <v>425</v>
      </c>
      <c r="C693" s="16" t="s">
        <v>531</v>
      </c>
      <c r="D693" s="16" t="s">
        <v>426</v>
      </c>
      <c r="E693" s="16"/>
      <c r="F693" s="16"/>
      <c r="G693" s="16"/>
      <c r="H693" s="17">
        <f>H694+H700+H707</f>
        <v>2035.3</v>
      </c>
      <c r="I693" s="17">
        <f>I694+I700+I707</f>
        <v>1461.6</v>
      </c>
      <c r="J693" s="17">
        <f>J694+J700+J707</f>
        <v>1461.6</v>
      </c>
    </row>
    <row r="694" spans="2:14" s="1" customFormat="1" x14ac:dyDescent="0.2">
      <c r="B694" s="15" t="s">
        <v>432</v>
      </c>
      <c r="C694" s="16" t="s">
        <v>531</v>
      </c>
      <c r="D694" s="16" t="s">
        <v>426</v>
      </c>
      <c r="E694" s="16" t="s">
        <v>161</v>
      </c>
      <c r="F694" s="16"/>
      <c r="G694" s="16"/>
      <c r="H694" s="17">
        <f t="shared" ref="H694:J698" si="105">H695</f>
        <v>1461.6</v>
      </c>
      <c r="I694" s="17">
        <f t="shared" si="105"/>
        <v>1461.6</v>
      </c>
      <c r="J694" s="17">
        <f t="shared" si="105"/>
        <v>1461.6</v>
      </c>
    </row>
    <row r="695" spans="2:14" s="53" customFormat="1" ht="27.75" customHeight="1" x14ac:dyDescent="0.2">
      <c r="B695" s="49" t="s">
        <v>202</v>
      </c>
      <c r="C695" s="21" t="s">
        <v>531</v>
      </c>
      <c r="D695" s="21" t="s">
        <v>426</v>
      </c>
      <c r="E695" s="21" t="s">
        <v>161</v>
      </c>
      <c r="F695" s="23" t="s">
        <v>203</v>
      </c>
      <c r="G695" s="21"/>
      <c r="H695" s="19">
        <f t="shared" si="105"/>
        <v>1461.6</v>
      </c>
      <c r="I695" s="19">
        <f t="shared" si="105"/>
        <v>1461.6</v>
      </c>
      <c r="J695" s="19">
        <f t="shared" si="105"/>
        <v>1461.6</v>
      </c>
      <c r="K695" s="1"/>
      <c r="L695" s="1"/>
      <c r="M695" s="1"/>
      <c r="N695" s="1"/>
    </row>
    <row r="696" spans="2:14" s="53" customFormat="1" ht="15" customHeight="1" x14ac:dyDescent="0.2">
      <c r="B696" s="20" t="s">
        <v>16</v>
      </c>
      <c r="C696" s="21" t="s">
        <v>531</v>
      </c>
      <c r="D696" s="21" t="s">
        <v>426</v>
      </c>
      <c r="E696" s="21" t="s">
        <v>161</v>
      </c>
      <c r="F696" s="23" t="s">
        <v>204</v>
      </c>
      <c r="G696" s="21"/>
      <c r="H696" s="19">
        <f t="shared" si="105"/>
        <v>1461.6</v>
      </c>
      <c r="I696" s="19">
        <f t="shared" si="105"/>
        <v>1461.6</v>
      </c>
      <c r="J696" s="19">
        <f t="shared" si="105"/>
        <v>1461.6</v>
      </c>
      <c r="K696" s="1"/>
      <c r="L696" s="1"/>
      <c r="M696" s="1"/>
      <c r="N696" s="1"/>
    </row>
    <row r="697" spans="2:14" s="53" customFormat="1" ht="27" customHeight="1" x14ac:dyDescent="0.2">
      <c r="B697" s="33" t="s">
        <v>585</v>
      </c>
      <c r="C697" s="21" t="s">
        <v>531</v>
      </c>
      <c r="D697" s="21" t="s">
        <v>426</v>
      </c>
      <c r="E697" s="21" t="s">
        <v>161</v>
      </c>
      <c r="F697" s="69" t="s">
        <v>586</v>
      </c>
      <c r="G697" s="21"/>
      <c r="H697" s="19">
        <f t="shared" si="105"/>
        <v>1461.6</v>
      </c>
      <c r="I697" s="19">
        <f t="shared" si="105"/>
        <v>1461.6</v>
      </c>
      <c r="J697" s="19">
        <f t="shared" si="105"/>
        <v>1461.6</v>
      </c>
      <c r="K697" s="1"/>
      <c r="L697" s="1"/>
      <c r="M697" s="1"/>
      <c r="N697" s="1"/>
    </row>
    <row r="698" spans="2:14" s="53" customFormat="1" ht="36.75" customHeight="1" x14ac:dyDescent="0.2">
      <c r="B698" s="120" t="s">
        <v>587</v>
      </c>
      <c r="C698" s="21" t="s">
        <v>531</v>
      </c>
      <c r="D698" s="21" t="s">
        <v>426</v>
      </c>
      <c r="E698" s="21" t="s">
        <v>161</v>
      </c>
      <c r="F698" s="23" t="s">
        <v>588</v>
      </c>
      <c r="G698" s="21"/>
      <c r="H698" s="19">
        <f t="shared" si="105"/>
        <v>1461.6</v>
      </c>
      <c r="I698" s="19">
        <f t="shared" si="105"/>
        <v>1461.6</v>
      </c>
      <c r="J698" s="19">
        <f t="shared" si="105"/>
        <v>1461.6</v>
      </c>
      <c r="K698" s="1"/>
      <c r="L698" s="1"/>
      <c r="M698" s="1"/>
      <c r="N698" s="1"/>
    </row>
    <row r="699" spans="2:14" s="53" customFormat="1" ht="15" customHeight="1" x14ac:dyDescent="0.2">
      <c r="B699" s="49" t="s">
        <v>440</v>
      </c>
      <c r="C699" s="21" t="s">
        <v>531</v>
      </c>
      <c r="D699" s="21" t="s">
        <v>426</v>
      </c>
      <c r="E699" s="21" t="s">
        <v>161</v>
      </c>
      <c r="F699" s="23" t="s">
        <v>588</v>
      </c>
      <c r="G699" s="21" t="s">
        <v>431</v>
      </c>
      <c r="H699" s="19">
        <v>1461.6</v>
      </c>
      <c r="I699" s="19">
        <v>1461.6</v>
      </c>
      <c r="J699" s="19">
        <v>1461.6</v>
      </c>
      <c r="K699" s="1"/>
      <c r="L699" s="1"/>
      <c r="M699" s="1"/>
      <c r="N699" s="1"/>
    </row>
    <row r="700" spans="2:14" s="1" customFormat="1" hidden="1" x14ac:dyDescent="0.2">
      <c r="B700" s="116" t="s">
        <v>618</v>
      </c>
      <c r="C700" s="16" t="s">
        <v>531</v>
      </c>
      <c r="D700" s="16" t="s">
        <v>426</v>
      </c>
      <c r="E700" s="16" t="s">
        <v>26</v>
      </c>
      <c r="F700" s="16"/>
      <c r="G700" s="16"/>
      <c r="H700" s="17">
        <f t="shared" ref="H700:J703" si="106">H701</f>
        <v>0</v>
      </c>
      <c r="I700" s="17">
        <f t="shared" si="106"/>
        <v>0</v>
      </c>
      <c r="J700" s="17">
        <f t="shared" si="106"/>
        <v>0</v>
      </c>
    </row>
    <row r="701" spans="2:14" s="53" customFormat="1" ht="25.5" hidden="1" x14ac:dyDescent="0.2">
      <c r="B701" s="49" t="s">
        <v>202</v>
      </c>
      <c r="C701" s="21" t="s">
        <v>531</v>
      </c>
      <c r="D701" s="21" t="s">
        <v>426</v>
      </c>
      <c r="E701" s="21" t="s">
        <v>26</v>
      </c>
      <c r="F701" s="23" t="s">
        <v>62</v>
      </c>
      <c r="G701" s="21"/>
      <c r="H701" s="19">
        <f t="shared" si="106"/>
        <v>0</v>
      </c>
      <c r="I701" s="19">
        <f t="shared" si="106"/>
        <v>0</v>
      </c>
      <c r="J701" s="19">
        <f t="shared" si="106"/>
        <v>0</v>
      </c>
      <c r="K701" s="1"/>
      <c r="L701" s="1"/>
      <c r="M701" s="1"/>
      <c r="N701" s="1"/>
    </row>
    <row r="702" spans="2:14" s="53" customFormat="1" ht="25.5" hidden="1" x14ac:dyDescent="0.2">
      <c r="B702" s="20" t="s">
        <v>619</v>
      </c>
      <c r="C702" s="21" t="s">
        <v>531</v>
      </c>
      <c r="D702" s="21" t="s">
        <v>426</v>
      </c>
      <c r="E702" s="21" t="s">
        <v>26</v>
      </c>
      <c r="F702" s="23" t="s">
        <v>620</v>
      </c>
      <c r="G702" s="21"/>
      <c r="H702" s="19">
        <f t="shared" si="106"/>
        <v>0</v>
      </c>
      <c r="I702" s="19">
        <f t="shared" si="106"/>
        <v>0</v>
      </c>
      <c r="J702" s="19">
        <f t="shared" si="106"/>
        <v>0</v>
      </c>
      <c r="K702" s="1"/>
      <c r="L702" s="1"/>
      <c r="M702" s="1"/>
      <c r="N702" s="1"/>
    </row>
    <row r="703" spans="2:14" s="53" customFormat="1" ht="38.25" hidden="1" x14ac:dyDescent="0.2">
      <c r="B703" s="50" t="s">
        <v>621</v>
      </c>
      <c r="C703" s="21" t="s">
        <v>531</v>
      </c>
      <c r="D703" s="21" t="s">
        <v>426</v>
      </c>
      <c r="E703" s="21" t="s">
        <v>26</v>
      </c>
      <c r="F703" s="23" t="s">
        <v>622</v>
      </c>
      <c r="G703" s="21"/>
      <c r="H703" s="19">
        <f t="shared" si="106"/>
        <v>0</v>
      </c>
      <c r="I703" s="19">
        <f t="shared" si="106"/>
        <v>0</v>
      </c>
      <c r="J703" s="19">
        <f t="shared" si="106"/>
        <v>0</v>
      </c>
      <c r="K703" s="1"/>
      <c r="L703" s="1"/>
      <c r="M703" s="1"/>
      <c r="N703" s="1"/>
    </row>
    <row r="704" spans="2:14" s="53" customFormat="1" ht="54" hidden="1" customHeight="1" x14ac:dyDescent="0.2">
      <c r="B704" s="38" t="s">
        <v>623</v>
      </c>
      <c r="C704" s="21" t="s">
        <v>531</v>
      </c>
      <c r="D704" s="21" t="s">
        <v>426</v>
      </c>
      <c r="E704" s="21" t="s">
        <v>26</v>
      </c>
      <c r="F704" s="23" t="s">
        <v>624</v>
      </c>
      <c r="G704" s="21"/>
      <c r="H704" s="19">
        <f>H706+H705</f>
        <v>0</v>
      </c>
      <c r="I704" s="19">
        <f>I706+I705</f>
        <v>0</v>
      </c>
      <c r="J704" s="19">
        <f>J706+J705</f>
        <v>0</v>
      </c>
      <c r="K704" s="1"/>
      <c r="L704" s="1"/>
      <c r="M704" s="1"/>
      <c r="N704" s="1"/>
    </row>
    <row r="705" spans="2:14" s="53" customFormat="1" ht="28.5" hidden="1" customHeight="1" x14ac:dyDescent="0.2">
      <c r="B705" s="40" t="s">
        <v>34</v>
      </c>
      <c r="C705" s="21" t="s">
        <v>531</v>
      </c>
      <c r="D705" s="21" t="s">
        <v>426</v>
      </c>
      <c r="E705" s="21" t="s">
        <v>26</v>
      </c>
      <c r="F705" s="23" t="s">
        <v>624</v>
      </c>
      <c r="G705" s="21" t="s">
        <v>35</v>
      </c>
      <c r="H705" s="19">
        <f>9-9</f>
        <v>0</v>
      </c>
      <c r="I705" s="19">
        <f>9-9</f>
        <v>0</v>
      </c>
      <c r="J705" s="19">
        <f>9-9</f>
        <v>0</v>
      </c>
      <c r="K705" s="1"/>
      <c r="L705" s="1"/>
      <c r="M705" s="1"/>
      <c r="N705" s="1"/>
    </row>
    <row r="706" spans="2:14" s="53" customFormat="1" ht="25.5" hidden="1" x14ac:dyDescent="0.2">
      <c r="B706" s="49" t="s">
        <v>435</v>
      </c>
      <c r="C706" s="21" t="s">
        <v>531</v>
      </c>
      <c r="D706" s="21" t="s">
        <v>426</v>
      </c>
      <c r="E706" s="21" t="s">
        <v>26</v>
      </c>
      <c r="F706" s="23" t="s">
        <v>624</v>
      </c>
      <c r="G706" s="21" t="s">
        <v>101</v>
      </c>
      <c r="H706" s="19"/>
      <c r="I706" s="19"/>
      <c r="J706" s="19"/>
      <c r="K706" s="1"/>
      <c r="L706" s="1"/>
      <c r="M706" s="1"/>
      <c r="N706" s="1"/>
    </row>
    <row r="707" spans="2:14" s="53" customFormat="1" x14ac:dyDescent="0.2">
      <c r="B707" s="128" t="s">
        <v>454</v>
      </c>
      <c r="C707" s="16" t="s">
        <v>531</v>
      </c>
      <c r="D707" s="110" t="s">
        <v>426</v>
      </c>
      <c r="E707" s="110" t="s">
        <v>364</v>
      </c>
      <c r="F707" s="23"/>
      <c r="G707" s="21"/>
      <c r="H707" s="17">
        <f t="shared" ref="H707:J711" si="107">H708</f>
        <v>573.70000000000005</v>
      </c>
      <c r="I707" s="17">
        <f t="shared" si="107"/>
        <v>0</v>
      </c>
      <c r="J707" s="17">
        <f t="shared" si="107"/>
        <v>0</v>
      </c>
      <c r="K707" s="1"/>
      <c r="L707" s="1"/>
      <c r="M707" s="1"/>
      <c r="N707" s="1"/>
    </row>
    <row r="708" spans="2:14" s="53" customFormat="1" ht="25.5" x14ac:dyDescent="0.2">
      <c r="B708" s="121" t="s">
        <v>27</v>
      </c>
      <c r="C708" s="21" t="s">
        <v>531</v>
      </c>
      <c r="D708" s="28" t="s">
        <v>426</v>
      </c>
      <c r="E708" s="28" t="s">
        <v>364</v>
      </c>
      <c r="F708" s="28" t="s">
        <v>28</v>
      </c>
      <c r="G708" s="28"/>
      <c r="H708" s="19">
        <f t="shared" si="107"/>
        <v>573.70000000000005</v>
      </c>
      <c r="I708" s="19">
        <f t="shared" si="107"/>
        <v>0</v>
      </c>
      <c r="J708" s="19">
        <f t="shared" si="107"/>
        <v>0</v>
      </c>
      <c r="K708" s="1"/>
      <c r="L708" s="1"/>
      <c r="M708" s="1"/>
      <c r="N708" s="1"/>
    </row>
    <row r="709" spans="2:14" s="53" customFormat="1" x14ac:dyDescent="0.2">
      <c r="B709" s="129" t="s">
        <v>16</v>
      </c>
      <c r="C709" s="21" t="s">
        <v>531</v>
      </c>
      <c r="D709" s="21" t="s">
        <v>426</v>
      </c>
      <c r="E709" s="21" t="s">
        <v>364</v>
      </c>
      <c r="F709" s="31" t="s">
        <v>29</v>
      </c>
      <c r="G709" s="21"/>
      <c r="H709" s="19">
        <f t="shared" si="107"/>
        <v>573.70000000000005</v>
      </c>
      <c r="I709" s="19">
        <f t="shared" si="107"/>
        <v>0</v>
      </c>
      <c r="J709" s="19">
        <f t="shared" si="107"/>
        <v>0</v>
      </c>
      <c r="K709" s="1"/>
      <c r="L709" s="1"/>
      <c r="M709" s="1"/>
      <c r="N709" s="1"/>
    </row>
    <row r="710" spans="2:14" s="53" customFormat="1" ht="25.5" x14ac:dyDescent="0.2">
      <c r="B710" s="129" t="s">
        <v>105</v>
      </c>
      <c r="C710" s="21" t="s">
        <v>531</v>
      </c>
      <c r="D710" s="21" t="s">
        <v>426</v>
      </c>
      <c r="E710" s="21" t="s">
        <v>364</v>
      </c>
      <c r="F710" s="31" t="s">
        <v>106</v>
      </c>
      <c r="G710" s="21"/>
      <c r="H710" s="19">
        <f t="shared" si="107"/>
        <v>573.70000000000005</v>
      </c>
      <c r="I710" s="19">
        <f t="shared" si="107"/>
        <v>0</v>
      </c>
      <c r="J710" s="19">
        <f t="shared" si="107"/>
        <v>0</v>
      </c>
      <c r="K710" s="1"/>
      <c r="L710" s="1"/>
      <c r="M710" s="1"/>
      <c r="N710" s="1"/>
    </row>
    <row r="711" spans="2:14" s="53" customFormat="1" ht="25.5" x14ac:dyDescent="0.2">
      <c r="B711" s="41" t="s">
        <v>438</v>
      </c>
      <c r="C711" s="21" t="s">
        <v>531</v>
      </c>
      <c r="D711" s="21" t="s">
        <v>426</v>
      </c>
      <c r="E711" s="21" t="s">
        <v>364</v>
      </c>
      <c r="F711" s="31" t="s">
        <v>439</v>
      </c>
      <c r="G711" s="21"/>
      <c r="H711" s="19">
        <f t="shared" si="107"/>
        <v>573.70000000000005</v>
      </c>
      <c r="I711" s="19">
        <f t="shared" si="107"/>
        <v>0</v>
      </c>
      <c r="J711" s="19">
        <f t="shared" si="107"/>
        <v>0</v>
      </c>
      <c r="K711" s="1"/>
      <c r="L711" s="1"/>
      <c r="M711" s="1"/>
      <c r="N711" s="1"/>
    </row>
    <row r="712" spans="2:14" s="53" customFormat="1" x14ac:dyDescent="0.2">
      <c r="B712" s="49" t="s">
        <v>145</v>
      </c>
      <c r="C712" s="21" t="s">
        <v>531</v>
      </c>
      <c r="D712" s="21" t="s">
        <v>426</v>
      </c>
      <c r="E712" s="21" t="s">
        <v>364</v>
      </c>
      <c r="F712" s="31" t="s">
        <v>439</v>
      </c>
      <c r="G712" s="21" t="s">
        <v>101</v>
      </c>
      <c r="H712" s="19">
        <v>573.70000000000005</v>
      </c>
      <c r="I712" s="19">
        <v>0</v>
      </c>
      <c r="J712" s="19">
        <v>0</v>
      </c>
      <c r="K712" s="1"/>
      <c r="L712" s="1"/>
      <c r="M712" s="1"/>
      <c r="N712" s="1"/>
    </row>
    <row r="713" spans="2:14" s="53" customFormat="1" x14ac:dyDescent="0.2">
      <c r="B713" s="99" t="s">
        <v>455</v>
      </c>
      <c r="C713" s="16" t="s">
        <v>531</v>
      </c>
      <c r="D713" s="16" t="s">
        <v>75</v>
      </c>
      <c r="E713" s="16"/>
      <c r="F713" s="23"/>
      <c r="G713" s="21"/>
      <c r="H713" s="17">
        <f t="shared" ref="H713:J718" si="108">H714</f>
        <v>60</v>
      </c>
      <c r="I713" s="17">
        <f t="shared" si="108"/>
        <v>0</v>
      </c>
      <c r="J713" s="17">
        <f t="shared" si="108"/>
        <v>0</v>
      </c>
      <c r="K713" s="1"/>
      <c r="L713" s="1"/>
      <c r="M713" s="1"/>
      <c r="N713" s="1"/>
    </row>
    <row r="714" spans="2:14" s="53" customFormat="1" x14ac:dyDescent="0.2">
      <c r="B714" s="99" t="s">
        <v>456</v>
      </c>
      <c r="C714" s="16" t="s">
        <v>531</v>
      </c>
      <c r="D714" s="16" t="s">
        <v>75</v>
      </c>
      <c r="E714" s="16" t="s">
        <v>11</v>
      </c>
      <c r="F714" s="23"/>
      <c r="G714" s="21"/>
      <c r="H714" s="17">
        <f t="shared" si="108"/>
        <v>60</v>
      </c>
      <c r="I714" s="17">
        <f t="shared" si="108"/>
        <v>0</v>
      </c>
      <c r="J714" s="17">
        <f t="shared" si="108"/>
        <v>0</v>
      </c>
      <c r="K714" s="1"/>
      <c r="L714" s="1"/>
      <c r="M714" s="1"/>
      <c r="N714" s="1"/>
    </row>
    <row r="715" spans="2:14" s="53" customFormat="1" ht="38.25" customHeight="1" x14ac:dyDescent="0.2">
      <c r="B715" s="49" t="s">
        <v>138</v>
      </c>
      <c r="C715" s="21" t="s">
        <v>531</v>
      </c>
      <c r="D715" s="21" t="s">
        <v>75</v>
      </c>
      <c r="E715" s="21" t="s">
        <v>11</v>
      </c>
      <c r="F715" s="23" t="s">
        <v>139</v>
      </c>
      <c r="G715" s="21"/>
      <c r="H715" s="19">
        <f>H716</f>
        <v>60</v>
      </c>
      <c r="I715" s="19">
        <f t="shared" si="108"/>
        <v>0</v>
      </c>
      <c r="J715" s="19">
        <f t="shared" si="108"/>
        <v>0</v>
      </c>
      <c r="K715" s="1"/>
      <c r="L715" s="1"/>
      <c r="M715" s="1"/>
      <c r="N715" s="1"/>
    </row>
    <row r="716" spans="2:14" s="53" customFormat="1" ht="15" customHeight="1" x14ac:dyDescent="0.2">
      <c r="B716" s="29" t="s">
        <v>16</v>
      </c>
      <c r="C716" s="21" t="s">
        <v>531</v>
      </c>
      <c r="D716" s="21" t="s">
        <v>75</v>
      </c>
      <c r="E716" s="21" t="s">
        <v>11</v>
      </c>
      <c r="F716" s="23" t="s">
        <v>148</v>
      </c>
      <c r="G716" s="21"/>
      <c r="H716" s="19">
        <f>H717</f>
        <v>60</v>
      </c>
      <c r="I716" s="19">
        <f>I717</f>
        <v>0</v>
      </c>
      <c r="J716" s="19">
        <f>J717</f>
        <v>0</v>
      </c>
      <c r="K716" s="1"/>
      <c r="L716" s="1"/>
      <c r="M716" s="1"/>
      <c r="N716" s="1"/>
    </row>
    <row r="717" spans="2:14" s="53" customFormat="1" ht="25.5" x14ac:dyDescent="0.2">
      <c r="B717" s="20" t="s">
        <v>625</v>
      </c>
      <c r="C717" s="21" t="s">
        <v>531</v>
      </c>
      <c r="D717" s="21" t="s">
        <v>75</v>
      </c>
      <c r="E717" s="21" t="s">
        <v>11</v>
      </c>
      <c r="F717" s="23" t="s">
        <v>458</v>
      </c>
      <c r="G717" s="21"/>
      <c r="H717" s="19">
        <f t="shared" si="108"/>
        <v>60</v>
      </c>
      <c r="I717" s="19">
        <f t="shared" si="108"/>
        <v>0</v>
      </c>
      <c r="J717" s="19">
        <f t="shared" si="108"/>
        <v>0</v>
      </c>
      <c r="K717" s="1"/>
      <c r="L717" s="1"/>
      <c r="M717" s="1"/>
      <c r="N717" s="1"/>
    </row>
    <row r="718" spans="2:14" s="53" customFormat="1" x14ac:dyDescent="0.2">
      <c r="B718" s="50" t="s">
        <v>462</v>
      </c>
      <c r="C718" s="21" t="s">
        <v>531</v>
      </c>
      <c r="D718" s="21" t="s">
        <v>75</v>
      </c>
      <c r="E718" s="21" t="s">
        <v>11</v>
      </c>
      <c r="F718" s="23" t="s">
        <v>463</v>
      </c>
      <c r="G718" s="21"/>
      <c r="H718" s="19">
        <f t="shared" si="108"/>
        <v>60</v>
      </c>
      <c r="I718" s="19">
        <f t="shared" si="108"/>
        <v>0</v>
      </c>
      <c r="J718" s="19">
        <f t="shared" si="108"/>
        <v>0</v>
      </c>
      <c r="K718" s="1"/>
      <c r="L718" s="1"/>
      <c r="M718" s="1"/>
      <c r="N718" s="1"/>
    </row>
    <row r="719" spans="2:14" s="53" customFormat="1" x14ac:dyDescent="0.2">
      <c r="B719" s="49" t="s">
        <v>145</v>
      </c>
      <c r="C719" s="21" t="s">
        <v>531</v>
      </c>
      <c r="D719" s="21" t="s">
        <v>75</v>
      </c>
      <c r="E719" s="21" t="s">
        <v>11</v>
      </c>
      <c r="F719" s="23" t="s">
        <v>463</v>
      </c>
      <c r="G719" s="21" t="s">
        <v>101</v>
      </c>
      <c r="H719" s="19">
        <v>60</v>
      </c>
      <c r="I719" s="19">
        <v>0</v>
      </c>
      <c r="J719" s="19">
        <v>0</v>
      </c>
      <c r="K719" s="1"/>
      <c r="L719" s="1"/>
      <c r="M719" s="1"/>
      <c r="N719" s="1"/>
    </row>
    <row r="720" spans="2:14" s="53" customFormat="1" ht="29.25" customHeight="1" x14ac:dyDescent="0.2">
      <c r="B720" s="130" t="s">
        <v>626</v>
      </c>
      <c r="C720" s="16" t="s">
        <v>354</v>
      </c>
      <c r="D720" s="21"/>
      <c r="E720" s="21"/>
      <c r="F720" s="23"/>
      <c r="G720" s="21"/>
      <c r="H720" s="17">
        <f>H721+H732+H739+H752+H765</f>
        <v>25181.9</v>
      </c>
      <c r="I720" s="17">
        <f>I721+I732+I739+I752+I765</f>
        <v>21227</v>
      </c>
      <c r="J720" s="17">
        <f>J721+J732+J739+J752+J765</f>
        <v>21919</v>
      </c>
      <c r="K720" s="1"/>
      <c r="L720" s="1"/>
      <c r="M720" s="1"/>
      <c r="N720" s="1"/>
    </row>
    <row r="721" spans="2:14" s="53" customFormat="1" ht="14.25" x14ac:dyDescent="0.2">
      <c r="B721" s="131" t="s">
        <v>10</v>
      </c>
      <c r="C721" s="16" t="s">
        <v>354</v>
      </c>
      <c r="D721" s="16" t="s">
        <v>11</v>
      </c>
      <c r="E721" s="16"/>
      <c r="F721" s="23"/>
      <c r="G721" s="21"/>
      <c r="H721" s="17">
        <f>H722</f>
        <v>9261.4</v>
      </c>
      <c r="I721" s="17">
        <f>I722</f>
        <v>9597</v>
      </c>
      <c r="J721" s="17">
        <f>J722</f>
        <v>9597</v>
      </c>
      <c r="K721" s="1"/>
      <c r="L721" s="1"/>
      <c r="M721" s="1"/>
      <c r="N721" s="1"/>
    </row>
    <row r="722" spans="2:14" s="53" customFormat="1" ht="39" customHeight="1" x14ac:dyDescent="0.2">
      <c r="B722" s="26" t="s">
        <v>24</v>
      </c>
      <c r="C722" s="16" t="s">
        <v>354</v>
      </c>
      <c r="D722" s="16" t="s">
        <v>11</v>
      </c>
      <c r="E722" s="16" t="s">
        <v>26</v>
      </c>
      <c r="F722" s="23"/>
      <c r="G722" s="21"/>
      <c r="H722" s="17">
        <f t="shared" ref="H722:J724" si="109">H723</f>
        <v>9261.4</v>
      </c>
      <c r="I722" s="17">
        <f t="shared" si="109"/>
        <v>9597</v>
      </c>
      <c r="J722" s="17">
        <f t="shared" si="109"/>
        <v>9597</v>
      </c>
      <c r="K722" s="1"/>
      <c r="L722" s="1"/>
      <c r="M722" s="1"/>
      <c r="N722" s="1"/>
    </row>
    <row r="723" spans="2:14" s="53" customFormat="1" ht="25.5" x14ac:dyDescent="0.2">
      <c r="B723" s="20" t="s">
        <v>14</v>
      </c>
      <c r="C723" s="34" t="s">
        <v>354</v>
      </c>
      <c r="D723" s="34" t="s">
        <v>11</v>
      </c>
      <c r="E723" s="34" t="s">
        <v>26</v>
      </c>
      <c r="F723" s="34" t="s">
        <v>15</v>
      </c>
      <c r="G723" s="28"/>
      <c r="H723" s="19">
        <f t="shared" si="109"/>
        <v>9261.4</v>
      </c>
      <c r="I723" s="19">
        <f t="shared" si="109"/>
        <v>9597</v>
      </c>
      <c r="J723" s="19">
        <f t="shared" si="109"/>
        <v>9597</v>
      </c>
      <c r="K723" s="1"/>
      <c r="L723" s="1"/>
      <c r="M723" s="1"/>
      <c r="N723" s="1"/>
    </row>
    <row r="724" spans="2:14" s="53" customFormat="1" x14ac:dyDescent="0.2">
      <c r="B724" s="30" t="s">
        <v>16</v>
      </c>
      <c r="C724" s="34" t="s">
        <v>354</v>
      </c>
      <c r="D724" s="34" t="s">
        <v>11</v>
      </c>
      <c r="E724" s="34" t="s">
        <v>26</v>
      </c>
      <c r="F724" s="35" t="s">
        <v>17</v>
      </c>
      <c r="G724" s="28"/>
      <c r="H724" s="19">
        <f t="shared" si="109"/>
        <v>9261.4</v>
      </c>
      <c r="I724" s="19">
        <f t="shared" si="109"/>
        <v>9597</v>
      </c>
      <c r="J724" s="19">
        <f t="shared" si="109"/>
        <v>9597</v>
      </c>
      <c r="K724" s="1"/>
      <c r="L724" s="1"/>
      <c r="M724" s="1"/>
      <c r="N724" s="1"/>
    </row>
    <row r="725" spans="2:14" s="53" customFormat="1" ht="25.5" x14ac:dyDescent="0.2">
      <c r="B725" s="30" t="s">
        <v>18</v>
      </c>
      <c r="C725" s="34" t="s">
        <v>354</v>
      </c>
      <c r="D725" s="34" t="s">
        <v>11</v>
      </c>
      <c r="E725" s="34" t="s">
        <v>26</v>
      </c>
      <c r="F725" s="35" t="s">
        <v>19</v>
      </c>
      <c r="G725" s="28"/>
      <c r="H725" s="19">
        <f>H726+H730</f>
        <v>9261.4</v>
      </c>
      <c r="I725" s="19">
        <f>I726+I730</f>
        <v>9597</v>
      </c>
      <c r="J725" s="19">
        <f>J726+J730</f>
        <v>9597</v>
      </c>
      <c r="K725" s="1"/>
      <c r="L725" s="1"/>
      <c r="M725" s="1"/>
      <c r="N725" s="1"/>
    </row>
    <row r="726" spans="2:14" s="53" customFormat="1" x14ac:dyDescent="0.2">
      <c r="B726" s="20" t="s">
        <v>36</v>
      </c>
      <c r="C726" s="21" t="s">
        <v>354</v>
      </c>
      <c r="D726" s="21" t="s">
        <v>11</v>
      </c>
      <c r="E726" s="21" t="s">
        <v>26</v>
      </c>
      <c r="F726" s="23" t="s">
        <v>37</v>
      </c>
      <c r="G726" s="28"/>
      <c r="H726" s="19">
        <f>H728+H729+H727</f>
        <v>7270</v>
      </c>
      <c r="I726" s="19">
        <f>I728+I729+I727</f>
        <v>7660.6</v>
      </c>
      <c r="J726" s="19">
        <f>J728+J729+J727</f>
        <v>7660.6</v>
      </c>
      <c r="K726" s="1"/>
      <c r="L726" s="1"/>
      <c r="M726" s="1"/>
      <c r="N726" s="1"/>
    </row>
    <row r="727" spans="2:14" s="53" customFormat="1" ht="25.5" x14ac:dyDescent="0.2">
      <c r="B727" s="20" t="s">
        <v>22</v>
      </c>
      <c r="C727" s="21" t="s">
        <v>354</v>
      </c>
      <c r="D727" s="21" t="s">
        <v>11</v>
      </c>
      <c r="E727" s="21" t="s">
        <v>26</v>
      </c>
      <c r="F727" s="23" t="s">
        <v>37</v>
      </c>
      <c r="G727" s="28" t="s">
        <v>23</v>
      </c>
      <c r="H727" s="19">
        <f>3997.8+13.8-452.2-19.4</f>
        <v>3540.0000000000005</v>
      </c>
      <c r="I727" s="19">
        <f>3997.8+13.8</f>
        <v>4011.6000000000004</v>
      </c>
      <c r="J727" s="19">
        <f>3997.8+13.8</f>
        <v>4011.6000000000004</v>
      </c>
      <c r="K727" s="1"/>
      <c r="L727" s="1"/>
      <c r="M727" s="1"/>
      <c r="N727" s="1"/>
    </row>
    <row r="728" spans="2:14" s="53" customFormat="1" ht="25.5" x14ac:dyDescent="0.2">
      <c r="B728" s="20" t="s">
        <v>34</v>
      </c>
      <c r="C728" s="21" t="s">
        <v>354</v>
      </c>
      <c r="D728" s="21" t="s">
        <v>11</v>
      </c>
      <c r="E728" s="21" t="s">
        <v>26</v>
      </c>
      <c r="F728" s="23" t="s">
        <v>37</v>
      </c>
      <c r="G728" s="28" t="s">
        <v>35</v>
      </c>
      <c r="H728" s="19">
        <v>3730</v>
      </c>
      <c r="I728" s="19">
        <v>3649</v>
      </c>
      <c r="J728" s="19">
        <v>3649</v>
      </c>
      <c r="K728" s="1"/>
      <c r="L728" s="1"/>
      <c r="M728" s="1"/>
      <c r="N728" s="1"/>
    </row>
    <row r="729" spans="2:14" s="53" customFormat="1" hidden="1" x14ac:dyDescent="0.2">
      <c r="B729" s="20" t="s">
        <v>38</v>
      </c>
      <c r="C729" s="21" t="s">
        <v>9</v>
      </c>
      <c r="D729" s="21" t="s">
        <v>11</v>
      </c>
      <c r="E729" s="21" t="s">
        <v>26</v>
      </c>
      <c r="F729" s="23" t="s">
        <v>37</v>
      </c>
      <c r="G729" s="28" t="s">
        <v>39</v>
      </c>
      <c r="H729" s="19">
        <v>0</v>
      </c>
      <c r="I729" s="19">
        <v>0</v>
      </c>
      <c r="J729" s="19">
        <v>0</v>
      </c>
      <c r="K729" s="1"/>
      <c r="L729" s="1"/>
      <c r="M729" s="1"/>
      <c r="N729" s="1"/>
    </row>
    <row r="730" spans="2:14" s="53" customFormat="1" ht="25.5" x14ac:dyDescent="0.2">
      <c r="B730" s="37" t="s">
        <v>40</v>
      </c>
      <c r="C730" s="21" t="s">
        <v>354</v>
      </c>
      <c r="D730" s="21" t="s">
        <v>11</v>
      </c>
      <c r="E730" s="21" t="s">
        <v>26</v>
      </c>
      <c r="F730" s="23" t="s">
        <v>41</v>
      </c>
      <c r="G730" s="28"/>
      <c r="H730" s="19">
        <f>H731</f>
        <v>1991.4</v>
      </c>
      <c r="I730" s="19">
        <f>I731</f>
        <v>1936.4</v>
      </c>
      <c r="J730" s="19">
        <f>J731</f>
        <v>1936.4</v>
      </c>
      <c r="K730" s="1"/>
      <c r="L730" s="1"/>
      <c r="M730" s="1"/>
      <c r="N730" s="1"/>
    </row>
    <row r="731" spans="2:14" s="53" customFormat="1" ht="25.5" x14ac:dyDescent="0.2">
      <c r="B731" s="37" t="s">
        <v>22</v>
      </c>
      <c r="C731" s="21" t="s">
        <v>354</v>
      </c>
      <c r="D731" s="21" t="s">
        <v>11</v>
      </c>
      <c r="E731" s="21" t="s">
        <v>26</v>
      </c>
      <c r="F731" s="23" t="s">
        <v>41</v>
      </c>
      <c r="G731" s="28" t="s">
        <v>23</v>
      </c>
      <c r="H731" s="19">
        <f>1936.4+55</f>
        <v>1991.4</v>
      </c>
      <c r="I731" s="19">
        <v>1936.4</v>
      </c>
      <c r="J731" s="19">
        <v>1936.4</v>
      </c>
      <c r="K731" s="1"/>
      <c r="L731" s="1"/>
      <c r="M731" s="1"/>
      <c r="N731" s="1"/>
    </row>
    <row r="732" spans="2:14" s="53" customFormat="1" ht="14.25" x14ac:dyDescent="0.2">
      <c r="B732" s="131" t="s">
        <v>159</v>
      </c>
      <c r="C732" s="132">
        <v>163</v>
      </c>
      <c r="D732" s="133">
        <v>2</v>
      </c>
      <c r="E732" s="133"/>
      <c r="F732" s="23"/>
      <c r="G732" s="28"/>
      <c r="H732" s="17">
        <f t="shared" ref="H732:J737" si="110">H733</f>
        <v>471.59999999999997</v>
      </c>
      <c r="I732" s="17">
        <f t="shared" si="110"/>
        <v>514.5</v>
      </c>
      <c r="J732" s="17">
        <f t="shared" si="110"/>
        <v>532.4</v>
      </c>
      <c r="K732" s="1"/>
      <c r="L732" s="1"/>
      <c r="M732" s="1"/>
      <c r="N732" s="1"/>
    </row>
    <row r="733" spans="2:14" s="53" customFormat="1" ht="14.25" x14ac:dyDescent="0.2">
      <c r="B733" s="131" t="s">
        <v>160</v>
      </c>
      <c r="C733" s="132">
        <v>163</v>
      </c>
      <c r="D733" s="133">
        <v>2</v>
      </c>
      <c r="E733" s="133">
        <v>3</v>
      </c>
      <c r="F733" s="23"/>
      <c r="G733" s="28"/>
      <c r="H733" s="17">
        <f t="shared" si="110"/>
        <v>471.59999999999997</v>
      </c>
      <c r="I733" s="17">
        <f t="shared" si="110"/>
        <v>514.5</v>
      </c>
      <c r="J733" s="17">
        <f t="shared" si="110"/>
        <v>532.4</v>
      </c>
      <c r="K733" s="1"/>
      <c r="L733" s="1"/>
      <c r="M733" s="1"/>
      <c r="N733" s="1"/>
    </row>
    <row r="734" spans="2:14" s="53" customFormat="1" ht="25.5" x14ac:dyDescent="0.2">
      <c r="B734" s="20" t="s">
        <v>14</v>
      </c>
      <c r="C734" s="34" t="s">
        <v>354</v>
      </c>
      <c r="D734" s="34" t="s">
        <v>13</v>
      </c>
      <c r="E734" s="34" t="s">
        <v>161</v>
      </c>
      <c r="F734" s="34" t="s">
        <v>15</v>
      </c>
      <c r="G734" s="21"/>
      <c r="H734" s="19">
        <f t="shared" si="110"/>
        <v>471.59999999999997</v>
      </c>
      <c r="I734" s="19">
        <f t="shared" si="110"/>
        <v>514.5</v>
      </c>
      <c r="J734" s="19">
        <f t="shared" si="110"/>
        <v>532.4</v>
      </c>
      <c r="K734" s="1"/>
      <c r="L734" s="1"/>
      <c r="M734" s="1"/>
      <c r="N734" s="1"/>
    </row>
    <row r="735" spans="2:14" s="53" customFormat="1" x14ac:dyDescent="0.2">
      <c r="B735" s="29" t="s">
        <v>16</v>
      </c>
      <c r="C735" s="34" t="s">
        <v>354</v>
      </c>
      <c r="D735" s="34" t="s">
        <v>13</v>
      </c>
      <c r="E735" s="34" t="s">
        <v>161</v>
      </c>
      <c r="F735" s="35" t="s">
        <v>17</v>
      </c>
      <c r="G735" s="21"/>
      <c r="H735" s="19">
        <f t="shared" si="110"/>
        <v>471.59999999999997</v>
      </c>
      <c r="I735" s="19">
        <f t="shared" si="110"/>
        <v>514.5</v>
      </c>
      <c r="J735" s="19">
        <f t="shared" si="110"/>
        <v>532.4</v>
      </c>
      <c r="K735" s="1"/>
      <c r="L735" s="1"/>
      <c r="M735" s="1"/>
      <c r="N735" s="1"/>
    </row>
    <row r="736" spans="2:14" s="53" customFormat="1" ht="25.5" x14ac:dyDescent="0.2">
      <c r="B736" s="30" t="s">
        <v>18</v>
      </c>
      <c r="C736" s="34" t="s">
        <v>354</v>
      </c>
      <c r="D736" s="34" t="s">
        <v>13</v>
      </c>
      <c r="E736" s="34" t="s">
        <v>161</v>
      </c>
      <c r="F736" s="35" t="s">
        <v>19</v>
      </c>
      <c r="G736" s="21"/>
      <c r="H736" s="19">
        <f t="shared" si="110"/>
        <v>471.59999999999997</v>
      </c>
      <c r="I736" s="19">
        <f t="shared" si="110"/>
        <v>514.5</v>
      </c>
      <c r="J736" s="19">
        <f t="shared" si="110"/>
        <v>532.4</v>
      </c>
      <c r="K736" s="1"/>
      <c r="L736" s="1"/>
      <c r="M736" s="1"/>
      <c r="N736" s="1"/>
    </row>
    <row r="737" spans="2:14" s="53" customFormat="1" ht="25.5" x14ac:dyDescent="0.2">
      <c r="B737" s="20" t="s">
        <v>162</v>
      </c>
      <c r="C737" s="21" t="s">
        <v>354</v>
      </c>
      <c r="D737" s="21" t="s">
        <v>13</v>
      </c>
      <c r="E737" s="21" t="s">
        <v>161</v>
      </c>
      <c r="F737" s="23" t="s">
        <v>163</v>
      </c>
      <c r="G737" s="21"/>
      <c r="H737" s="19">
        <f t="shared" si="110"/>
        <v>471.59999999999997</v>
      </c>
      <c r="I737" s="19">
        <f t="shared" si="110"/>
        <v>514.5</v>
      </c>
      <c r="J737" s="19">
        <f t="shared" si="110"/>
        <v>532.4</v>
      </c>
      <c r="K737" s="1"/>
      <c r="L737" s="1"/>
      <c r="M737" s="1"/>
      <c r="N737" s="1"/>
    </row>
    <row r="738" spans="2:14" s="53" customFormat="1" ht="25.5" x14ac:dyDescent="0.2">
      <c r="B738" s="20" t="s">
        <v>22</v>
      </c>
      <c r="C738" s="21" t="s">
        <v>354</v>
      </c>
      <c r="D738" s="21" t="s">
        <v>13</v>
      </c>
      <c r="E738" s="21" t="s">
        <v>161</v>
      </c>
      <c r="F738" s="23" t="s">
        <v>163</v>
      </c>
      <c r="G738" s="21" t="s">
        <v>23</v>
      </c>
      <c r="H738" s="19">
        <f>452.2+19.4</f>
        <v>471.59999999999997</v>
      </c>
      <c r="I738" s="19">
        <f>495.5+19</f>
        <v>514.5</v>
      </c>
      <c r="J738" s="19">
        <f>513.5+18.9</f>
        <v>532.4</v>
      </c>
      <c r="K738" s="1"/>
      <c r="L738" s="1"/>
      <c r="M738" s="1"/>
      <c r="N738" s="1"/>
    </row>
    <row r="739" spans="2:14" s="53" customFormat="1" ht="25.5" x14ac:dyDescent="0.25">
      <c r="B739" s="134" t="s">
        <v>627</v>
      </c>
      <c r="C739" s="132">
        <v>163</v>
      </c>
      <c r="D739" s="133">
        <v>3</v>
      </c>
      <c r="E739" s="135"/>
      <c r="F739" s="23"/>
      <c r="G739" s="21"/>
      <c r="H739" s="17">
        <f t="shared" ref="H739:J740" si="111">H740</f>
        <v>5767</v>
      </c>
      <c r="I739" s="17">
        <f t="shared" si="111"/>
        <v>3385</v>
      </c>
      <c r="J739" s="17">
        <f t="shared" si="111"/>
        <v>4388.8</v>
      </c>
      <c r="K739" s="1"/>
      <c r="L739" s="1"/>
      <c r="M739" s="1"/>
      <c r="N739" s="1"/>
    </row>
    <row r="740" spans="2:14" s="53" customFormat="1" ht="34.5" customHeight="1" x14ac:dyDescent="0.2">
      <c r="B740" s="136" t="s">
        <v>628</v>
      </c>
      <c r="C740" s="16" t="s">
        <v>354</v>
      </c>
      <c r="D740" s="133">
        <v>3</v>
      </c>
      <c r="E740" s="133">
        <v>10</v>
      </c>
      <c r="F740" s="71"/>
      <c r="G740" s="16"/>
      <c r="H740" s="17">
        <f t="shared" si="111"/>
        <v>5767</v>
      </c>
      <c r="I740" s="17">
        <f t="shared" si="111"/>
        <v>3385</v>
      </c>
      <c r="J740" s="17">
        <f t="shared" si="111"/>
        <v>4388.8</v>
      </c>
      <c r="K740" s="1"/>
      <c r="L740" s="1"/>
      <c r="M740" s="1"/>
      <c r="N740" s="1"/>
    </row>
    <row r="741" spans="2:14" s="53" customFormat="1" ht="38.25" x14ac:dyDescent="0.25">
      <c r="B741" s="37" t="s">
        <v>54</v>
      </c>
      <c r="C741" s="21" t="s">
        <v>354</v>
      </c>
      <c r="D741" s="135">
        <v>3</v>
      </c>
      <c r="E741" s="135">
        <v>10</v>
      </c>
      <c r="F741" s="23" t="s">
        <v>55</v>
      </c>
      <c r="G741" s="21"/>
      <c r="H741" s="19">
        <f>H742+H748</f>
        <v>5767</v>
      </c>
      <c r="I741" s="19">
        <f>I742+I748</f>
        <v>3385</v>
      </c>
      <c r="J741" s="19">
        <f>J742+J748</f>
        <v>4388.8</v>
      </c>
      <c r="K741" s="1"/>
      <c r="L741" s="1"/>
      <c r="M741" s="1"/>
      <c r="N741" s="1"/>
    </row>
    <row r="742" spans="2:14" s="53" customFormat="1" ht="15" x14ac:dyDescent="0.25">
      <c r="B742" s="38" t="s">
        <v>48</v>
      </c>
      <c r="C742" s="21" t="s">
        <v>354</v>
      </c>
      <c r="D742" s="135">
        <v>3</v>
      </c>
      <c r="E742" s="135">
        <v>10</v>
      </c>
      <c r="F742" s="23" t="s">
        <v>181</v>
      </c>
      <c r="G742" s="21"/>
      <c r="H742" s="19">
        <f>H743</f>
        <v>4367</v>
      </c>
      <c r="I742" s="19">
        <f>I743</f>
        <v>1985</v>
      </c>
      <c r="J742" s="19">
        <f>J743</f>
        <v>2988.8</v>
      </c>
      <c r="K742" s="1"/>
      <c r="L742" s="1"/>
      <c r="M742" s="1"/>
      <c r="N742" s="1"/>
    </row>
    <row r="743" spans="2:14" s="53" customFormat="1" ht="25.5" x14ac:dyDescent="0.25">
      <c r="B743" s="40" t="s">
        <v>629</v>
      </c>
      <c r="C743" s="21" t="s">
        <v>354</v>
      </c>
      <c r="D743" s="135">
        <v>3</v>
      </c>
      <c r="E743" s="135">
        <v>10</v>
      </c>
      <c r="F743" s="23" t="s">
        <v>630</v>
      </c>
      <c r="G743" s="48"/>
      <c r="H743" s="19">
        <f>H744+H746</f>
        <v>4367</v>
      </c>
      <c r="I743" s="19">
        <f>I744+I746</f>
        <v>1985</v>
      </c>
      <c r="J743" s="19">
        <f>J744+J746</f>
        <v>2988.8</v>
      </c>
      <c r="K743" s="1"/>
      <c r="L743" s="1"/>
      <c r="M743" s="1"/>
      <c r="N743" s="1"/>
    </row>
    <row r="744" spans="2:14" s="53" customFormat="1" ht="25.5" x14ac:dyDescent="0.25">
      <c r="B744" s="40" t="s">
        <v>631</v>
      </c>
      <c r="C744" s="21" t="s">
        <v>354</v>
      </c>
      <c r="D744" s="135">
        <v>3</v>
      </c>
      <c r="E744" s="135">
        <v>10</v>
      </c>
      <c r="F744" s="23" t="s">
        <v>632</v>
      </c>
      <c r="G744" s="48"/>
      <c r="H744" s="19">
        <f>H745</f>
        <v>4367</v>
      </c>
      <c r="I744" s="19">
        <f>I745</f>
        <v>1985</v>
      </c>
      <c r="J744" s="19">
        <f>J745</f>
        <v>2988.8</v>
      </c>
      <c r="K744" s="1"/>
      <c r="L744" s="1"/>
      <c r="M744" s="1"/>
      <c r="N744" s="1"/>
    </row>
    <row r="745" spans="2:14" s="53" customFormat="1" ht="25.5" x14ac:dyDescent="0.25">
      <c r="B745" s="40" t="s">
        <v>34</v>
      </c>
      <c r="C745" s="21" t="s">
        <v>354</v>
      </c>
      <c r="D745" s="135">
        <v>3</v>
      </c>
      <c r="E745" s="135">
        <v>10</v>
      </c>
      <c r="F745" s="23" t="s">
        <v>632</v>
      </c>
      <c r="G745" s="48" t="s">
        <v>35</v>
      </c>
      <c r="H745" s="19">
        <f>2183.5+2183.5</f>
        <v>4367</v>
      </c>
      <c r="I745" s="19">
        <f>992.5+992.5</f>
        <v>1985</v>
      </c>
      <c r="J745" s="19">
        <v>2988.8</v>
      </c>
      <c r="K745" s="1"/>
      <c r="L745" s="1"/>
      <c r="M745" s="1"/>
      <c r="N745" s="1"/>
    </row>
    <row r="746" spans="2:14" s="53" customFormat="1" ht="15" hidden="1" x14ac:dyDescent="0.25">
      <c r="B746" s="20" t="s">
        <v>633</v>
      </c>
      <c r="C746" s="21" t="s">
        <v>354</v>
      </c>
      <c r="D746" s="135">
        <v>3</v>
      </c>
      <c r="E746" s="135">
        <v>10</v>
      </c>
      <c r="F746" s="23" t="s">
        <v>634</v>
      </c>
      <c r="G746" s="48"/>
      <c r="H746" s="19">
        <f>H747</f>
        <v>0</v>
      </c>
      <c r="I746" s="19">
        <f>I747</f>
        <v>0</v>
      </c>
      <c r="J746" s="19">
        <f>J747</f>
        <v>0</v>
      </c>
      <c r="K746" s="1"/>
      <c r="L746" s="1"/>
      <c r="M746" s="1"/>
      <c r="N746" s="1"/>
    </row>
    <row r="747" spans="2:14" s="53" customFormat="1" ht="25.5" hidden="1" x14ac:dyDescent="0.25">
      <c r="B747" s="40" t="s">
        <v>34</v>
      </c>
      <c r="C747" s="21" t="s">
        <v>354</v>
      </c>
      <c r="D747" s="135">
        <v>3</v>
      </c>
      <c r="E747" s="135">
        <v>10</v>
      </c>
      <c r="F747" s="23" t="s">
        <v>634</v>
      </c>
      <c r="G747" s="48" t="s">
        <v>35</v>
      </c>
      <c r="H747" s="19">
        <v>0</v>
      </c>
      <c r="I747" s="19">
        <v>0</v>
      </c>
      <c r="J747" s="19">
        <v>0</v>
      </c>
      <c r="K747" s="1"/>
      <c r="L747" s="1"/>
      <c r="M747" s="1"/>
      <c r="N747" s="1"/>
    </row>
    <row r="748" spans="2:14" s="53" customFormat="1" ht="15" x14ac:dyDescent="0.25">
      <c r="B748" s="40" t="s">
        <v>16</v>
      </c>
      <c r="C748" s="21" t="s">
        <v>354</v>
      </c>
      <c r="D748" s="135">
        <v>3</v>
      </c>
      <c r="E748" s="135">
        <v>10</v>
      </c>
      <c r="F748" s="23" t="s">
        <v>56</v>
      </c>
      <c r="G748" s="48"/>
      <c r="H748" s="19">
        <f t="shared" ref="H748:J750" si="112">H749</f>
        <v>1400</v>
      </c>
      <c r="I748" s="19">
        <f t="shared" si="112"/>
        <v>1400</v>
      </c>
      <c r="J748" s="19">
        <f t="shared" si="112"/>
        <v>1400</v>
      </c>
      <c r="K748" s="1"/>
      <c r="L748" s="1"/>
      <c r="M748" s="1"/>
      <c r="N748" s="1"/>
    </row>
    <row r="749" spans="2:14" s="53" customFormat="1" ht="25.5" x14ac:dyDescent="0.25">
      <c r="B749" s="61" t="s">
        <v>635</v>
      </c>
      <c r="C749" s="21" t="s">
        <v>354</v>
      </c>
      <c r="D749" s="135">
        <v>3</v>
      </c>
      <c r="E749" s="135">
        <v>10</v>
      </c>
      <c r="F749" s="23" t="s">
        <v>636</v>
      </c>
      <c r="G749" s="48"/>
      <c r="H749" s="19">
        <f t="shared" si="112"/>
        <v>1400</v>
      </c>
      <c r="I749" s="19">
        <f t="shared" si="112"/>
        <v>1400</v>
      </c>
      <c r="J749" s="19">
        <f t="shared" si="112"/>
        <v>1400</v>
      </c>
      <c r="K749" s="1"/>
      <c r="L749" s="1"/>
      <c r="M749" s="1"/>
      <c r="N749" s="1"/>
    </row>
    <row r="750" spans="2:14" s="53" customFormat="1" ht="15" x14ac:dyDescent="0.25">
      <c r="B750" s="61" t="s">
        <v>633</v>
      </c>
      <c r="C750" s="21" t="s">
        <v>354</v>
      </c>
      <c r="D750" s="135">
        <v>3</v>
      </c>
      <c r="E750" s="135">
        <v>10</v>
      </c>
      <c r="F750" s="23" t="s">
        <v>637</v>
      </c>
      <c r="G750" s="48"/>
      <c r="H750" s="19">
        <f t="shared" si="112"/>
        <v>1400</v>
      </c>
      <c r="I750" s="19">
        <f t="shared" si="112"/>
        <v>1400</v>
      </c>
      <c r="J750" s="19">
        <f t="shared" si="112"/>
        <v>1400</v>
      </c>
      <c r="K750" s="1"/>
      <c r="L750" s="1"/>
      <c r="M750" s="1"/>
      <c r="N750" s="1"/>
    </row>
    <row r="751" spans="2:14" s="53" customFormat="1" ht="25.5" x14ac:dyDescent="0.25">
      <c r="B751" s="61" t="s">
        <v>34</v>
      </c>
      <c r="C751" s="21" t="s">
        <v>354</v>
      </c>
      <c r="D751" s="135">
        <v>3</v>
      </c>
      <c r="E751" s="135">
        <v>10</v>
      </c>
      <c r="F751" s="23" t="s">
        <v>637</v>
      </c>
      <c r="G751" s="48" t="s">
        <v>35</v>
      </c>
      <c r="H751" s="19">
        <v>1400</v>
      </c>
      <c r="I751" s="19">
        <v>1400</v>
      </c>
      <c r="J751" s="19">
        <v>1400</v>
      </c>
      <c r="K751" s="1"/>
      <c r="L751" s="1"/>
      <c r="M751" s="1"/>
      <c r="N751" s="1"/>
    </row>
    <row r="752" spans="2:14" s="53" customFormat="1" x14ac:dyDescent="0.2">
      <c r="B752" s="137" t="s">
        <v>638</v>
      </c>
      <c r="C752" s="16" t="s">
        <v>354</v>
      </c>
      <c r="D752" s="16" t="s">
        <v>69</v>
      </c>
      <c r="E752" s="16"/>
      <c r="F752" s="23"/>
      <c r="G752" s="21"/>
      <c r="H752" s="17">
        <f t="shared" ref="H752:J753" si="113">H753</f>
        <v>3342</v>
      </c>
      <c r="I752" s="17">
        <f t="shared" si="113"/>
        <v>3203.6</v>
      </c>
      <c r="J752" s="17">
        <f t="shared" si="113"/>
        <v>3240.8</v>
      </c>
      <c r="K752" s="1"/>
      <c r="L752" s="1"/>
      <c r="M752" s="1"/>
      <c r="N752" s="1"/>
    </row>
    <row r="753" spans="2:14" s="53" customFormat="1" x14ac:dyDescent="0.2">
      <c r="B753" s="26" t="s">
        <v>325</v>
      </c>
      <c r="C753" s="16" t="s">
        <v>354</v>
      </c>
      <c r="D753" s="16" t="s">
        <v>69</v>
      </c>
      <c r="E753" s="16" t="s">
        <v>161</v>
      </c>
      <c r="F753" s="23"/>
      <c r="G753" s="21"/>
      <c r="H753" s="17">
        <f>H754</f>
        <v>3342</v>
      </c>
      <c r="I753" s="17">
        <f t="shared" si="113"/>
        <v>3203.6</v>
      </c>
      <c r="J753" s="17">
        <f t="shared" si="113"/>
        <v>3240.8</v>
      </c>
      <c r="K753" s="1"/>
      <c r="L753" s="1"/>
      <c r="M753" s="1"/>
      <c r="N753" s="1"/>
    </row>
    <row r="754" spans="2:14" s="53" customFormat="1" ht="25.5" x14ac:dyDescent="0.2">
      <c r="B754" s="20" t="s">
        <v>326</v>
      </c>
      <c r="C754" s="21" t="s">
        <v>354</v>
      </c>
      <c r="D754" s="21" t="s">
        <v>69</v>
      </c>
      <c r="E754" s="21" t="s">
        <v>161</v>
      </c>
      <c r="F754" s="23" t="s">
        <v>327</v>
      </c>
      <c r="G754" s="21"/>
      <c r="H754" s="19">
        <f>H755</f>
        <v>3342</v>
      </c>
      <c r="I754" s="19">
        <f>I755</f>
        <v>3203.6</v>
      </c>
      <c r="J754" s="19">
        <f>J755</f>
        <v>3240.8</v>
      </c>
      <c r="K754" s="1"/>
      <c r="L754" s="1"/>
      <c r="M754" s="1"/>
      <c r="N754" s="1"/>
    </row>
    <row r="755" spans="2:14" s="53" customFormat="1" x14ac:dyDescent="0.2">
      <c r="B755" s="38" t="s">
        <v>16</v>
      </c>
      <c r="C755" s="21" t="s">
        <v>354</v>
      </c>
      <c r="D755" s="21" t="s">
        <v>69</v>
      </c>
      <c r="E755" s="21" t="s">
        <v>161</v>
      </c>
      <c r="F755" s="23" t="s">
        <v>352</v>
      </c>
      <c r="G755" s="21"/>
      <c r="H755" s="19">
        <f>H756+H759+H762</f>
        <v>3342</v>
      </c>
      <c r="I755" s="19">
        <f>I756+I759+I762</f>
        <v>3203.6</v>
      </c>
      <c r="J755" s="19">
        <f>J756+J759+J762</f>
        <v>3240.8</v>
      </c>
      <c r="K755" s="1"/>
      <c r="L755" s="1"/>
      <c r="M755" s="1"/>
      <c r="N755" s="1"/>
    </row>
    <row r="756" spans="2:14" s="53" customFormat="1" ht="15.75" customHeight="1" x14ac:dyDescent="0.2">
      <c r="B756" s="49" t="s">
        <v>353</v>
      </c>
      <c r="C756" s="21" t="s">
        <v>354</v>
      </c>
      <c r="D756" s="21" t="s">
        <v>69</v>
      </c>
      <c r="E756" s="21" t="s">
        <v>161</v>
      </c>
      <c r="F756" s="23" t="s">
        <v>355</v>
      </c>
      <c r="G756" s="21"/>
      <c r="H756" s="19">
        <f>H757</f>
        <v>250</v>
      </c>
      <c r="I756" s="19">
        <f t="shared" ref="I756:J756" si="114">I757</f>
        <v>250</v>
      </c>
      <c r="J756" s="19">
        <f t="shared" si="114"/>
        <v>250</v>
      </c>
      <c r="K756" s="1"/>
      <c r="L756" s="1"/>
      <c r="M756" s="1"/>
      <c r="N756" s="1"/>
    </row>
    <row r="757" spans="2:14" s="53" customFormat="1" x14ac:dyDescent="0.2">
      <c r="B757" s="33" t="s">
        <v>639</v>
      </c>
      <c r="C757" s="21" t="s">
        <v>354</v>
      </c>
      <c r="D757" s="21" t="s">
        <v>69</v>
      </c>
      <c r="E757" s="21" t="s">
        <v>161</v>
      </c>
      <c r="F757" s="23" t="s">
        <v>640</v>
      </c>
      <c r="G757" s="21"/>
      <c r="H757" s="19">
        <f>H758</f>
        <v>250</v>
      </c>
      <c r="I757" s="19">
        <f>I758</f>
        <v>250</v>
      </c>
      <c r="J757" s="19">
        <f>J758</f>
        <v>250</v>
      </c>
      <c r="K757" s="1"/>
      <c r="L757" s="1"/>
      <c r="M757" s="1"/>
      <c r="N757" s="1"/>
    </row>
    <row r="758" spans="2:14" s="53" customFormat="1" ht="25.5" x14ac:dyDescent="0.2">
      <c r="B758" s="33" t="s">
        <v>34</v>
      </c>
      <c r="C758" s="21" t="s">
        <v>354</v>
      </c>
      <c r="D758" s="21" t="s">
        <v>69</v>
      </c>
      <c r="E758" s="21" t="s">
        <v>161</v>
      </c>
      <c r="F758" s="23" t="s">
        <v>640</v>
      </c>
      <c r="G758" s="21" t="s">
        <v>35</v>
      </c>
      <c r="H758" s="19">
        <v>250</v>
      </c>
      <c r="I758" s="19">
        <v>250</v>
      </c>
      <c r="J758" s="19">
        <v>250</v>
      </c>
      <c r="K758" s="1"/>
      <c r="L758" s="1"/>
      <c r="M758" s="1"/>
      <c r="N758" s="1"/>
    </row>
    <row r="759" spans="2:14" s="53" customFormat="1" ht="25.5" x14ac:dyDescent="0.2">
      <c r="B759" s="88" t="s">
        <v>641</v>
      </c>
      <c r="C759" s="21" t="s">
        <v>354</v>
      </c>
      <c r="D759" s="21" t="s">
        <v>69</v>
      </c>
      <c r="E759" s="21" t="s">
        <v>161</v>
      </c>
      <c r="F759" s="23" t="s">
        <v>642</v>
      </c>
      <c r="G759" s="21"/>
      <c r="H759" s="19">
        <f t="shared" ref="H759:J760" si="115">H760</f>
        <v>2332</v>
      </c>
      <c r="I759" s="19">
        <f t="shared" si="115"/>
        <v>2193.6</v>
      </c>
      <c r="J759" s="19">
        <f t="shared" si="115"/>
        <v>2230.8000000000002</v>
      </c>
      <c r="K759" s="1"/>
      <c r="L759" s="1"/>
      <c r="M759" s="1"/>
      <c r="N759" s="1"/>
    </row>
    <row r="760" spans="2:14" s="53" customFormat="1" x14ac:dyDescent="0.2">
      <c r="B760" s="33" t="s">
        <v>643</v>
      </c>
      <c r="C760" s="21" t="s">
        <v>354</v>
      </c>
      <c r="D760" s="21" t="s">
        <v>69</v>
      </c>
      <c r="E760" s="21" t="s">
        <v>161</v>
      </c>
      <c r="F760" s="23" t="s">
        <v>644</v>
      </c>
      <c r="G760" s="21"/>
      <c r="H760" s="19">
        <f t="shared" si="115"/>
        <v>2332</v>
      </c>
      <c r="I760" s="19">
        <f t="shared" si="115"/>
        <v>2193.6</v>
      </c>
      <c r="J760" s="19">
        <f t="shared" si="115"/>
        <v>2230.8000000000002</v>
      </c>
      <c r="K760" s="1"/>
      <c r="L760" s="1"/>
      <c r="M760" s="1"/>
      <c r="N760" s="1"/>
    </row>
    <row r="761" spans="2:14" s="53" customFormat="1" ht="25.5" x14ac:dyDescent="0.2">
      <c r="B761" s="33" t="s">
        <v>34</v>
      </c>
      <c r="C761" s="21" t="s">
        <v>354</v>
      </c>
      <c r="D761" s="21" t="s">
        <v>69</v>
      </c>
      <c r="E761" s="21" t="s">
        <v>161</v>
      </c>
      <c r="F761" s="23" t="s">
        <v>644</v>
      </c>
      <c r="G761" s="21" t="s">
        <v>35</v>
      </c>
      <c r="H761" s="19">
        <f>2332</f>
        <v>2332</v>
      </c>
      <c r="I761" s="19">
        <f>2332-138.4</f>
        <v>2193.6</v>
      </c>
      <c r="J761" s="19">
        <f>2332-101.2</f>
        <v>2230.8000000000002</v>
      </c>
      <c r="K761" s="1"/>
      <c r="L761" s="1"/>
      <c r="M761" s="1"/>
      <c r="N761" s="1"/>
    </row>
    <row r="762" spans="2:14" s="53" customFormat="1" ht="25.5" x14ac:dyDescent="0.2">
      <c r="B762" s="20" t="s">
        <v>645</v>
      </c>
      <c r="C762" s="21" t="s">
        <v>354</v>
      </c>
      <c r="D762" s="21" t="s">
        <v>69</v>
      </c>
      <c r="E762" s="21" t="s">
        <v>161</v>
      </c>
      <c r="F762" s="23" t="s">
        <v>646</v>
      </c>
      <c r="G762" s="21"/>
      <c r="H762" s="19">
        <f t="shared" ref="H762:J763" si="116">H763</f>
        <v>760</v>
      </c>
      <c r="I762" s="19">
        <f t="shared" si="116"/>
        <v>760</v>
      </c>
      <c r="J762" s="19">
        <f t="shared" si="116"/>
        <v>760</v>
      </c>
      <c r="K762" s="1"/>
      <c r="L762" s="1"/>
      <c r="M762" s="1"/>
      <c r="N762" s="1"/>
    </row>
    <row r="763" spans="2:14" s="53" customFormat="1" x14ac:dyDescent="0.2">
      <c r="B763" s="33" t="s">
        <v>647</v>
      </c>
      <c r="C763" s="21" t="s">
        <v>354</v>
      </c>
      <c r="D763" s="21" t="s">
        <v>69</v>
      </c>
      <c r="E763" s="21" t="s">
        <v>161</v>
      </c>
      <c r="F763" s="23" t="s">
        <v>648</v>
      </c>
      <c r="G763" s="21"/>
      <c r="H763" s="19">
        <f t="shared" si="116"/>
        <v>760</v>
      </c>
      <c r="I763" s="19">
        <f t="shared" si="116"/>
        <v>760</v>
      </c>
      <c r="J763" s="19">
        <f t="shared" si="116"/>
        <v>760</v>
      </c>
      <c r="K763" s="1"/>
      <c r="L763" s="1"/>
      <c r="M763" s="1"/>
      <c r="N763" s="1"/>
    </row>
    <row r="764" spans="2:14" s="53" customFormat="1" ht="25.5" x14ac:dyDescent="0.2">
      <c r="B764" s="33" t="s">
        <v>34</v>
      </c>
      <c r="C764" s="21" t="s">
        <v>354</v>
      </c>
      <c r="D764" s="21" t="s">
        <v>69</v>
      </c>
      <c r="E764" s="21" t="s">
        <v>161</v>
      </c>
      <c r="F764" s="23" t="s">
        <v>648</v>
      </c>
      <c r="G764" s="21" t="s">
        <v>35</v>
      </c>
      <c r="H764" s="19">
        <v>760</v>
      </c>
      <c r="I764" s="19">
        <v>760</v>
      </c>
      <c r="J764" s="19">
        <v>760</v>
      </c>
      <c r="K764" s="1"/>
      <c r="L764" s="1"/>
      <c r="M764" s="1"/>
      <c r="N764" s="1"/>
    </row>
    <row r="765" spans="2:14" s="53" customFormat="1" x14ac:dyDescent="0.2">
      <c r="B765" s="137" t="s">
        <v>649</v>
      </c>
      <c r="C765" s="16" t="s">
        <v>354</v>
      </c>
      <c r="D765" s="138" t="s">
        <v>364</v>
      </c>
      <c r="E765" s="138"/>
      <c r="F765" s="23"/>
      <c r="G765" s="21"/>
      <c r="H765" s="17">
        <f t="shared" ref="H765:J766" si="117">H766</f>
        <v>6339.9</v>
      </c>
      <c r="I765" s="17">
        <f t="shared" si="117"/>
        <v>4526.8999999999996</v>
      </c>
      <c r="J765" s="17">
        <f t="shared" si="117"/>
        <v>4160</v>
      </c>
      <c r="K765" s="1"/>
      <c r="L765" s="1"/>
      <c r="M765" s="1"/>
      <c r="N765" s="1"/>
    </row>
    <row r="766" spans="2:14" s="53" customFormat="1" x14ac:dyDescent="0.2">
      <c r="B766" s="60" t="s">
        <v>365</v>
      </c>
      <c r="C766" s="16" t="s">
        <v>354</v>
      </c>
      <c r="D766" s="138" t="s">
        <v>364</v>
      </c>
      <c r="E766" s="138" t="s">
        <v>69</v>
      </c>
      <c r="F766" s="23"/>
      <c r="G766" s="21"/>
      <c r="H766" s="17">
        <f t="shared" si="117"/>
        <v>6339.9</v>
      </c>
      <c r="I766" s="17">
        <f t="shared" si="117"/>
        <v>4526.8999999999996</v>
      </c>
      <c r="J766" s="17">
        <f t="shared" si="117"/>
        <v>4160</v>
      </c>
      <c r="K766" s="1"/>
      <c r="L766" s="1"/>
      <c r="M766" s="1"/>
      <c r="N766" s="1"/>
    </row>
    <row r="767" spans="2:14" s="53" customFormat="1" ht="27.75" customHeight="1" x14ac:dyDescent="0.2">
      <c r="B767" s="37" t="s">
        <v>366</v>
      </c>
      <c r="C767" s="21" t="s">
        <v>354</v>
      </c>
      <c r="D767" s="91" t="s">
        <v>364</v>
      </c>
      <c r="E767" s="91" t="s">
        <v>69</v>
      </c>
      <c r="F767" s="23" t="s">
        <v>62</v>
      </c>
      <c r="G767" s="21"/>
      <c r="H767" s="19">
        <f>H776+H768</f>
        <v>6339.9</v>
      </c>
      <c r="I767" s="19">
        <f>I776+I768</f>
        <v>4526.8999999999996</v>
      </c>
      <c r="J767" s="19">
        <f>J776+J768</f>
        <v>4160</v>
      </c>
      <c r="K767" s="1"/>
      <c r="L767" s="1"/>
      <c r="M767" s="1"/>
      <c r="N767" s="1"/>
    </row>
    <row r="768" spans="2:14" s="53" customFormat="1" ht="18" customHeight="1" x14ac:dyDescent="0.2">
      <c r="B768" s="38" t="s">
        <v>48</v>
      </c>
      <c r="C768" s="21" t="s">
        <v>354</v>
      </c>
      <c r="D768" s="91" t="s">
        <v>364</v>
      </c>
      <c r="E768" s="91" t="s">
        <v>69</v>
      </c>
      <c r="F768" s="23" t="s">
        <v>367</v>
      </c>
      <c r="G768" s="21"/>
      <c r="H768" s="19">
        <f>H769</f>
        <v>4179.8999999999996</v>
      </c>
      <c r="I768" s="19">
        <f>I769</f>
        <v>2366.9</v>
      </c>
      <c r="J768" s="19">
        <f>J769</f>
        <v>2000</v>
      </c>
      <c r="K768" s="1"/>
      <c r="L768" s="1"/>
      <c r="M768" s="1"/>
      <c r="N768" s="1"/>
    </row>
    <row r="769" spans="2:14" s="53" customFormat="1" ht="27.75" customHeight="1" x14ac:dyDescent="0.2">
      <c r="B769" s="20" t="s">
        <v>372</v>
      </c>
      <c r="C769" s="21" t="s">
        <v>354</v>
      </c>
      <c r="D769" s="91" t="s">
        <v>364</v>
      </c>
      <c r="E769" s="91" t="s">
        <v>69</v>
      </c>
      <c r="F769" s="23" t="s">
        <v>373</v>
      </c>
      <c r="G769" s="21"/>
      <c r="H769" s="19">
        <f>H772+H770+H774</f>
        <v>4179.8999999999996</v>
      </c>
      <c r="I769" s="19">
        <f>I772+I770+I774</f>
        <v>2366.9</v>
      </c>
      <c r="J769" s="19">
        <f>J772+J770+J774</f>
        <v>2000</v>
      </c>
      <c r="K769" s="1"/>
      <c r="L769" s="1"/>
      <c r="M769" s="1"/>
      <c r="N769" s="1"/>
    </row>
    <row r="770" spans="2:14" s="53" customFormat="1" ht="15" customHeight="1" x14ac:dyDescent="0.2">
      <c r="B770" s="20" t="s">
        <v>650</v>
      </c>
      <c r="C770" s="21" t="s">
        <v>354</v>
      </c>
      <c r="D770" s="91" t="s">
        <v>364</v>
      </c>
      <c r="E770" s="91" t="s">
        <v>69</v>
      </c>
      <c r="F770" s="23" t="s">
        <v>651</v>
      </c>
      <c r="G770" s="21"/>
      <c r="H770" s="19">
        <f>H771</f>
        <v>2164.9</v>
      </c>
      <c r="I770" s="19">
        <f>I771</f>
        <v>1030.9000000000001</v>
      </c>
      <c r="J770" s="19">
        <f>J771</f>
        <v>0</v>
      </c>
      <c r="K770" s="1"/>
      <c r="L770" s="1"/>
      <c r="M770" s="1"/>
      <c r="N770" s="1"/>
    </row>
    <row r="771" spans="2:14" s="53" customFormat="1" ht="27.75" customHeight="1" x14ac:dyDescent="0.2">
      <c r="B771" s="20" t="s">
        <v>34</v>
      </c>
      <c r="C771" s="21" t="s">
        <v>354</v>
      </c>
      <c r="D771" s="91" t="s">
        <v>364</v>
      </c>
      <c r="E771" s="91" t="s">
        <v>69</v>
      </c>
      <c r="F771" s="23" t="s">
        <v>651</v>
      </c>
      <c r="G771" s="21" t="s">
        <v>35</v>
      </c>
      <c r="H771" s="19">
        <f>2100+64.9</f>
        <v>2164.9</v>
      </c>
      <c r="I771" s="19">
        <f>1000+30.9</f>
        <v>1030.9000000000001</v>
      </c>
      <c r="J771" s="19">
        <v>0</v>
      </c>
      <c r="K771" s="1"/>
      <c r="L771" s="1"/>
      <c r="M771" s="1"/>
      <c r="N771" s="1"/>
    </row>
    <row r="772" spans="2:14" s="53" customFormat="1" ht="27.75" customHeight="1" x14ac:dyDescent="0.2">
      <c r="B772" s="20" t="s">
        <v>374</v>
      </c>
      <c r="C772" s="21" t="s">
        <v>354</v>
      </c>
      <c r="D772" s="91" t="s">
        <v>364</v>
      </c>
      <c r="E772" s="91" t="s">
        <v>69</v>
      </c>
      <c r="F772" s="23" t="s">
        <v>375</v>
      </c>
      <c r="G772" s="21"/>
      <c r="H772" s="19">
        <f>H773</f>
        <v>1532</v>
      </c>
      <c r="I772" s="19">
        <f>I773</f>
        <v>336</v>
      </c>
      <c r="J772" s="19">
        <f>J773</f>
        <v>1000</v>
      </c>
      <c r="K772" s="1"/>
      <c r="L772" s="1"/>
      <c r="M772" s="1"/>
      <c r="N772" s="1"/>
    </row>
    <row r="773" spans="2:14" s="53" customFormat="1" ht="27.75" customHeight="1" x14ac:dyDescent="0.2">
      <c r="B773" s="20" t="s">
        <v>34</v>
      </c>
      <c r="C773" s="21" t="s">
        <v>354</v>
      </c>
      <c r="D773" s="91" t="s">
        <v>364</v>
      </c>
      <c r="E773" s="91" t="s">
        <v>69</v>
      </c>
      <c r="F773" s="23" t="s">
        <v>375</v>
      </c>
      <c r="G773" s="21" t="s">
        <v>35</v>
      </c>
      <c r="H773" s="19">
        <f>4082+800+650-4000</f>
        <v>1532</v>
      </c>
      <c r="I773" s="19">
        <f>1000-664</f>
        <v>336</v>
      </c>
      <c r="J773" s="19">
        <v>1000</v>
      </c>
      <c r="K773" s="1"/>
      <c r="L773" s="1"/>
      <c r="M773" s="1"/>
      <c r="N773" s="1"/>
    </row>
    <row r="774" spans="2:14" s="53" customFormat="1" ht="27.75" customHeight="1" x14ac:dyDescent="0.2">
      <c r="B774" s="20" t="s">
        <v>652</v>
      </c>
      <c r="C774" s="21" t="s">
        <v>354</v>
      </c>
      <c r="D774" s="91" t="s">
        <v>364</v>
      </c>
      <c r="E774" s="91" t="s">
        <v>69</v>
      </c>
      <c r="F774" s="23" t="s">
        <v>653</v>
      </c>
      <c r="G774" s="21"/>
      <c r="H774" s="19">
        <f>H775</f>
        <v>483</v>
      </c>
      <c r="I774" s="19">
        <f>I775</f>
        <v>1000</v>
      </c>
      <c r="J774" s="19">
        <f>J775</f>
        <v>1000</v>
      </c>
      <c r="K774" s="1"/>
      <c r="L774" s="1"/>
      <c r="M774" s="1"/>
      <c r="N774" s="1"/>
    </row>
    <row r="775" spans="2:14" s="53" customFormat="1" ht="27.75" customHeight="1" x14ac:dyDescent="0.2">
      <c r="B775" s="20" t="s">
        <v>34</v>
      </c>
      <c r="C775" s="21" t="s">
        <v>354</v>
      </c>
      <c r="D775" s="91" t="s">
        <v>364</v>
      </c>
      <c r="E775" s="91" t="s">
        <v>69</v>
      </c>
      <c r="F775" s="23" t="s">
        <v>653</v>
      </c>
      <c r="G775" s="21" t="s">
        <v>35</v>
      </c>
      <c r="H775" s="19">
        <f>3483-3000</f>
        <v>483</v>
      </c>
      <c r="I775" s="19">
        <v>1000</v>
      </c>
      <c r="J775" s="19">
        <v>1000</v>
      </c>
      <c r="K775" s="1"/>
      <c r="L775" s="1"/>
      <c r="M775" s="1"/>
      <c r="N775" s="1"/>
    </row>
    <row r="776" spans="2:14" s="53" customFormat="1" x14ac:dyDescent="0.2">
      <c r="B776" s="29" t="s">
        <v>16</v>
      </c>
      <c r="C776" s="21" t="s">
        <v>354</v>
      </c>
      <c r="D776" s="91" t="s">
        <v>364</v>
      </c>
      <c r="E776" s="91" t="s">
        <v>69</v>
      </c>
      <c r="F776" s="23" t="s">
        <v>63</v>
      </c>
      <c r="G776" s="21"/>
      <c r="H776" s="19">
        <f t="shared" ref="H776:J778" si="118">H777</f>
        <v>2160</v>
      </c>
      <c r="I776" s="19">
        <f t="shared" si="118"/>
        <v>2160</v>
      </c>
      <c r="J776" s="19">
        <f t="shared" si="118"/>
        <v>2160</v>
      </c>
      <c r="K776" s="1"/>
      <c r="L776" s="1"/>
      <c r="M776" s="1"/>
      <c r="N776" s="1"/>
    </row>
    <row r="777" spans="2:14" s="53" customFormat="1" ht="30" customHeight="1" x14ac:dyDescent="0.2">
      <c r="B777" s="20" t="s">
        <v>654</v>
      </c>
      <c r="C777" s="21" t="s">
        <v>354</v>
      </c>
      <c r="D777" s="91" t="s">
        <v>364</v>
      </c>
      <c r="E777" s="91" t="s">
        <v>69</v>
      </c>
      <c r="F777" s="23" t="s">
        <v>655</v>
      </c>
      <c r="G777" s="21"/>
      <c r="H777" s="19">
        <f t="shared" si="118"/>
        <v>2160</v>
      </c>
      <c r="I777" s="19">
        <f t="shared" si="118"/>
        <v>2160</v>
      </c>
      <c r="J777" s="19">
        <f t="shared" si="118"/>
        <v>2160</v>
      </c>
      <c r="K777" s="1"/>
      <c r="L777" s="1"/>
      <c r="M777" s="1"/>
      <c r="N777" s="1"/>
    </row>
    <row r="778" spans="2:14" s="53" customFormat="1" ht="25.5" x14ac:dyDescent="0.2">
      <c r="B778" s="20" t="s">
        <v>656</v>
      </c>
      <c r="C778" s="21" t="s">
        <v>354</v>
      </c>
      <c r="D778" s="91" t="s">
        <v>364</v>
      </c>
      <c r="E778" s="91" t="s">
        <v>69</v>
      </c>
      <c r="F778" s="23" t="s">
        <v>657</v>
      </c>
      <c r="G778" s="21"/>
      <c r="H778" s="19">
        <f t="shared" si="118"/>
        <v>2160</v>
      </c>
      <c r="I778" s="19">
        <f t="shared" si="118"/>
        <v>2160</v>
      </c>
      <c r="J778" s="19">
        <f t="shared" si="118"/>
        <v>2160</v>
      </c>
      <c r="K778" s="1"/>
      <c r="L778" s="1"/>
      <c r="M778" s="1"/>
      <c r="N778" s="1"/>
    </row>
    <row r="779" spans="2:14" s="53" customFormat="1" ht="25.5" x14ac:dyDescent="0.2">
      <c r="B779" s="20" t="s">
        <v>34</v>
      </c>
      <c r="C779" s="21" t="s">
        <v>354</v>
      </c>
      <c r="D779" s="91" t="s">
        <v>364</v>
      </c>
      <c r="E779" s="91" t="s">
        <v>69</v>
      </c>
      <c r="F779" s="23" t="s">
        <v>657</v>
      </c>
      <c r="G779" s="21" t="s">
        <v>35</v>
      </c>
      <c r="H779" s="19">
        <v>2160</v>
      </c>
      <c r="I779" s="19">
        <v>2160</v>
      </c>
      <c r="J779" s="19">
        <v>2160</v>
      </c>
      <c r="K779" s="1"/>
      <c r="L779" s="1"/>
      <c r="M779" s="1"/>
      <c r="N779" s="1"/>
    </row>
    <row r="780" spans="2:14" s="59" customFormat="1" ht="18" customHeight="1" x14ac:dyDescent="0.2">
      <c r="B780" s="15" t="s">
        <v>658</v>
      </c>
      <c r="C780" s="16"/>
      <c r="D780" s="16"/>
      <c r="E780" s="16"/>
      <c r="F780" s="16"/>
      <c r="G780" s="16"/>
      <c r="H780" s="17">
        <f>H7+H466+H473+H481+H524+H569+H720</f>
        <v>961543.6</v>
      </c>
      <c r="I780" s="17">
        <f>I7+I466+I473+I481+I524+I569+I720</f>
        <v>666518</v>
      </c>
      <c r="J780" s="17">
        <f>J7+J466+J473+J481+J524+J569+J720</f>
        <v>739249.2</v>
      </c>
    </row>
    <row r="781" spans="2:14" s="59" customFormat="1" ht="18.75" customHeight="1" x14ac:dyDescent="0.2">
      <c r="B781" s="15" t="s">
        <v>659</v>
      </c>
      <c r="C781" s="16"/>
      <c r="D781" s="16"/>
      <c r="E781" s="16"/>
      <c r="F781" s="16"/>
      <c r="G781" s="16"/>
      <c r="H781" s="17"/>
      <c r="I781" s="17">
        <v>9621.7999999999993</v>
      </c>
      <c r="J781" s="17">
        <v>19977.900000000001</v>
      </c>
    </row>
    <row r="782" spans="2:14" s="59" customFormat="1" x14ac:dyDescent="0.2">
      <c r="B782" s="15" t="s">
        <v>660</v>
      </c>
      <c r="C782" s="16"/>
      <c r="D782" s="16"/>
      <c r="E782" s="139"/>
      <c r="F782" s="139"/>
      <c r="G782" s="16"/>
      <c r="H782" s="17">
        <f>H780+H781</f>
        <v>961543.6</v>
      </c>
      <c r="I782" s="17">
        <f>I780+I781</f>
        <v>676139.8</v>
      </c>
      <c r="J782" s="17">
        <f>J780+J781</f>
        <v>759227.1</v>
      </c>
    </row>
    <row r="783" spans="2:14" x14ac:dyDescent="0.2">
      <c r="C783" s="141"/>
      <c r="D783" s="141"/>
      <c r="E783" s="142"/>
      <c r="F783" s="142"/>
      <c r="G783" s="141"/>
      <c r="H783" s="143"/>
      <c r="I783" s="143"/>
      <c r="J783" s="143"/>
    </row>
    <row r="784" spans="2:14" x14ac:dyDescent="0.2">
      <c r="C784" s="141"/>
      <c r="D784" s="141"/>
      <c r="E784" s="142"/>
      <c r="F784" s="8"/>
      <c r="H784" s="145"/>
      <c r="I784" s="146"/>
      <c r="J784" s="145"/>
    </row>
    <row r="785" spans="2:10" x14ac:dyDescent="0.2">
      <c r="C785" s="141"/>
      <c r="D785" s="141"/>
      <c r="E785" s="142"/>
      <c r="F785" s="142"/>
      <c r="G785" s="141"/>
      <c r="H785" s="146"/>
      <c r="I785" s="146"/>
      <c r="J785" s="146"/>
    </row>
    <row r="786" spans="2:10" x14ac:dyDescent="0.2">
      <c r="C786" s="141"/>
      <c r="D786" s="141"/>
      <c r="E786" s="142"/>
      <c r="F786" s="8"/>
      <c r="G786" s="141"/>
      <c r="H786" s="143"/>
      <c r="I786" s="143"/>
      <c r="J786" s="143"/>
    </row>
    <row r="787" spans="2:10" x14ac:dyDescent="0.2">
      <c r="C787" s="141"/>
      <c r="D787" s="141"/>
      <c r="E787" s="142"/>
      <c r="F787" s="142"/>
      <c r="G787" s="141"/>
      <c r="H787" s="143"/>
      <c r="I787" s="143"/>
      <c r="J787" s="143"/>
    </row>
    <row r="788" spans="2:10" x14ac:dyDescent="0.2">
      <c r="C788" s="141"/>
      <c r="D788" s="141"/>
      <c r="E788" s="142"/>
      <c r="F788" s="142"/>
      <c r="G788" s="141"/>
      <c r="H788" s="143"/>
      <c r="I788" s="143"/>
      <c r="J788" s="143"/>
    </row>
    <row r="789" spans="2:10" x14ac:dyDescent="0.2">
      <c r="C789" s="141"/>
      <c r="D789" s="141"/>
      <c r="E789" s="142"/>
      <c r="F789" s="142"/>
      <c r="G789" s="141"/>
      <c r="H789" s="143"/>
      <c r="I789" s="143"/>
      <c r="J789" s="143"/>
    </row>
    <row r="790" spans="2:10" x14ac:dyDescent="0.2">
      <c r="C790" s="141"/>
      <c r="D790" s="141"/>
      <c r="E790" s="142"/>
      <c r="F790" s="142"/>
      <c r="G790" s="141"/>
      <c r="H790" s="143"/>
      <c r="I790" s="143"/>
      <c r="J790" s="143"/>
    </row>
    <row r="791" spans="2:10" x14ac:dyDescent="0.2">
      <c r="B791" s="147"/>
      <c r="C791" s="141"/>
      <c r="D791" s="141"/>
      <c r="E791" s="142"/>
      <c r="F791" s="142"/>
      <c r="G791" s="141"/>
      <c r="H791" s="148"/>
      <c r="I791" s="148"/>
      <c r="J791" s="148"/>
    </row>
    <row r="792" spans="2:10" x14ac:dyDescent="0.2">
      <c r="B792" s="147"/>
      <c r="C792" s="141"/>
      <c r="D792" s="141"/>
      <c r="E792" s="142"/>
      <c r="F792" s="142"/>
      <c r="G792" s="141"/>
      <c r="H792" s="149"/>
      <c r="I792" s="149"/>
      <c r="J792" s="149"/>
    </row>
    <row r="793" spans="2:10" x14ac:dyDescent="0.2">
      <c r="B793" s="147"/>
      <c r="C793" s="141"/>
      <c r="D793" s="142"/>
      <c r="E793" s="142"/>
      <c r="F793" s="142"/>
      <c r="G793" s="141"/>
      <c r="H793" s="148"/>
      <c r="I793" s="148"/>
      <c r="J793" s="148"/>
    </row>
    <row r="794" spans="2:10" x14ac:dyDescent="0.2">
      <c r="B794" s="147"/>
      <c r="C794" s="142"/>
      <c r="D794" s="142"/>
      <c r="E794" s="142"/>
      <c r="F794" s="142"/>
      <c r="G794" s="150"/>
      <c r="I794" s="5" t="s">
        <v>661</v>
      </c>
    </row>
    <row r="795" spans="2:10" x14ac:dyDescent="0.2">
      <c r="B795" s="147"/>
      <c r="C795" s="142"/>
      <c r="D795" s="142"/>
      <c r="E795" s="142"/>
      <c r="F795" s="142"/>
      <c r="G795" s="150"/>
    </row>
    <row r="803" spans="1:10" s="151" customFormat="1" ht="36" customHeight="1" x14ac:dyDescent="0.2">
      <c r="A803" s="144"/>
      <c r="B803" s="147"/>
      <c r="C803" s="5"/>
      <c r="D803" s="5"/>
      <c r="E803" s="5"/>
      <c r="F803" s="5"/>
      <c r="G803" s="7"/>
      <c r="H803" s="5"/>
      <c r="I803" s="5"/>
      <c r="J803" s="5"/>
    </row>
  </sheetData>
  <sheetProtection password="C281" sheet="1" formatCells="0" formatColumns="0" formatRows="0" insertColumns="0" insertRows="0" insertHyperlinks="0" deleteColumns="0" deleteRows="0" sort="0" autoFilter="0" pivotTables="0"/>
  <mergeCells count="2">
    <mergeCell ref="B1:J1"/>
    <mergeCell ref="B3:J3"/>
  </mergeCells>
  <printOptions horizontalCentered="1"/>
  <pageMargins left="0.15748031496062992" right="0.15748031496062992" top="0.31496062992125984" bottom="0.47244094488188981" header="0.39370078740157483" footer="0.59055118110236227"/>
  <pageSetup paperSize="9" scale="64" fitToHeight="1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4</vt:lpstr>
      <vt:lpstr>'Приложение 4'!Заголовки_для_печати</vt:lpstr>
      <vt:lpstr>'Приложение 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Администратор07</cp:lastModifiedBy>
  <dcterms:created xsi:type="dcterms:W3CDTF">2024-12-15T16:00:25Z</dcterms:created>
  <dcterms:modified xsi:type="dcterms:W3CDTF">2025-01-09T08:27:18Z</dcterms:modified>
</cp:coreProperties>
</file>