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925"/>
  </bookViews>
  <sheets>
    <sheet name="Приложение 3" sheetId="1" r:id="rId1"/>
  </sheets>
  <definedNames>
    <definedName name="_xlnm._FilterDatabase" localSheetId="0" hidden="1">'Приложение 3'!$A$1:$A$739</definedName>
    <definedName name="А">#REF!</definedName>
    <definedName name="_xlnm.Print_Area" localSheetId="0">'Приложение 3'!$A$1:$H$689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559" i="1" l="1"/>
  <c r="F576" i="1"/>
  <c r="F491" i="1" l="1"/>
  <c r="F475" i="1"/>
  <c r="H685" i="1" l="1"/>
  <c r="H684" i="1" s="1"/>
  <c r="H683" i="1" s="1"/>
  <c r="H682" i="1" s="1"/>
  <c r="H681" i="1" s="1"/>
  <c r="H680" i="1" s="1"/>
  <c r="G685" i="1"/>
  <c r="G684" i="1" s="1"/>
  <c r="G683" i="1" s="1"/>
  <c r="G682" i="1" s="1"/>
  <c r="G681" i="1" s="1"/>
  <c r="G680" i="1" s="1"/>
  <c r="F685" i="1"/>
  <c r="F684" i="1" s="1"/>
  <c r="F683" i="1" s="1"/>
  <c r="F682" i="1" s="1"/>
  <c r="F681" i="1" s="1"/>
  <c r="F680" i="1" s="1"/>
  <c r="H679" i="1"/>
  <c r="G679" i="1"/>
  <c r="F679" i="1"/>
  <c r="F678" i="1" s="1"/>
  <c r="F677" i="1" s="1"/>
  <c r="H678" i="1"/>
  <c r="H677" i="1" s="1"/>
  <c r="G678" i="1"/>
  <c r="G677" i="1" s="1"/>
  <c r="H673" i="1"/>
  <c r="G673" i="1"/>
  <c r="G672" i="1" s="1"/>
  <c r="F673" i="1"/>
  <c r="F672" i="1" s="1"/>
  <c r="H672" i="1"/>
  <c r="H671" i="1"/>
  <c r="H670" i="1" s="1"/>
  <c r="G671" i="1"/>
  <c r="G670" i="1" s="1"/>
  <c r="F671" i="1"/>
  <c r="F670" i="1"/>
  <c r="H661" i="1"/>
  <c r="G661" i="1"/>
  <c r="F661" i="1"/>
  <c r="H660" i="1"/>
  <c r="H659" i="1" s="1"/>
  <c r="G660" i="1"/>
  <c r="G659" i="1" s="1"/>
  <c r="F660" i="1"/>
  <c r="F659" i="1" s="1"/>
  <c r="F658" i="1"/>
  <c r="F657" i="1" s="1"/>
  <c r="H657" i="1"/>
  <c r="G657" i="1"/>
  <c r="H648" i="1"/>
  <c r="G648" i="1"/>
  <c r="G647" i="1" s="1"/>
  <c r="F648" i="1"/>
  <c r="F646" i="1" s="1"/>
  <c r="F645" i="1" s="1"/>
  <c r="F644" i="1" s="1"/>
  <c r="H641" i="1"/>
  <c r="H640" i="1" s="1"/>
  <c r="H639" i="1" s="1"/>
  <c r="H638" i="1" s="1"/>
  <c r="H637" i="1" s="1"/>
  <c r="G641" i="1"/>
  <c r="G640" i="1" s="1"/>
  <c r="G639" i="1" s="1"/>
  <c r="G638" i="1" s="1"/>
  <c r="G637" i="1" s="1"/>
  <c r="F641" i="1"/>
  <c r="F640" i="1" s="1"/>
  <c r="F639" i="1" s="1"/>
  <c r="F638" i="1" s="1"/>
  <c r="F637" i="1" s="1"/>
  <c r="H635" i="1"/>
  <c r="H634" i="1" s="1"/>
  <c r="H633" i="1" s="1"/>
  <c r="G635" i="1"/>
  <c r="G634" i="1" s="1"/>
  <c r="G633" i="1" s="1"/>
  <c r="F635" i="1"/>
  <c r="F634" i="1" s="1"/>
  <c r="F633" i="1" s="1"/>
  <c r="F632" i="1"/>
  <c r="F631" i="1" s="1"/>
  <c r="F630" i="1" s="1"/>
  <c r="H631" i="1"/>
  <c r="H630" i="1" s="1"/>
  <c r="G631" i="1"/>
  <c r="G630" i="1" s="1"/>
  <c r="H629" i="1"/>
  <c r="G629" i="1"/>
  <c r="G628" i="1" s="1"/>
  <c r="G627" i="1" s="1"/>
  <c r="G626" i="1" s="1"/>
  <c r="F629" i="1"/>
  <c r="F628" i="1" s="1"/>
  <c r="F627" i="1" s="1"/>
  <c r="H628" i="1"/>
  <c r="H627" i="1" s="1"/>
  <c r="H623" i="1"/>
  <c r="H622" i="1" s="1"/>
  <c r="H621" i="1" s="1"/>
  <c r="H620" i="1" s="1"/>
  <c r="G623" i="1"/>
  <c r="G622" i="1" s="1"/>
  <c r="G621" i="1" s="1"/>
  <c r="G620" i="1" s="1"/>
  <c r="F623" i="1"/>
  <c r="F622" i="1" s="1"/>
  <c r="F621" i="1" s="1"/>
  <c r="F620" i="1" s="1"/>
  <c r="H618" i="1"/>
  <c r="H617" i="1" s="1"/>
  <c r="H616" i="1" s="1"/>
  <c r="H615" i="1" s="1"/>
  <c r="G618" i="1"/>
  <c r="G617" i="1" s="1"/>
  <c r="G616" i="1" s="1"/>
  <c r="G615" i="1" s="1"/>
  <c r="F618" i="1"/>
  <c r="F617" i="1" s="1"/>
  <c r="F616" i="1" s="1"/>
  <c r="F615" i="1" s="1"/>
  <c r="H613" i="1"/>
  <c r="G613" i="1"/>
  <c r="F613" i="1"/>
  <c r="H607" i="1"/>
  <c r="G607" i="1"/>
  <c r="F607" i="1"/>
  <c r="F606" i="1" s="1"/>
  <c r="F605" i="1" s="1"/>
  <c r="F604" i="1" s="1"/>
  <c r="H602" i="1"/>
  <c r="H601" i="1" s="1"/>
  <c r="G602" i="1"/>
  <c r="G601" i="1" s="1"/>
  <c r="F602" i="1"/>
  <c r="F601" i="1" s="1"/>
  <c r="H597" i="1"/>
  <c r="H596" i="1" s="1"/>
  <c r="G597" i="1"/>
  <c r="G596" i="1" s="1"/>
  <c r="G593" i="1" s="1"/>
  <c r="F597" i="1"/>
  <c r="F596" i="1" s="1"/>
  <c r="H590" i="1"/>
  <c r="H589" i="1" s="1"/>
  <c r="H588" i="1" s="1"/>
  <c r="H587" i="1" s="1"/>
  <c r="G590" i="1"/>
  <c r="G589" i="1" s="1"/>
  <c r="G588" i="1" s="1"/>
  <c r="G587" i="1" s="1"/>
  <c r="F590" i="1"/>
  <c r="F589" i="1" s="1"/>
  <c r="F588" i="1" s="1"/>
  <c r="F587" i="1" s="1"/>
  <c r="F586" i="1"/>
  <c r="F585" i="1" s="1"/>
  <c r="F584" i="1" s="1"/>
  <c r="F583" i="1" s="1"/>
  <c r="F582" i="1" s="1"/>
  <c r="F581" i="1" s="1"/>
  <c r="H585" i="1"/>
  <c r="H584" i="1" s="1"/>
  <c r="H583" i="1" s="1"/>
  <c r="H582" i="1" s="1"/>
  <c r="H581" i="1" s="1"/>
  <c r="G585" i="1"/>
  <c r="G584" i="1" s="1"/>
  <c r="G583" i="1" s="1"/>
  <c r="G582" i="1" s="1"/>
  <c r="G581" i="1" s="1"/>
  <c r="H579" i="1"/>
  <c r="H577" i="1" s="1"/>
  <c r="G579" i="1"/>
  <c r="G577" i="1" s="1"/>
  <c r="F579" i="1"/>
  <c r="F578" i="1"/>
  <c r="H576" i="1"/>
  <c r="G576" i="1"/>
  <c r="H575" i="1"/>
  <c r="G575" i="1"/>
  <c r="F575" i="1"/>
  <c r="H572" i="1"/>
  <c r="H567" i="1"/>
  <c r="H566" i="1" s="1"/>
  <c r="G567" i="1"/>
  <c r="G566" i="1" s="1"/>
  <c r="F567" i="1"/>
  <c r="F566" i="1" s="1"/>
  <c r="F564" i="1"/>
  <c r="F563" i="1" s="1"/>
  <c r="F562" i="1" s="1"/>
  <c r="H563" i="1"/>
  <c r="H562" i="1" s="1"/>
  <c r="G563" i="1"/>
  <c r="G562" i="1" s="1"/>
  <c r="H558" i="1"/>
  <c r="G558" i="1"/>
  <c r="F558" i="1"/>
  <c r="F557" i="1"/>
  <c r="G556" i="1"/>
  <c r="G554" i="1" s="1"/>
  <c r="F556" i="1"/>
  <c r="F555" i="1"/>
  <c r="H554" i="1"/>
  <c r="H551" i="1"/>
  <c r="G551" i="1"/>
  <c r="F551" i="1"/>
  <c r="F545" i="1"/>
  <c r="F544" i="1" s="1"/>
  <c r="H544" i="1"/>
  <c r="G544" i="1"/>
  <c r="H542" i="1"/>
  <c r="H541" i="1" s="1"/>
  <c r="G542" i="1"/>
  <c r="G541" i="1" s="1"/>
  <c r="F542" i="1"/>
  <c r="F541" i="1" s="1"/>
  <c r="H538" i="1"/>
  <c r="G538" i="1"/>
  <c r="F538" i="1"/>
  <c r="H535" i="1"/>
  <c r="G535" i="1"/>
  <c r="F535" i="1"/>
  <c r="H528" i="1"/>
  <c r="H527" i="1" s="1"/>
  <c r="H526" i="1" s="1"/>
  <c r="G528" i="1"/>
  <c r="G527" i="1" s="1"/>
  <c r="G526" i="1" s="1"/>
  <c r="F528" i="1"/>
  <c r="F527" i="1" s="1"/>
  <c r="F526" i="1" s="1"/>
  <c r="H524" i="1"/>
  <c r="H523" i="1" s="1"/>
  <c r="H522" i="1" s="1"/>
  <c r="G524" i="1"/>
  <c r="G523" i="1" s="1"/>
  <c r="G522" i="1" s="1"/>
  <c r="F524" i="1"/>
  <c r="F523" i="1" s="1"/>
  <c r="F522" i="1" s="1"/>
  <c r="H518" i="1"/>
  <c r="H517" i="1" s="1"/>
  <c r="G518" i="1"/>
  <c r="G517" i="1" s="1"/>
  <c r="F518" i="1"/>
  <c r="F517" i="1" s="1"/>
  <c r="H515" i="1"/>
  <c r="G515" i="1"/>
  <c r="F515" i="1"/>
  <c r="H514" i="1"/>
  <c r="H513" i="1" s="1"/>
  <c r="G514" i="1"/>
  <c r="G513" i="1" s="1"/>
  <c r="F514" i="1"/>
  <c r="F513" i="1" s="1"/>
  <c r="H510" i="1"/>
  <c r="H509" i="1" s="1"/>
  <c r="H508" i="1" s="1"/>
  <c r="H507" i="1" s="1"/>
  <c r="G510" i="1"/>
  <c r="G509" i="1" s="1"/>
  <c r="G508" i="1" s="1"/>
  <c r="G507" i="1" s="1"/>
  <c r="F510" i="1"/>
  <c r="F509" i="1" s="1"/>
  <c r="F508" i="1" s="1"/>
  <c r="F507" i="1" s="1"/>
  <c r="H504" i="1"/>
  <c r="H503" i="1" s="1"/>
  <c r="H502" i="1" s="1"/>
  <c r="H501" i="1" s="1"/>
  <c r="G504" i="1"/>
  <c r="G503" i="1" s="1"/>
  <c r="G502" i="1" s="1"/>
  <c r="G501" i="1" s="1"/>
  <c r="F504" i="1"/>
  <c r="F503" i="1" s="1"/>
  <c r="F502" i="1" s="1"/>
  <c r="F501" i="1" s="1"/>
  <c r="H498" i="1"/>
  <c r="H497" i="1" s="1"/>
  <c r="G498" i="1"/>
  <c r="G497" i="1" s="1"/>
  <c r="F498" i="1"/>
  <c r="F497" i="1" s="1"/>
  <c r="H495" i="1"/>
  <c r="H494" i="1" s="1"/>
  <c r="G495" i="1"/>
  <c r="G494" i="1" s="1"/>
  <c r="F495" i="1"/>
  <c r="F494" i="1" s="1"/>
  <c r="H492" i="1"/>
  <c r="G492" i="1"/>
  <c r="F492" i="1"/>
  <c r="H491" i="1"/>
  <c r="H490" i="1" s="1"/>
  <c r="G491" i="1"/>
  <c r="G490" i="1" s="1"/>
  <c r="F490" i="1"/>
  <c r="H489" i="1"/>
  <c r="H488" i="1" s="1"/>
  <c r="G489" i="1"/>
  <c r="G488" i="1" s="1"/>
  <c r="F489" i="1"/>
  <c r="F488" i="1" s="1"/>
  <c r="H485" i="1"/>
  <c r="H484" i="1" s="1"/>
  <c r="G485" i="1"/>
  <c r="G484" i="1" s="1"/>
  <c r="F485" i="1"/>
  <c r="F484" i="1" s="1"/>
  <c r="F483" i="1"/>
  <c r="F482" i="1" s="1"/>
  <c r="H482" i="1"/>
  <c r="G482" i="1"/>
  <c r="F481" i="1"/>
  <c r="F480" i="1" s="1"/>
  <c r="H480" i="1"/>
  <c r="G480" i="1"/>
  <c r="H479" i="1"/>
  <c r="H478" i="1" s="1"/>
  <c r="G479" i="1"/>
  <c r="G478" i="1" s="1"/>
  <c r="F479" i="1"/>
  <c r="F478" i="1" s="1"/>
  <c r="F477" i="1"/>
  <c r="F476" i="1" s="1"/>
  <c r="H476" i="1"/>
  <c r="G476" i="1"/>
  <c r="H474" i="1"/>
  <c r="G474" i="1"/>
  <c r="F474" i="1"/>
  <c r="H473" i="1"/>
  <c r="H472" i="1" s="1"/>
  <c r="G473" i="1"/>
  <c r="F473" i="1"/>
  <c r="F472" i="1" s="1"/>
  <c r="G472" i="1"/>
  <c r="F471" i="1"/>
  <c r="F470" i="1" s="1"/>
  <c r="H470" i="1"/>
  <c r="G470" i="1"/>
  <c r="F467" i="1"/>
  <c r="F466" i="1" s="1"/>
  <c r="H466" i="1"/>
  <c r="G466" i="1"/>
  <c r="H465" i="1"/>
  <c r="H464" i="1" s="1"/>
  <c r="G465" i="1"/>
  <c r="G464" i="1" s="1"/>
  <c r="F465" i="1"/>
  <c r="F464" i="1" s="1"/>
  <c r="H462" i="1"/>
  <c r="G462" i="1"/>
  <c r="F462" i="1"/>
  <c r="F460" i="1"/>
  <c r="F459" i="1" s="1"/>
  <c r="H459" i="1"/>
  <c r="G459" i="1"/>
  <c r="H458" i="1"/>
  <c r="H457" i="1" s="1"/>
  <c r="G458" i="1"/>
  <c r="G457" i="1"/>
  <c r="F457" i="1"/>
  <c r="H456" i="1"/>
  <c r="G456" i="1"/>
  <c r="G455" i="1" s="1"/>
  <c r="F456" i="1"/>
  <c r="F455" i="1" s="1"/>
  <c r="H455" i="1"/>
  <c r="G454" i="1"/>
  <c r="G453" i="1" s="1"/>
  <c r="F454" i="1"/>
  <c r="F453" i="1" s="1"/>
  <c r="H453" i="1"/>
  <c r="F452" i="1"/>
  <c r="F451" i="1" s="1"/>
  <c r="H451" i="1"/>
  <c r="G451" i="1"/>
  <c r="H445" i="1"/>
  <c r="H444" i="1" s="1"/>
  <c r="G445" i="1"/>
  <c r="G444" i="1" s="1"/>
  <c r="F445" i="1"/>
  <c r="F444" i="1" s="1"/>
  <c r="H443" i="1"/>
  <c r="H442" i="1" s="1"/>
  <c r="G443" i="1"/>
  <c r="G442" i="1" s="1"/>
  <c r="F443" i="1"/>
  <c r="F442" i="1" s="1"/>
  <c r="H441" i="1"/>
  <c r="H440" i="1" s="1"/>
  <c r="G441" i="1"/>
  <c r="G440" i="1" s="1"/>
  <c r="F441" i="1"/>
  <c r="F440" i="1" s="1"/>
  <c r="H437" i="1"/>
  <c r="H436" i="1" s="1"/>
  <c r="G437" i="1"/>
  <c r="G436" i="1" s="1"/>
  <c r="F437" i="1"/>
  <c r="F436" i="1" s="1"/>
  <c r="F435" i="1"/>
  <c r="F434" i="1" s="1"/>
  <c r="H434" i="1"/>
  <c r="G434" i="1"/>
  <c r="H427" i="1"/>
  <c r="G427" i="1"/>
  <c r="G425" i="1" s="1"/>
  <c r="G424" i="1" s="1"/>
  <c r="F427" i="1"/>
  <c r="F425" i="1" s="1"/>
  <c r="F424" i="1" s="1"/>
  <c r="H425" i="1"/>
  <c r="H424" i="1" s="1"/>
  <c r="H422" i="1"/>
  <c r="H421" i="1" s="1"/>
  <c r="G422" i="1"/>
  <c r="G421" i="1" s="1"/>
  <c r="F422" i="1"/>
  <c r="F421" i="1" s="1"/>
  <c r="F419" i="1"/>
  <c r="H418" i="1"/>
  <c r="G418" i="1"/>
  <c r="F418" i="1"/>
  <c r="G417" i="1"/>
  <c r="F417" i="1"/>
  <c r="F416" i="1" s="1"/>
  <c r="H416" i="1"/>
  <c r="G416" i="1"/>
  <c r="G415" i="1"/>
  <c r="G414" i="1" s="1"/>
  <c r="F415" i="1"/>
  <c r="F414" i="1" s="1"/>
  <c r="H414" i="1"/>
  <c r="F412" i="1"/>
  <c r="F411" i="1" s="1"/>
  <c r="F410" i="1" s="1"/>
  <c r="H411" i="1"/>
  <c r="H410" i="1" s="1"/>
  <c r="G411" i="1"/>
  <c r="G410" i="1" s="1"/>
  <c r="H404" i="1"/>
  <c r="G404" i="1"/>
  <c r="F404" i="1"/>
  <c r="H403" i="1"/>
  <c r="H402" i="1" s="1"/>
  <c r="G402" i="1"/>
  <c r="F402" i="1"/>
  <c r="H397" i="1"/>
  <c r="H396" i="1" s="1"/>
  <c r="G397" i="1"/>
  <c r="G396" i="1" s="1"/>
  <c r="F397" i="1"/>
  <c r="F396" i="1" s="1"/>
  <c r="H395" i="1"/>
  <c r="G395" i="1"/>
  <c r="G394" i="1" s="1"/>
  <c r="G393" i="1" s="1"/>
  <c r="F395" i="1"/>
  <c r="F394" i="1" s="1"/>
  <c r="F393" i="1" s="1"/>
  <c r="H394" i="1"/>
  <c r="H393" i="1" s="1"/>
  <c r="H391" i="1"/>
  <c r="G391" i="1"/>
  <c r="F391" i="1"/>
  <c r="H389" i="1"/>
  <c r="H388" i="1" s="1"/>
  <c r="G389" i="1"/>
  <c r="G388" i="1" s="1"/>
  <c r="F389" i="1"/>
  <c r="F388" i="1" s="1"/>
  <c r="H385" i="1"/>
  <c r="H384" i="1" s="1"/>
  <c r="G385" i="1"/>
  <c r="G384" i="1" s="1"/>
  <c r="F385" i="1"/>
  <c r="F384" i="1"/>
  <c r="H382" i="1"/>
  <c r="G382" i="1"/>
  <c r="F382" i="1"/>
  <c r="F380" i="1"/>
  <c r="F379" i="1" s="1"/>
  <c r="F378" i="1" s="1"/>
  <c r="H379" i="1"/>
  <c r="H378" i="1" s="1"/>
  <c r="G379" i="1"/>
  <c r="G378" i="1" s="1"/>
  <c r="F377" i="1"/>
  <c r="H376" i="1"/>
  <c r="G376" i="1"/>
  <c r="F376" i="1"/>
  <c r="F375" i="1"/>
  <c r="F374" i="1" s="1"/>
  <c r="H374" i="1"/>
  <c r="G374" i="1"/>
  <c r="F371" i="1"/>
  <c r="F370" i="1" s="1"/>
  <c r="H370" i="1"/>
  <c r="G370" i="1"/>
  <c r="H369" i="1"/>
  <c r="H368" i="1" s="1"/>
  <c r="G369" i="1"/>
  <c r="G368" i="1" s="1"/>
  <c r="F369" i="1"/>
  <c r="F368" i="1" s="1"/>
  <c r="F363" i="1"/>
  <c r="F362" i="1" s="1"/>
  <c r="F361" i="1" s="1"/>
  <c r="F360" i="1" s="1"/>
  <c r="F359" i="1" s="1"/>
  <c r="H362" i="1"/>
  <c r="H361" i="1" s="1"/>
  <c r="H360" i="1" s="1"/>
  <c r="H359" i="1" s="1"/>
  <c r="G362" i="1"/>
  <c r="G361" i="1" s="1"/>
  <c r="G360" i="1" s="1"/>
  <c r="G359" i="1" s="1"/>
  <c r="H357" i="1"/>
  <c r="G357" i="1"/>
  <c r="F357" i="1"/>
  <c r="F356" i="1"/>
  <c r="F355" i="1" s="1"/>
  <c r="H355" i="1"/>
  <c r="G355" i="1"/>
  <c r="H353" i="1"/>
  <c r="H352" i="1" s="1"/>
  <c r="G353" i="1"/>
  <c r="G352" i="1" s="1"/>
  <c r="F353" i="1"/>
  <c r="F352" i="1" s="1"/>
  <c r="H349" i="1"/>
  <c r="H348" i="1" s="1"/>
  <c r="H347" i="1" s="1"/>
  <c r="G349" i="1"/>
  <c r="G348" i="1" s="1"/>
  <c r="G347" i="1" s="1"/>
  <c r="F349" i="1"/>
  <c r="F348" i="1"/>
  <c r="F347" i="1" s="1"/>
  <c r="H345" i="1"/>
  <c r="H344" i="1" s="1"/>
  <c r="G345" i="1"/>
  <c r="G344" i="1" s="1"/>
  <c r="F345" i="1"/>
  <c r="F344" i="1" s="1"/>
  <c r="H342" i="1"/>
  <c r="H341" i="1" s="1"/>
  <c r="G342" i="1"/>
  <c r="G341" i="1" s="1"/>
  <c r="F342" i="1"/>
  <c r="F341" i="1" s="1"/>
  <c r="F340" i="1"/>
  <c r="H338" i="1"/>
  <c r="G338" i="1"/>
  <c r="F338" i="1"/>
  <c r="F337" i="1"/>
  <c r="H335" i="1"/>
  <c r="G335" i="1"/>
  <c r="F335" i="1"/>
  <c r="F330" i="1"/>
  <c r="H329" i="1"/>
  <c r="H328" i="1" s="1"/>
  <c r="G329" i="1"/>
  <c r="G328" i="1" s="1"/>
  <c r="F329" i="1"/>
  <c r="F328" i="1" s="1"/>
  <c r="H327" i="1"/>
  <c r="H326" i="1" s="1"/>
  <c r="H325" i="1" s="1"/>
  <c r="G327" i="1"/>
  <c r="G326" i="1" s="1"/>
  <c r="G325" i="1" s="1"/>
  <c r="F327" i="1"/>
  <c r="F326" i="1" s="1"/>
  <c r="F325" i="1" s="1"/>
  <c r="H323" i="1"/>
  <c r="H322" i="1" s="1"/>
  <c r="G323" i="1"/>
  <c r="F323" i="1"/>
  <c r="G322" i="1"/>
  <c r="F322" i="1"/>
  <c r="H321" i="1"/>
  <c r="H320" i="1" s="1"/>
  <c r="G321" i="1"/>
  <c r="G320" i="1" s="1"/>
  <c r="F321" i="1"/>
  <c r="F320" i="1" s="1"/>
  <c r="H315" i="1"/>
  <c r="H314" i="1" s="1"/>
  <c r="H313" i="1" s="1"/>
  <c r="H312" i="1" s="1"/>
  <c r="G315" i="1"/>
  <c r="G314" i="1" s="1"/>
  <c r="G313" i="1" s="1"/>
  <c r="G312" i="1" s="1"/>
  <c r="F315" i="1"/>
  <c r="F314" i="1" s="1"/>
  <c r="F313" i="1" s="1"/>
  <c r="F312" i="1" s="1"/>
  <c r="H310" i="1"/>
  <c r="H309" i="1" s="1"/>
  <c r="H308" i="1" s="1"/>
  <c r="H307" i="1" s="1"/>
  <c r="G310" i="1"/>
  <c r="G309" i="1" s="1"/>
  <c r="G308" i="1" s="1"/>
  <c r="G307" i="1" s="1"/>
  <c r="F310" i="1"/>
  <c r="F309" i="1" s="1"/>
  <c r="F308" i="1" s="1"/>
  <c r="F307" i="1" s="1"/>
  <c r="F303" i="1"/>
  <c r="H302" i="1"/>
  <c r="H301" i="1" s="1"/>
  <c r="H300" i="1" s="1"/>
  <c r="G302" i="1"/>
  <c r="G301" i="1" s="1"/>
  <c r="G300" i="1" s="1"/>
  <c r="F302" i="1"/>
  <c r="H298" i="1"/>
  <c r="H297" i="1" s="1"/>
  <c r="G298" i="1"/>
  <c r="G297" i="1" s="1"/>
  <c r="F298" i="1"/>
  <c r="F297" i="1" s="1"/>
  <c r="H293" i="1"/>
  <c r="G293" i="1"/>
  <c r="F293" i="1"/>
  <c r="F292" i="1"/>
  <c r="F291" i="1" s="1"/>
  <c r="H291" i="1"/>
  <c r="G291" i="1"/>
  <c r="H287" i="1"/>
  <c r="H286" i="1" s="1"/>
  <c r="G287" i="1"/>
  <c r="G286" i="1" s="1"/>
  <c r="F287" i="1"/>
  <c r="F286" i="1" s="1"/>
  <c r="H285" i="1"/>
  <c r="H284" i="1" s="1"/>
  <c r="G285" i="1"/>
  <c r="G284" i="1" s="1"/>
  <c r="F285" i="1"/>
  <c r="F284" i="1" s="1"/>
  <c r="H282" i="1"/>
  <c r="G282" i="1"/>
  <c r="F282" i="1"/>
  <c r="H280" i="1"/>
  <c r="G280" i="1"/>
  <c r="F280" i="1"/>
  <c r="H276" i="1"/>
  <c r="G276" i="1"/>
  <c r="F276" i="1"/>
  <c r="H274" i="1"/>
  <c r="H273" i="1" s="1"/>
  <c r="H272" i="1" s="1"/>
  <c r="G274" i="1"/>
  <c r="F274" i="1"/>
  <c r="H269" i="1"/>
  <c r="H268" i="1" s="1"/>
  <c r="H267" i="1" s="1"/>
  <c r="H266" i="1" s="1"/>
  <c r="G269" i="1"/>
  <c r="G268" i="1" s="1"/>
  <c r="G267" i="1" s="1"/>
  <c r="G266" i="1" s="1"/>
  <c r="F269" i="1"/>
  <c r="F268" i="1" s="1"/>
  <c r="F267" i="1" s="1"/>
  <c r="F266" i="1" s="1"/>
  <c r="F264" i="1"/>
  <c r="F263" i="1" s="1"/>
  <c r="F262" i="1" s="1"/>
  <c r="F261" i="1" s="1"/>
  <c r="F260" i="1" s="1"/>
  <c r="H263" i="1"/>
  <c r="H262" i="1" s="1"/>
  <c r="H261" i="1" s="1"/>
  <c r="H260" i="1" s="1"/>
  <c r="G263" i="1"/>
  <c r="G262" i="1" s="1"/>
  <c r="G261" i="1" s="1"/>
  <c r="G260" i="1" s="1"/>
  <c r="H258" i="1"/>
  <c r="H257" i="1" s="1"/>
  <c r="G258" i="1"/>
  <c r="G257" i="1" s="1"/>
  <c r="F258" i="1"/>
  <c r="F257" i="1" s="1"/>
  <c r="F256" i="1"/>
  <c r="F255" i="1" s="1"/>
  <c r="F254" i="1" s="1"/>
  <c r="H255" i="1"/>
  <c r="H254" i="1" s="1"/>
  <c r="G255" i="1"/>
  <c r="G254" i="1" s="1"/>
  <c r="H251" i="1"/>
  <c r="G251" i="1"/>
  <c r="F251" i="1"/>
  <c r="H250" i="1"/>
  <c r="G250" i="1"/>
  <c r="G249" i="1" s="1"/>
  <c r="F250" i="1"/>
  <c r="F249" i="1" s="1"/>
  <c r="H249" i="1"/>
  <c r="H244" i="1"/>
  <c r="H243" i="1" s="1"/>
  <c r="H242" i="1" s="1"/>
  <c r="G244" i="1"/>
  <c r="G243" i="1" s="1"/>
  <c r="G242" i="1" s="1"/>
  <c r="F244" i="1"/>
  <c r="F243" i="1" s="1"/>
  <c r="F242" i="1" s="1"/>
  <c r="H241" i="1"/>
  <c r="H240" i="1" s="1"/>
  <c r="H239" i="1" s="1"/>
  <c r="G241" i="1"/>
  <c r="G240" i="1" s="1"/>
  <c r="G239" i="1" s="1"/>
  <c r="F241" i="1"/>
  <c r="F240" i="1"/>
  <c r="F239" i="1" s="1"/>
  <c r="H234" i="1"/>
  <c r="H233" i="1" s="1"/>
  <c r="H232" i="1" s="1"/>
  <c r="H231" i="1" s="1"/>
  <c r="H230" i="1" s="1"/>
  <c r="G234" i="1"/>
  <c r="G233" i="1" s="1"/>
  <c r="G232" i="1" s="1"/>
  <c r="G231" i="1" s="1"/>
  <c r="G230" i="1" s="1"/>
  <c r="F234" i="1"/>
  <c r="F233" i="1" s="1"/>
  <c r="F232" i="1" s="1"/>
  <c r="F231" i="1" s="1"/>
  <c r="F230" i="1" s="1"/>
  <c r="H228" i="1"/>
  <c r="H226" i="1" s="1"/>
  <c r="G228" i="1"/>
  <c r="G226" i="1" s="1"/>
  <c r="F228" i="1"/>
  <c r="F226" i="1"/>
  <c r="H224" i="1"/>
  <c r="G224" i="1"/>
  <c r="F224" i="1"/>
  <c r="H222" i="1"/>
  <c r="G222" i="1"/>
  <c r="F222" i="1"/>
  <c r="H218" i="1"/>
  <c r="H217" i="1" s="1"/>
  <c r="G218" i="1"/>
  <c r="G217" i="1" s="1"/>
  <c r="F218" i="1"/>
  <c r="F217" i="1" s="1"/>
  <c r="H214" i="1"/>
  <c r="G214" i="1"/>
  <c r="F214" i="1"/>
  <c r="F213" i="1"/>
  <c r="F212" i="1" s="1"/>
  <c r="H212" i="1"/>
  <c r="G212" i="1"/>
  <c r="H211" i="1"/>
  <c r="H210" i="1" s="1"/>
  <c r="G211" i="1"/>
  <c r="G210" i="1" s="1"/>
  <c r="F211" i="1"/>
  <c r="F210" i="1" s="1"/>
  <c r="H205" i="1"/>
  <c r="H204" i="1" s="1"/>
  <c r="H203" i="1" s="1"/>
  <c r="H202" i="1" s="1"/>
  <c r="G205" i="1"/>
  <c r="G204" i="1" s="1"/>
  <c r="G203" i="1" s="1"/>
  <c r="G202" i="1" s="1"/>
  <c r="F205" i="1"/>
  <c r="F204" i="1" s="1"/>
  <c r="F203" i="1" s="1"/>
  <c r="F202" i="1" s="1"/>
  <c r="H199" i="1"/>
  <c r="H198" i="1" s="1"/>
  <c r="H197" i="1" s="1"/>
  <c r="G199" i="1"/>
  <c r="G198" i="1" s="1"/>
  <c r="G197" i="1" s="1"/>
  <c r="F199" i="1"/>
  <c r="F198" i="1" s="1"/>
  <c r="F197" i="1" s="1"/>
  <c r="H195" i="1"/>
  <c r="G195" i="1"/>
  <c r="F195" i="1"/>
  <c r="G194" i="1"/>
  <c r="G193" i="1" s="1"/>
  <c r="F194" i="1"/>
  <c r="F193" i="1" s="1"/>
  <c r="H193" i="1"/>
  <c r="H187" i="1"/>
  <c r="G187" i="1"/>
  <c r="G186" i="1" s="1"/>
  <c r="G185" i="1" s="1"/>
  <c r="F187" i="1"/>
  <c r="F186" i="1" s="1"/>
  <c r="F185" i="1" s="1"/>
  <c r="H186" i="1"/>
  <c r="H185" i="1" s="1"/>
  <c r="H183" i="1"/>
  <c r="G183" i="1"/>
  <c r="F183" i="1"/>
  <c r="H181" i="1"/>
  <c r="G181" i="1"/>
  <c r="F181" i="1"/>
  <c r="H179" i="1"/>
  <c r="G179" i="1"/>
  <c r="F179" i="1"/>
  <c r="H177" i="1"/>
  <c r="G177" i="1"/>
  <c r="F177" i="1"/>
  <c r="H175" i="1"/>
  <c r="G175" i="1"/>
  <c r="F175" i="1"/>
  <c r="H169" i="1"/>
  <c r="H168" i="1" s="1"/>
  <c r="H167" i="1" s="1"/>
  <c r="H166" i="1" s="1"/>
  <c r="H165" i="1" s="1"/>
  <c r="H164" i="1" s="1"/>
  <c r="H163" i="1" s="1"/>
  <c r="G169" i="1"/>
  <c r="G168" i="1" s="1"/>
  <c r="G167" i="1" s="1"/>
  <c r="G166" i="1" s="1"/>
  <c r="G165" i="1" s="1"/>
  <c r="G164" i="1" s="1"/>
  <c r="G163" i="1" s="1"/>
  <c r="F169" i="1"/>
  <c r="F168" i="1" s="1"/>
  <c r="F167" i="1" s="1"/>
  <c r="F166" i="1" s="1"/>
  <c r="F165" i="1" s="1"/>
  <c r="F164" i="1" s="1"/>
  <c r="F163" i="1" s="1"/>
  <c r="H161" i="1"/>
  <c r="H160" i="1" s="1"/>
  <c r="H159" i="1" s="1"/>
  <c r="H158" i="1" s="1"/>
  <c r="H157" i="1" s="1"/>
  <c r="G161" i="1"/>
  <c r="G160" i="1" s="1"/>
  <c r="G159" i="1" s="1"/>
  <c r="G158" i="1" s="1"/>
  <c r="G157" i="1" s="1"/>
  <c r="F161" i="1"/>
  <c r="F160" i="1"/>
  <c r="F159" i="1" s="1"/>
  <c r="F158" i="1" s="1"/>
  <c r="F157" i="1" s="1"/>
  <c r="H156" i="1"/>
  <c r="G156" i="1"/>
  <c r="G155" i="1" s="1"/>
  <c r="F156" i="1"/>
  <c r="F155" i="1" s="1"/>
  <c r="H155" i="1"/>
  <c r="H151" i="1"/>
  <c r="G151" i="1"/>
  <c r="F151" i="1"/>
  <c r="H149" i="1"/>
  <c r="G149" i="1"/>
  <c r="F149" i="1"/>
  <c r="H145" i="1"/>
  <c r="H144" i="1" s="1"/>
  <c r="H143" i="1" s="1"/>
  <c r="H142" i="1" s="1"/>
  <c r="H141" i="1" s="1"/>
  <c r="G145" i="1"/>
  <c r="G144" i="1" s="1"/>
  <c r="G143" i="1" s="1"/>
  <c r="G142" i="1" s="1"/>
  <c r="G141" i="1" s="1"/>
  <c r="F145" i="1"/>
  <c r="F144" i="1" s="1"/>
  <c r="F143" i="1" s="1"/>
  <c r="F142" i="1" s="1"/>
  <c r="F141" i="1" s="1"/>
  <c r="F140" i="1"/>
  <c r="F139" i="1"/>
  <c r="F138" i="1" s="1"/>
  <c r="F137" i="1" s="1"/>
  <c r="F136" i="1" s="1"/>
  <c r="H138" i="1"/>
  <c r="H137" i="1" s="1"/>
  <c r="H136" i="1" s="1"/>
  <c r="G138" i="1"/>
  <c r="G137" i="1" s="1"/>
  <c r="G136" i="1" s="1"/>
  <c r="H132" i="1"/>
  <c r="H131" i="1" s="1"/>
  <c r="H130" i="1" s="1"/>
  <c r="G132" i="1"/>
  <c r="G131" i="1" s="1"/>
  <c r="G130" i="1" s="1"/>
  <c r="F132" i="1"/>
  <c r="F131" i="1" s="1"/>
  <c r="F130" i="1" s="1"/>
  <c r="H127" i="1"/>
  <c r="H126" i="1" s="1"/>
  <c r="G127" i="1"/>
  <c r="G126" i="1" s="1"/>
  <c r="F127" i="1"/>
  <c r="F126" i="1" s="1"/>
  <c r="H124" i="1"/>
  <c r="G124" i="1"/>
  <c r="F124" i="1"/>
  <c r="H122" i="1"/>
  <c r="G122" i="1"/>
  <c r="G121" i="1" s="1"/>
  <c r="F122" i="1"/>
  <c r="H118" i="1"/>
  <c r="H117" i="1" s="1"/>
  <c r="G118" i="1"/>
  <c r="G117" i="1" s="1"/>
  <c r="F118" i="1"/>
  <c r="F117" i="1" s="1"/>
  <c r="H115" i="1"/>
  <c r="H114" i="1" s="1"/>
  <c r="G115" i="1"/>
  <c r="G114" i="1" s="1"/>
  <c r="F115" i="1"/>
  <c r="F114" i="1" s="1"/>
  <c r="H112" i="1"/>
  <c r="H111" i="1" s="1"/>
  <c r="G112" i="1"/>
  <c r="G111" i="1" s="1"/>
  <c r="F112" i="1"/>
  <c r="F111" i="1" s="1"/>
  <c r="H109" i="1"/>
  <c r="H108" i="1" s="1"/>
  <c r="G109" i="1"/>
  <c r="G108" i="1" s="1"/>
  <c r="F109" i="1"/>
  <c r="F108" i="1" s="1"/>
  <c r="H104" i="1"/>
  <c r="H103" i="1" s="1"/>
  <c r="H102" i="1" s="1"/>
  <c r="G104" i="1"/>
  <c r="G103" i="1" s="1"/>
  <c r="G102" i="1" s="1"/>
  <c r="F104" i="1"/>
  <c r="F103" i="1" s="1"/>
  <c r="F102" i="1" s="1"/>
  <c r="H100" i="1"/>
  <c r="H99" i="1" s="1"/>
  <c r="G100" i="1"/>
  <c r="G99" i="1" s="1"/>
  <c r="F100" i="1"/>
  <c r="F99" i="1" s="1"/>
  <c r="H96" i="1"/>
  <c r="G96" i="1"/>
  <c r="F96" i="1"/>
  <c r="H93" i="1"/>
  <c r="H92" i="1" s="1"/>
  <c r="G93" i="1"/>
  <c r="G92" i="1" s="1"/>
  <c r="F93" i="1"/>
  <c r="F92" i="1" s="1"/>
  <c r="H88" i="1"/>
  <c r="G88" i="1"/>
  <c r="F88" i="1"/>
  <c r="H86" i="1"/>
  <c r="G86" i="1"/>
  <c r="F86" i="1"/>
  <c r="H82" i="1"/>
  <c r="H81" i="1" s="1"/>
  <c r="H80" i="1" s="1"/>
  <c r="G82" i="1"/>
  <c r="G81" i="1" s="1"/>
  <c r="G80" i="1" s="1"/>
  <c r="F82" i="1"/>
  <c r="F81" i="1" s="1"/>
  <c r="F80" i="1" s="1"/>
  <c r="H78" i="1"/>
  <c r="H77" i="1" s="1"/>
  <c r="H76" i="1" s="1"/>
  <c r="G78" i="1"/>
  <c r="G77" i="1" s="1"/>
  <c r="G76" i="1" s="1"/>
  <c r="F78" i="1"/>
  <c r="F77" i="1" s="1"/>
  <c r="F76" i="1" s="1"/>
  <c r="H74" i="1"/>
  <c r="G74" i="1"/>
  <c r="F74" i="1"/>
  <c r="H72" i="1"/>
  <c r="H71" i="1"/>
  <c r="G71" i="1"/>
  <c r="G70" i="1" s="1"/>
  <c r="F71" i="1"/>
  <c r="F70" i="1" s="1"/>
  <c r="H65" i="1"/>
  <c r="H64" i="1" s="1"/>
  <c r="H63" i="1" s="1"/>
  <c r="G65" i="1"/>
  <c r="G64" i="1" s="1"/>
  <c r="G63" i="1" s="1"/>
  <c r="F65" i="1"/>
  <c r="F64" i="1" s="1"/>
  <c r="F63" i="1" s="1"/>
  <c r="H61" i="1"/>
  <c r="H60" i="1" s="1"/>
  <c r="G61" i="1"/>
  <c r="G60" i="1" s="1"/>
  <c r="F61" i="1"/>
  <c r="F60" i="1" s="1"/>
  <c r="H57" i="1"/>
  <c r="H56" i="1" s="1"/>
  <c r="H55" i="1" s="1"/>
  <c r="G57" i="1"/>
  <c r="G56" i="1" s="1"/>
  <c r="G55" i="1" s="1"/>
  <c r="F57" i="1"/>
  <c r="F56" i="1" s="1"/>
  <c r="F55" i="1" s="1"/>
  <c r="H52" i="1"/>
  <c r="H51" i="1" s="1"/>
  <c r="H50" i="1" s="1"/>
  <c r="H49" i="1" s="1"/>
  <c r="G52" i="1"/>
  <c r="G51" i="1" s="1"/>
  <c r="G50" i="1" s="1"/>
  <c r="G49" i="1" s="1"/>
  <c r="F52" i="1"/>
  <c r="F51" i="1" s="1"/>
  <c r="F50" i="1" s="1"/>
  <c r="F49" i="1" s="1"/>
  <c r="H48" i="1"/>
  <c r="H46" i="1" s="1"/>
  <c r="H45" i="1" s="1"/>
  <c r="H44" i="1" s="1"/>
  <c r="H43" i="1" s="1"/>
  <c r="G48" i="1"/>
  <c r="G46" i="1" s="1"/>
  <c r="G45" i="1" s="1"/>
  <c r="G44" i="1" s="1"/>
  <c r="G43" i="1" s="1"/>
  <c r="F48" i="1"/>
  <c r="F46" i="1" s="1"/>
  <c r="F45" i="1" s="1"/>
  <c r="F44" i="1" s="1"/>
  <c r="F43" i="1" s="1"/>
  <c r="F42" i="1"/>
  <c r="F41" i="1" s="1"/>
  <c r="F40" i="1" s="1"/>
  <c r="F39" i="1" s="1"/>
  <c r="H41" i="1"/>
  <c r="H40" i="1" s="1"/>
  <c r="H39" i="1" s="1"/>
  <c r="G41" i="1"/>
  <c r="G40" i="1" s="1"/>
  <c r="G39" i="1" s="1"/>
  <c r="H37" i="1"/>
  <c r="H36" i="1" s="1"/>
  <c r="G37" i="1"/>
  <c r="G36" i="1" s="1"/>
  <c r="F37" i="1"/>
  <c r="F36" i="1" s="1"/>
  <c r="H34" i="1"/>
  <c r="G34" i="1"/>
  <c r="F34" i="1"/>
  <c r="H33" i="1"/>
  <c r="H32" i="1" s="1"/>
  <c r="G33" i="1"/>
  <c r="G32" i="1" s="1"/>
  <c r="F33" i="1"/>
  <c r="F32" i="1" s="1"/>
  <c r="H31" i="1"/>
  <c r="G31" i="1"/>
  <c r="F31" i="1"/>
  <c r="H30" i="1"/>
  <c r="G30" i="1"/>
  <c r="H29" i="1"/>
  <c r="G29" i="1"/>
  <c r="F28" i="1"/>
  <c r="H22" i="1"/>
  <c r="H21" i="1" s="1"/>
  <c r="H20" i="1" s="1"/>
  <c r="H19" i="1" s="1"/>
  <c r="G22" i="1"/>
  <c r="G21" i="1" s="1"/>
  <c r="G20" i="1" s="1"/>
  <c r="G19" i="1" s="1"/>
  <c r="F22" i="1"/>
  <c r="F21" i="1" s="1"/>
  <c r="F20" i="1" s="1"/>
  <c r="F19" i="1" s="1"/>
  <c r="F16" i="1"/>
  <c r="F15" i="1" s="1"/>
  <c r="F14" i="1" s="1"/>
  <c r="F13" i="1" s="1"/>
  <c r="H15" i="1"/>
  <c r="H14" i="1" s="1"/>
  <c r="H13" i="1" s="1"/>
  <c r="G15" i="1"/>
  <c r="G14" i="1" s="1"/>
  <c r="G13" i="1" s="1"/>
  <c r="H12" i="1"/>
  <c r="G12" i="1"/>
  <c r="G11" i="1" s="1"/>
  <c r="G10" i="1" s="1"/>
  <c r="G9" i="1" s="1"/>
  <c r="G8" i="1" s="1"/>
  <c r="G7" i="1" s="1"/>
  <c r="F12" i="1"/>
  <c r="F121" i="1" l="1"/>
  <c r="F27" i="1"/>
  <c r="H121" i="1"/>
  <c r="F669" i="1"/>
  <c r="F668" i="1" s="1"/>
  <c r="F667" i="1" s="1"/>
  <c r="F666" i="1" s="1"/>
  <c r="H367" i="1"/>
  <c r="H366" i="1" s="1"/>
  <c r="H334" i="1"/>
  <c r="H333" i="1" s="1"/>
  <c r="H192" i="1"/>
  <c r="H191" i="1" s="1"/>
  <c r="H190" i="1" s="1"/>
  <c r="H189" i="1" s="1"/>
  <c r="H238" i="1"/>
  <c r="H237" i="1" s="1"/>
  <c r="H236" i="1" s="1"/>
  <c r="G534" i="1"/>
  <c r="H248" i="1"/>
  <c r="H247" i="1" s="1"/>
  <c r="G381" i="1"/>
  <c r="G373" i="1"/>
  <c r="G550" i="1"/>
  <c r="F69" i="1"/>
  <c r="F68" i="1" s="1"/>
  <c r="F67" i="1" s="1"/>
  <c r="F59" i="1" s="1"/>
  <c r="G334" i="1"/>
  <c r="G333" i="1" s="1"/>
  <c r="H512" i="1"/>
  <c r="H511" i="1" s="1"/>
  <c r="H506" i="1" s="1"/>
  <c r="H500" i="1" s="1"/>
  <c r="H606" i="1"/>
  <c r="H605" i="1" s="1"/>
  <c r="H604" i="1" s="1"/>
  <c r="H279" i="1"/>
  <c r="H626" i="1"/>
  <c r="H625" i="1" s="1"/>
  <c r="G420" i="1"/>
  <c r="F433" i="1"/>
  <c r="F432" i="1" s="1"/>
  <c r="H540" i="1"/>
  <c r="F647" i="1"/>
  <c r="H669" i="1"/>
  <c r="H668" i="1" s="1"/>
  <c r="H667" i="1" s="1"/>
  <c r="H666" i="1" s="1"/>
  <c r="H381" i="1"/>
  <c r="G95" i="1"/>
  <c r="G91" i="1" s="1"/>
  <c r="G90" i="1" s="1"/>
  <c r="H253" i="1"/>
  <c r="H373" i="1"/>
  <c r="G549" i="1"/>
  <c r="G174" i="1"/>
  <c r="G173" i="1" s="1"/>
  <c r="G172" i="1" s="1"/>
  <c r="G171" i="1" s="1"/>
  <c r="F238" i="1"/>
  <c r="F237" i="1" s="1"/>
  <c r="F236" i="1" s="1"/>
  <c r="F279" i="1"/>
  <c r="F334" i="1"/>
  <c r="F333" i="1" s="1"/>
  <c r="G69" i="1"/>
  <c r="G68" i="1" s="1"/>
  <c r="G67" i="1" s="1"/>
  <c r="G59" i="1" s="1"/>
  <c r="H85" i="1"/>
  <c r="G279" i="1"/>
  <c r="H571" i="1"/>
  <c r="H11" i="1"/>
  <c r="H10" i="1" s="1"/>
  <c r="H9" i="1" s="1"/>
  <c r="H8" i="1" s="1"/>
  <c r="H7" i="1" s="1"/>
  <c r="F248" i="1"/>
  <c r="F247" i="1" s="1"/>
  <c r="G669" i="1"/>
  <c r="G668" i="1" s="1"/>
  <c r="G667" i="1" s="1"/>
  <c r="G666" i="1" s="1"/>
  <c r="G290" i="1"/>
  <c r="G289" i="1" s="1"/>
  <c r="H534" i="1"/>
  <c r="H550" i="1"/>
  <c r="H549" i="1" s="1"/>
  <c r="F572" i="1"/>
  <c r="F381" i="1"/>
  <c r="F593" i="1"/>
  <c r="F595" i="1"/>
  <c r="F594" i="1" s="1"/>
  <c r="F11" i="1"/>
  <c r="F10" i="1" s="1"/>
  <c r="F9" i="1" s="1"/>
  <c r="F8" i="1" s="1"/>
  <c r="F7" i="1" s="1"/>
  <c r="G85" i="1"/>
  <c r="H413" i="1"/>
  <c r="H433" i="1"/>
  <c r="H432" i="1" s="1"/>
  <c r="H461" i="1"/>
  <c r="G469" i="1"/>
  <c r="G468" i="1" s="1"/>
  <c r="H656" i="1"/>
  <c r="H655" i="1" s="1"/>
  <c r="H654" i="1" s="1"/>
  <c r="H653" i="1" s="1"/>
  <c r="G148" i="1"/>
  <c r="G147" i="1" s="1"/>
  <c r="G146" i="1" s="1"/>
  <c r="G192" i="1"/>
  <c r="G191" i="1" s="1"/>
  <c r="G190" i="1" s="1"/>
  <c r="G189" i="1" s="1"/>
  <c r="G248" i="1"/>
  <c r="G247" i="1" s="1"/>
  <c r="F273" i="1"/>
  <c r="F272" i="1" s="1"/>
  <c r="H290" i="1"/>
  <c r="H289" i="1" s="1"/>
  <c r="G296" i="1"/>
  <c r="G319" i="1"/>
  <c r="G318" i="1" s="1"/>
  <c r="G387" i="1"/>
  <c r="G386" i="1" s="1"/>
  <c r="F401" i="1"/>
  <c r="F400" i="1" s="1"/>
  <c r="F399" i="1" s="1"/>
  <c r="F413" i="1"/>
  <c r="F409" i="1" s="1"/>
  <c r="F512" i="1"/>
  <c r="F511" i="1" s="1"/>
  <c r="F506" i="1" s="1"/>
  <c r="F500" i="1" s="1"/>
  <c r="F540" i="1"/>
  <c r="G572" i="1"/>
  <c r="G571" i="1" s="1"/>
  <c r="G565" i="1" s="1"/>
  <c r="F85" i="1"/>
  <c r="H95" i="1"/>
  <c r="H91" i="1" s="1"/>
  <c r="H90" i="1" s="1"/>
  <c r="H221" i="1"/>
  <c r="H220" i="1" s="1"/>
  <c r="G238" i="1"/>
  <c r="G237" i="1" s="1"/>
  <c r="G236" i="1" s="1"/>
  <c r="G273" i="1"/>
  <c r="G272" i="1" s="1"/>
  <c r="F290" i="1"/>
  <c r="F289" i="1" s="1"/>
  <c r="H296" i="1"/>
  <c r="H319" i="1"/>
  <c r="H318" i="1" s="1"/>
  <c r="H324" i="1"/>
  <c r="G351" i="1"/>
  <c r="G350" i="1" s="1"/>
  <c r="F367" i="1"/>
  <c r="F366" i="1" s="1"/>
  <c r="H387" i="1"/>
  <c r="H386" i="1" s="1"/>
  <c r="G401" i="1"/>
  <c r="G400" i="1" s="1"/>
  <c r="G399" i="1" s="1"/>
  <c r="G512" i="1"/>
  <c r="G511" i="1" s="1"/>
  <c r="G506" i="1" s="1"/>
  <c r="G500" i="1" s="1"/>
  <c r="G521" i="1"/>
  <c r="G520" i="1" s="1"/>
  <c r="F534" i="1"/>
  <c r="G540" i="1"/>
  <c r="H565" i="1"/>
  <c r="F577" i="1"/>
  <c r="F675" i="1"/>
  <c r="F674" i="1" s="1"/>
  <c r="F676" i="1"/>
  <c r="F26" i="1"/>
  <c r="F25" i="1" s="1"/>
  <c r="F18" i="1" s="1"/>
  <c r="G675" i="1"/>
  <c r="G674" i="1" s="1"/>
  <c r="G676" i="1"/>
  <c r="H209" i="1"/>
  <c r="H208" i="1" s="1"/>
  <c r="H351" i="1"/>
  <c r="H350" i="1" s="1"/>
  <c r="H420" i="1"/>
  <c r="G439" i="1"/>
  <c r="G438" i="1" s="1"/>
  <c r="F626" i="1"/>
  <c r="F625" i="1" s="1"/>
  <c r="F600" i="1" s="1"/>
  <c r="F592" i="1" s="1"/>
  <c r="F221" i="1"/>
  <c r="F220" i="1" s="1"/>
  <c r="F387" i="1"/>
  <c r="F386" i="1" s="1"/>
  <c r="G461" i="1"/>
  <c r="G625" i="1"/>
  <c r="G209" i="1"/>
  <c r="G208" i="1" s="1"/>
  <c r="H70" i="1"/>
  <c r="H69" i="1" s="1"/>
  <c r="H68" i="1" s="1"/>
  <c r="H67" i="1" s="1"/>
  <c r="H59" i="1" s="1"/>
  <c r="H148" i="1"/>
  <c r="H147" i="1" s="1"/>
  <c r="H146" i="1" s="1"/>
  <c r="G221" i="1"/>
  <c r="G220" i="1" s="1"/>
  <c r="G487" i="1"/>
  <c r="G486" i="1" s="1"/>
  <c r="G606" i="1"/>
  <c r="G605" i="1" s="1"/>
  <c r="G604" i="1" s="1"/>
  <c r="G28" i="1"/>
  <c r="G27" i="1" s="1"/>
  <c r="G26" i="1" s="1"/>
  <c r="G25" i="1" s="1"/>
  <c r="G18" i="1" s="1"/>
  <c r="F148" i="1"/>
  <c r="F147" i="1" s="1"/>
  <c r="F146" i="1" s="1"/>
  <c r="G433" i="1"/>
  <c r="G432" i="1" s="1"/>
  <c r="H487" i="1"/>
  <c r="H486" i="1" s="1"/>
  <c r="F554" i="1"/>
  <c r="F550" i="1" s="1"/>
  <c r="F549" i="1" s="1"/>
  <c r="G367" i="1"/>
  <c r="G366" i="1" s="1"/>
  <c r="H450" i="1"/>
  <c r="H469" i="1"/>
  <c r="H468" i="1" s="1"/>
  <c r="F420" i="1"/>
  <c r="F450" i="1"/>
  <c r="F301" i="1"/>
  <c r="F300" i="1" s="1"/>
  <c r="F296" i="1" s="1"/>
  <c r="G450" i="1"/>
  <c r="F95" i="1"/>
  <c r="F91" i="1" s="1"/>
  <c r="F90" i="1" s="1"/>
  <c r="G107" i="1"/>
  <c r="G106" i="1" s="1"/>
  <c r="F174" i="1"/>
  <c r="F173" i="1" s="1"/>
  <c r="F172" i="1" s="1"/>
  <c r="F171" i="1" s="1"/>
  <c r="F319" i="1"/>
  <c r="F318" i="1" s="1"/>
  <c r="H401" i="1"/>
  <c r="H400" i="1" s="1"/>
  <c r="H399" i="1" s="1"/>
  <c r="F487" i="1"/>
  <c r="F486" i="1" s="1"/>
  <c r="H675" i="1"/>
  <c r="H674" i="1" s="1"/>
  <c r="H676" i="1"/>
  <c r="F373" i="1"/>
  <c r="F372" i="1" s="1"/>
  <c r="G413" i="1"/>
  <c r="G409" i="1" s="1"/>
  <c r="H521" i="1"/>
  <c r="H520" i="1" s="1"/>
  <c r="H595" i="1"/>
  <c r="H594" i="1" s="1"/>
  <c r="H593" i="1"/>
  <c r="G656" i="1"/>
  <c r="G655" i="1" s="1"/>
  <c r="G654" i="1" s="1"/>
  <c r="G653" i="1" s="1"/>
  <c r="H107" i="1"/>
  <c r="H106" i="1" s="1"/>
  <c r="F192" i="1"/>
  <c r="F191" i="1" s="1"/>
  <c r="F190" i="1" s="1"/>
  <c r="F189" i="1" s="1"/>
  <c r="G253" i="1"/>
  <c r="F521" i="1"/>
  <c r="F520" i="1" s="1"/>
  <c r="H409" i="1"/>
  <c r="H28" i="1"/>
  <c r="H27" i="1" s="1"/>
  <c r="H26" i="1" s="1"/>
  <c r="H25" i="1" s="1"/>
  <c r="H18" i="1" s="1"/>
  <c r="F107" i="1"/>
  <c r="F106" i="1" s="1"/>
  <c r="F129" i="1"/>
  <c r="H174" i="1"/>
  <c r="H173" i="1" s="1"/>
  <c r="H172" i="1" s="1"/>
  <c r="H171" i="1" s="1"/>
  <c r="F253" i="1"/>
  <c r="F351" i="1"/>
  <c r="F350" i="1" s="1"/>
  <c r="H647" i="1"/>
  <c r="H646" i="1"/>
  <c r="H645" i="1" s="1"/>
  <c r="H644" i="1" s="1"/>
  <c r="G129" i="1"/>
  <c r="F324" i="1"/>
  <c r="H439" i="1"/>
  <c r="H438" i="1" s="1"/>
  <c r="H129" i="1"/>
  <c r="F278" i="1"/>
  <c r="G324" i="1"/>
  <c r="F439" i="1"/>
  <c r="F438" i="1" s="1"/>
  <c r="F431" i="1" s="1"/>
  <c r="F430" i="1" s="1"/>
  <c r="H246" i="1"/>
  <c r="H245" i="1" s="1"/>
  <c r="F209" i="1"/>
  <c r="F208" i="1" s="1"/>
  <c r="H278" i="1"/>
  <c r="H271" i="1" s="1"/>
  <c r="F461" i="1"/>
  <c r="F469" i="1"/>
  <c r="F468" i="1" s="1"/>
  <c r="F656" i="1"/>
  <c r="F655" i="1" s="1"/>
  <c r="F654" i="1" s="1"/>
  <c r="F653" i="1" s="1"/>
  <c r="G595" i="1"/>
  <c r="G594" i="1" s="1"/>
  <c r="G646" i="1"/>
  <c r="G645" i="1" s="1"/>
  <c r="G644" i="1" s="1"/>
  <c r="G278" i="1"/>
  <c r="G372" i="1" l="1"/>
  <c r="H207" i="1"/>
  <c r="H201" i="1" s="1"/>
  <c r="G533" i="1"/>
  <c r="G532" i="1" s="1"/>
  <c r="G531" i="1" s="1"/>
  <c r="F533" i="1"/>
  <c r="F532" i="1" s="1"/>
  <c r="F531" i="1" s="1"/>
  <c r="G548" i="1"/>
  <c r="G547" i="1" s="1"/>
  <c r="G546" i="1" s="1"/>
  <c r="H288" i="1"/>
  <c r="H265" i="1" s="1"/>
  <c r="H229" i="1" s="1"/>
  <c r="H600" i="1"/>
  <c r="H592" i="1" s="1"/>
  <c r="G408" i="1"/>
  <c r="G407" i="1" s="1"/>
  <c r="G406" i="1" s="1"/>
  <c r="H449" i="1"/>
  <c r="H448" i="1" s="1"/>
  <c r="H447" i="1" s="1"/>
  <c r="H533" i="1"/>
  <c r="H532" i="1" s="1"/>
  <c r="H531" i="1" s="1"/>
  <c r="G207" i="1"/>
  <c r="G201" i="1" s="1"/>
  <c r="G170" i="1" s="1"/>
  <c r="H332" i="1"/>
  <c r="H331" i="1" s="1"/>
  <c r="F317" i="1"/>
  <c r="F306" i="1" s="1"/>
  <c r="G600" i="1"/>
  <c r="G592" i="1" s="1"/>
  <c r="H317" i="1"/>
  <c r="H306" i="1" s="1"/>
  <c r="F652" i="1"/>
  <c r="G288" i="1"/>
  <c r="H372" i="1"/>
  <c r="H365" i="1" s="1"/>
  <c r="H364" i="1" s="1"/>
  <c r="G246" i="1"/>
  <c r="G245" i="1" s="1"/>
  <c r="H652" i="1"/>
  <c r="G271" i="1"/>
  <c r="H408" i="1"/>
  <c r="H407" i="1" s="1"/>
  <c r="H406" i="1" s="1"/>
  <c r="G317" i="1"/>
  <c r="G306" i="1" s="1"/>
  <c r="F571" i="1"/>
  <c r="F565" i="1" s="1"/>
  <c r="F548" i="1" s="1"/>
  <c r="F547" i="1" s="1"/>
  <c r="F546" i="1" s="1"/>
  <c r="H548" i="1"/>
  <c r="H547" i="1" s="1"/>
  <c r="H546" i="1" s="1"/>
  <c r="G365" i="1"/>
  <c r="G364" i="1" s="1"/>
  <c r="F207" i="1"/>
  <c r="F201" i="1" s="1"/>
  <c r="F170" i="1" s="1"/>
  <c r="F408" i="1"/>
  <c r="F407" i="1" s="1"/>
  <c r="F406" i="1" s="1"/>
  <c r="G652" i="1"/>
  <c r="G431" i="1"/>
  <c r="G430" i="1" s="1"/>
  <c r="F449" i="1"/>
  <c r="F448" i="1" s="1"/>
  <c r="F447" i="1" s="1"/>
  <c r="F429" i="1" s="1"/>
  <c r="F271" i="1"/>
  <c r="H431" i="1"/>
  <c r="H430" i="1" s="1"/>
  <c r="F246" i="1"/>
  <c r="F245" i="1" s="1"/>
  <c r="F288" i="1"/>
  <c r="H84" i="1"/>
  <c r="H6" i="1" s="1"/>
  <c r="G332" i="1"/>
  <c r="G331" i="1" s="1"/>
  <c r="F365" i="1"/>
  <c r="F364" i="1" s="1"/>
  <c r="F332" i="1"/>
  <c r="F331" i="1" s="1"/>
  <c r="G449" i="1"/>
  <c r="G448" i="1" s="1"/>
  <c r="G447" i="1" s="1"/>
  <c r="F84" i="1"/>
  <c r="F6" i="1" s="1"/>
  <c r="G84" i="1"/>
  <c r="H170" i="1"/>
  <c r="G265" i="1" l="1"/>
  <c r="G687" i="1" s="1"/>
  <c r="H305" i="1"/>
  <c r="H687" i="1"/>
  <c r="H429" i="1"/>
  <c r="G229" i="1"/>
  <c r="F265" i="1"/>
  <c r="F229" i="1" s="1"/>
  <c r="G429" i="1"/>
  <c r="G305" i="1"/>
  <c r="F305" i="1"/>
  <c r="G6" i="1"/>
  <c r="H689" i="1" l="1"/>
  <c r="F689" i="1"/>
  <c r="F687" i="1"/>
  <c r="G689" i="1"/>
</calcChain>
</file>

<file path=xl/sharedStrings.xml><?xml version="1.0" encoding="utf-8"?>
<sst xmlns="http://schemas.openxmlformats.org/spreadsheetml/2006/main" count="2899" uniqueCount="653">
  <si>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2025 год и плановый период 2026 и 2027 годов</t>
  </si>
  <si>
    <t>(тыс.руб.)</t>
  </si>
  <si>
    <t>Наименование</t>
  </si>
  <si>
    <t>РЗ</t>
  </si>
  <si>
    <t>ПР</t>
  </si>
  <si>
    <t>КЦСР</t>
  </si>
  <si>
    <t>КВР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</si>
  <si>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</si>
  <si>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</si>
  <si>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</si>
  <si>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</si>
  <si>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в Нюксенском муниципальном округе"</t>
  </si>
  <si>
    <t>04 0 00 00000</t>
  </si>
  <si>
    <t>Комплекс процессных мероприятий</t>
  </si>
  <si>
    <t>04 4 00 00000</t>
  </si>
  <si>
    <t>Комплекс процессных мероприятий "Обеспечение деятельности администрации округа"</t>
  </si>
  <si>
    <t>04 4 05 00000</t>
  </si>
  <si>
    <t>Глава муниципального округа</t>
  </si>
  <si>
    <t>04 4 05 00191</t>
  </si>
  <si>
    <t>Расходы на выплаты персоналу государственных (муниципальных) органов</t>
  </si>
  <si>
    <t>05 4 01 00191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</si>
  <si>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</si>
  <si>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</si>
  <si>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</si>
  <si>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представительных  органов муниципальной власти</t>
  </si>
  <si>
    <t>92 0 00 00000</t>
  </si>
  <si>
    <t>Расходы на обеспечение функций муниципальных органов</t>
  </si>
  <si>
    <t>92 0 00 00190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</si>
  <si>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</si>
  <si>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</si>
  <si>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</si>
  <si>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</si>
  <si>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Муниципальная программа "Социальная поддержка населения Нюксенского муниципального округа"</t>
  </si>
  <si>
    <t>01 0 00 00000</t>
  </si>
  <si>
    <t>01 4 00 00000</t>
  </si>
  <si>
    <t>Комплекс процессных мероприятий "Обеспечение организации и осуществления органами местного самоуправления деятельности по опеке и попечительству"</t>
  </si>
  <si>
    <t>01 4 02 00000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</si>
  <si>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</si>
  <si>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01 4 02 72310</t>
  </si>
  <si>
    <t>04 4 05 00190</t>
  </si>
  <si>
    <t>Уплата налогов, сборов и иных платежей</t>
  </si>
  <si>
    <t>850</t>
  </si>
  <si>
    <t>Реализация расходных обязательств в части обеспечения выплаты заработной платы работникам муниципальных учреждений</t>
  </si>
  <si>
    <t>04 4 05 70030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</si>
  <si>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</si>
  <si>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04 4 05 72190</t>
  </si>
  <si>
    <t>Комплекс процессных мероприятий "Повышение открытости и доступности информации о деятельности органов местного самоуправления, предоставляемых государственные и муниципальные услуги"</t>
  </si>
  <si>
    <t>04 4 06 00000</t>
  </si>
  <si>
    <t>Реализация мероприятий по развитию информационного общества</t>
  </si>
  <si>
    <t>04 4 06 20320</t>
  </si>
  <si>
    <t>Муниципальный проект, не связанный с национальным проектом</t>
  </si>
  <si>
    <t>04 2 00 00000</t>
  </si>
  <si>
    <t>Муниципальный проект "Развитие сетевой и серверной инфраструктуры, систем и средств конфедициального характера в администрации округа"</t>
  </si>
  <si>
    <t>04 2 01 00000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</si>
  <si>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</si>
  <si>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04 2 01 20330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</si>
  <si>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</si>
  <si>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07 0 00 00000</t>
  </si>
  <si>
    <t>07 4 00 00000</t>
  </si>
  <si>
    <t>Комплекс процессных мероприятий "Осуществление отдельных государственных полномочий в сфере административных отношений"</t>
  </si>
  <si>
    <t>07 4 01 00000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</si>
  <si>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</si>
  <si>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07 4 01 72310</t>
  </si>
  <si>
    <t>Муниципальная программа "Охрана окружающей среды и обеспечение экологической безопасности Нюксенского муниципального округа "</t>
  </si>
  <si>
    <t>08 0 00 00000</t>
  </si>
  <si>
    <t>08 4 00 00000</t>
  </si>
  <si>
    <t>Комплекс процессных мероприятий "Осуществление отдельных государственных полномочий в сфере охраны окружающей среды"</t>
  </si>
  <si>
    <t>08 4 01 00000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</si>
  <si>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</si>
  <si>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08 4 01 72310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</si>
  <si>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</si>
  <si>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</si>
  <si>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</si>
  <si>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</si>
  <si>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</si>
  <si>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</si>
  <si>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</si>
  <si>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</si>
  <si>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</si>
  <si>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</si>
  <si>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91 0 00 00000</t>
  </si>
  <si>
    <t>Обеспечение деятельности контрольно-счетной комиссии</t>
  </si>
  <si>
    <t>91 0 00 00190</t>
  </si>
  <si>
    <t>Муниципальная программа "Управление муниципальными финансами Нюксенского муниципального округа "</t>
  </si>
  <si>
    <t>11 0 00 00000</t>
  </si>
  <si>
    <t>11 4 00 00000</t>
  </si>
  <si>
    <t>Комплекс процессных мероприятий  "Обеспечение организационных условий для реализации муниципальной программы"</t>
  </si>
  <si>
    <t>11 4 02 00000</t>
  </si>
  <si>
    <t>11 4 02 00190</t>
  </si>
  <si>
    <t>11 4 02 20800</t>
  </si>
  <si>
    <t xml:space="preserve">Обеспечение проведения выборов и референдумов
</t>
  </si>
  <si>
    <t>07</t>
  </si>
  <si>
    <t>Проведение выборов и референдумов</t>
  </si>
  <si>
    <t>94 0 00 00000</t>
  </si>
  <si>
    <t>Проведение выборов депутатов представительного органа</t>
  </si>
  <si>
    <t>94 0 00 21080</t>
  </si>
  <si>
    <t>Специальные расходы</t>
  </si>
  <si>
    <t>880</t>
  </si>
  <si>
    <t>Резервные фонды</t>
  </si>
  <si>
    <t>11</t>
  </si>
  <si>
    <t>70 0 00 00000</t>
  </si>
  <si>
    <t>Резервные фонды местных администраций</t>
  </si>
  <si>
    <t>70 5 00 00000</t>
  </si>
  <si>
    <t>Резервные средства</t>
  </si>
  <si>
    <t>870</t>
  </si>
  <si>
    <t>Другие общегосударственные вопросы</t>
  </si>
  <si>
    <t>13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</si>
  <si>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</si>
  <si>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</si>
  <si>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округа</t>
  </si>
  <si>
    <t>97 0 00 21140</t>
  </si>
  <si>
    <t>Мероприятия, связанные с выполнением работ по мобилизационной подготовке</t>
  </si>
  <si>
    <t>97 0 00 21170</t>
  </si>
  <si>
    <t>01 2 00 00000</t>
  </si>
  <si>
    <t>Муниципальный проект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</si>
  <si>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</si>
  <si>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</si>
  <si>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</si>
  <si>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</si>
  <si>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</si>
  <si>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Муниципальный проект "Здоровье нюксян"</t>
  </si>
  <si>
    <t>01 2 02 00000</t>
  </si>
  <si>
    <t>Мероприятия, направленные на формирование здорового образа жизни населения</t>
  </si>
  <si>
    <t>01 2 02 29070</t>
  </si>
  <si>
    <t xml:space="preserve">Субсидии бюджетным учреждениям </t>
  </si>
  <si>
    <t>610</t>
  </si>
  <si>
    <t>Мероприятия, направленных на развитие кадрового потенциала в области здравоохранения</t>
  </si>
  <si>
    <t>01 2 02 29030</t>
  </si>
  <si>
    <t>Создание условия для развития кадрового потенциала</t>
  </si>
  <si>
    <t>Комплекс процессных мероприятий "Предоставление мер социальной поддержки отдельным категориям граждан и иных социальных выплат"</t>
  </si>
  <si>
    <t>01 4 01 00000</t>
  </si>
  <si>
    <t>Ежемесячное денежное вознаграждение лицам, удостоенным звания "Почетный гражданин Нюксенского муниципального округа"</t>
  </si>
  <si>
    <t>01 4 01 80020</t>
  </si>
  <si>
    <t xml:space="preserve">Публичные нормативные выплаты гражданам несоциального характера
</t>
  </si>
  <si>
    <t>330</t>
  </si>
  <si>
    <t>Муниципальная программа  "Совершенствование муниципального управления в Нюксенском муниципальном округе"</t>
  </si>
  <si>
    <t>Комплекс процессных мероприятий "Привлечение квалифицированных специалистов на территорию муниципального округа"</t>
  </si>
  <si>
    <t>04 4 01 00000</t>
  </si>
  <si>
    <t>Ежемесячная денежная выплата студентам, заключившим договора с администрацией округа</t>
  </si>
  <si>
    <t>04 4 01 80800</t>
  </si>
  <si>
    <t>Комплекс процессных мероприятий "Совершенствование и повышение профессионального уровня кадров"</t>
  </si>
  <si>
    <t>04 4 02 00000</t>
  </si>
  <si>
    <t xml:space="preserve">Мероприятия, направленные на повышение квалификационного уровня </t>
  </si>
  <si>
    <t>04 4 02 20800</t>
  </si>
  <si>
    <t>Комплекс процессных мероприятий "Реализация и развитие механизмов противодействия коррупции в сфере муниципальной службы"</t>
  </si>
  <si>
    <t>04 4 03 00000</t>
  </si>
  <si>
    <t>Организация правового просвещения и правового информирования граждан по вопросам противодействия коррупции</t>
  </si>
  <si>
    <t>04 4 03 20240</t>
  </si>
  <si>
    <t>Комплекс процессных мероприятий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</si>
  <si>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04 4 04 00000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</si>
  <si>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</si>
  <si>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04 4 04 72250</t>
  </si>
  <si>
    <t>Расходы на выплаты персоналу казенных учреждений</t>
  </si>
  <si>
    <t>110</t>
  </si>
  <si>
    <t>Членский взнос в ассоциацию муниципальных образований</t>
  </si>
  <si>
    <t>04 4 05 21010</t>
  </si>
  <si>
    <t>Членский взнос в ассоциацию "Здоровые города, районы и поселки"</t>
  </si>
  <si>
    <t>04 4 05 21020</t>
  </si>
  <si>
    <t>Комплекс процессных мероприятий «Содействие развитию связи и информационно – телекоммуникационной сферы»</t>
  </si>
  <si>
    <t>04 4 07 00000</t>
  </si>
  <si>
    <t>Создание условий для обеспечения населения услугами сети  «Интернет»</t>
  </si>
  <si>
    <t>04 4 07 20340</t>
  </si>
  <si>
    <t>Муниципальная программа "Развитие культуры, туризма, молодежной политики, физической культуры и спорта  Нюксенского муниципального округа"</t>
  </si>
  <si>
    <t>05 0 00 00000</t>
  </si>
  <si>
    <t>05 2 00 00000</t>
  </si>
  <si>
    <t>Муниципальный проект "Инвестиции в инфраструктуру туризма округа"</t>
  </si>
  <si>
    <t>05 2 02 00000</t>
  </si>
  <si>
    <t>Развитие туристического потенциала в Нюксенском муниципальном округе</t>
  </si>
  <si>
    <t>05 2 02 01590</t>
  </si>
  <si>
    <t>Субсидии бюджетным учреждениям</t>
  </si>
  <si>
    <t xml:space="preserve">Субсидии автономным учреждениям
</t>
  </si>
  <si>
    <t>620</t>
  </si>
  <si>
    <t>05 4 00 00000</t>
  </si>
  <si>
    <t>Комплекс процессных мероприятий "Обеспечение деятельности в сфере туризма"</t>
  </si>
  <si>
    <t>05 4 03 00000</t>
  </si>
  <si>
    <t>Комплекс процессных мероприятий "Обеспечение общественной безопасности на территории Нюксенского муниципального округа"</t>
  </si>
  <si>
    <t>07 4 02 00000</t>
  </si>
  <si>
    <t>Мероприятия, направленные на повышение качества и результативности противодействия преступности, охраны общественного порядка, обеспечения общественной безопасности, снижение количества зарегистрированных преступлений</t>
  </si>
  <si>
    <t>07 4 02 23090</t>
  </si>
  <si>
    <t>Членский взнос в НП "Сообщество финансистов России"</t>
  </si>
  <si>
    <t>11 4 02 20820</t>
  </si>
  <si>
    <t>Расходы на обеспечение деятельности (оказание услуг) муниципальных учреждений</t>
  </si>
  <si>
    <t>11 4 02 00590</t>
  </si>
  <si>
    <t>11 4 02 70030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</si>
  <si>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</si>
  <si>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12 0 00 00000</t>
  </si>
  <si>
    <t>12 4 00 00000</t>
  </si>
  <si>
    <t>Комплекс процессных мероприятий "Управление муниципальным имуществом и земельными ресурсами Нюксенского муниципального округа"</t>
  </si>
  <si>
    <t>12 4 02 00000</t>
  </si>
  <si>
    <t>Мероприятия в сфере управления и распоряжения имуществом, земельными ресурсами</t>
  </si>
  <si>
    <t>12 4 02 20500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</si>
  <si>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</si>
  <si>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</si>
  <si>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</si>
  <si>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04 4 05 51180</t>
  </si>
  <si>
    <t>НАЦИОНАЛЬНАЯ БЕЗОПАСНОСТЬ И ПРАВООХРАНИТЕЛЬНАЯ ДЕЯТЕЛЬНОСТЬ</t>
  </si>
  <si>
    <t>Гражданская оборона</t>
  </si>
  <si>
    <t>09</t>
  </si>
  <si>
    <t>Обеспечение прогнозных данных для принятия предупредительных мер</t>
  </si>
  <si>
    <t>07 4 02 23040</t>
  </si>
  <si>
    <t>Обеспечение безопасности граждан труднодоступных населенных пунктов</t>
  </si>
  <si>
    <t>07 4 02 23041</t>
  </si>
  <si>
    <t>Предупреждение возникновения и развития чрезвычайных ситуаций (происшествий) на территории Нюксенского муниципального округа, снижение размеров ущерба и потерь от чрезвычайных ситуаций</t>
  </si>
  <si>
    <t>07 4 02 23050</t>
  </si>
  <si>
    <t>Мероприятия по поддержанию в готовности и совершенствованию системы оповещения населения</t>
  </si>
  <si>
    <t>07 4 02 23120</t>
  </si>
  <si>
    <t>Комплекс процессных мероприятий "Обеспечение деятельности ЕДДС"</t>
  </si>
  <si>
    <t>07 4 04 00000</t>
  </si>
  <si>
    <t>Мероприятия по снижению  рисков и смягчению последствий чрезвычайных ситуаций природного и техногенного характера</t>
  </si>
  <si>
    <t>07 4 04 23040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</si>
  <si>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</si>
  <si>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</si>
  <si>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07 2 00 00000</t>
  </si>
  <si>
    <t>Муниципальный проект "Обеспечение пожарной безопасности на территории Нюксенского муниципального округа"</t>
  </si>
  <si>
    <t>07 2 02 00000</t>
  </si>
  <si>
    <t>Мероприятия, направленные на создание и (или) ремонт источников наружного водоснабжения для забора воды в целях пожаротушения</t>
  </si>
  <si>
    <t>07 2 02 S1810</t>
  </si>
  <si>
    <t>Мероприятия по обеспечению пожарной безопасности населения</t>
  </si>
  <si>
    <t>07 2 02 23110</t>
  </si>
  <si>
    <t>Комплекс процессных мероприятий "Обеспечение пожарной безопасности на территории Нюксенского муниципального округа"</t>
  </si>
  <si>
    <t>07 4 03 00000</t>
  </si>
  <si>
    <t>07 4 03 23110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</si>
  <si>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</si>
  <si>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</si>
  <si>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"Дорожная сеть и транспортное обслуживание"</t>
  </si>
  <si>
    <t>02 0 00 00000</t>
  </si>
  <si>
    <t>02 4 00 00000</t>
  </si>
  <si>
    <t>Комплекс процессных мероприятий  "Безопасность дорожного движения"</t>
  </si>
  <si>
    <t>02 4 04 00000</t>
  </si>
  <si>
    <t>Мероприятия, направленные на профилактику и предупреждение дорожно-транспортных происшествий с участием детей</t>
  </si>
  <si>
    <t>02 4 04 23080</t>
  </si>
  <si>
    <t>Муниципальный проект "Обеспечение общественной безопасности на территории Нюксенского муниципального округа"</t>
  </si>
  <si>
    <t>07 2 01 00000</t>
  </si>
  <si>
    <t>Внедрение и (или) эксплуатация аппаратно-программного комплекса "Безопасный город"</t>
  </si>
  <si>
    <t>07 2 01 S1060</t>
  </si>
  <si>
    <t>Мероприятия, направленные на антитеррористическую защищенность мест массового пребывания людей</t>
  </si>
  <si>
    <t>07 2 01 S1130</t>
  </si>
  <si>
    <t>Мероприятия по профилактики преступлений и иных правонарушений</t>
  </si>
  <si>
    <t>07 2 01 23060</t>
  </si>
  <si>
    <t>Иные выплаты населению</t>
  </si>
  <si>
    <t>360</t>
  </si>
  <si>
    <t>Муниципальный проект "Обеспечение сохранности материальных ценностей на территории Нюксенского муниципального округа"</t>
  </si>
  <si>
    <t>07 2 03 00000</t>
  </si>
  <si>
    <t>Мероприятия по разработке проектно-сметной документации</t>
  </si>
  <si>
    <t>07 2 03 23140</t>
  </si>
  <si>
    <t>Мероприятия, направленные на повышение эффективности системы профилактики безнадзорности, правонарушений и преступлений, совершенных несовершеннолетними, а также защиты их прав и снижение количества преступлений, совершенных несовершеннолетними</t>
  </si>
  <si>
    <t>07 4 02 23060</t>
  </si>
  <si>
    <t>Снижение числа дорожно-транспортных происшествий с пострадавшими, в том числе несовершеннолетними</t>
  </si>
  <si>
    <t>07 4 02 23080</t>
  </si>
  <si>
    <t>НАЦИОНАЛЬНАЯ ЭКОНОМИКА</t>
  </si>
  <si>
    <t>Общеэкономические вопросы</t>
  </si>
  <si>
    <t>Муниципальная программа "Развитие образования Нюксенского муниципального округа"</t>
  </si>
  <si>
    <t>06 0 00 00000</t>
  </si>
  <si>
    <t>06 4 00 00000</t>
  </si>
  <si>
    <t>Комплекс процессных мероприятий "Создание условий временного трудоустройства несовершеннолетних граждан"</t>
  </si>
  <si>
    <t>06 4 04 00000</t>
  </si>
  <si>
    <t xml:space="preserve">Мероприятия по содействию занятости населения </t>
  </si>
  <si>
    <t>06 4 04 24010</t>
  </si>
  <si>
    <t>Транспорт</t>
  </si>
  <si>
    <t>08</t>
  </si>
  <si>
    <t>Комплекс процессных мероприятий "Транспортное обслуживание населения"</t>
  </si>
  <si>
    <t>02 4 02 00000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</si>
  <si>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</si>
  <si>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02 4 02 S1370</t>
  </si>
  <si>
    <t>Комплекс процессных мероприятий "Обеспечение деятельности муниципального бюджетного учреждения "Нюксеницаавтотранс"</t>
  </si>
  <si>
    <t>02 4 03 00000</t>
  </si>
  <si>
    <t>02 4 03 41400</t>
  </si>
  <si>
    <t>Дорожное хозяйство (дорожные фонды)</t>
  </si>
  <si>
    <t>02 2 00 00000</t>
  </si>
  <si>
    <t>Муниципальный проект "Ремонт и капитальный ремонт автомобильных дорог и искусственных сооружений"</t>
  </si>
  <si>
    <t>02 2 01 00000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</si>
  <si>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</si>
  <si>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02 2 01 9Д150</t>
  </si>
  <si>
    <t>Выполнение работ по ремонту и капитальному ремонту автомобильных дорог и искусственных сооружений</t>
  </si>
  <si>
    <t>02 2 01 41300</t>
  </si>
  <si>
    <t>Комплекс процессных мероприятий "Содержание автомобильных дорог общего пользования местного значения"</t>
  </si>
  <si>
    <t>02 4 01 00000</t>
  </si>
  <si>
    <t>Выполнение работ по содержанию автомобильных дорог и  искусственных сооружений</t>
  </si>
  <si>
    <t>02 4 01 41200</t>
  </si>
  <si>
    <t>Мероприятия по профилактике дорожно-транспортных происшествий</t>
  </si>
  <si>
    <t>02 4 04 23070</t>
  </si>
  <si>
    <t>Другие вопросы в области национальной экономики</t>
  </si>
  <si>
    <t>12</t>
  </si>
  <si>
    <t>Муниципальная программа "Совершенствование муниципального управления в Нюксенском муниципальном районе на 2020-2024 годы"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</si>
  <si>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2020-2024 годы"</t>
  </si>
  <si>
    <t>Основное мероприятие "Поощрение муниципальной управленческой команды Нюксенского муниципального района"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</si>
  <si>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</si>
  <si>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</si>
  <si>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</si>
  <si>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Муниципальная программа "Экономическое развитие Нюксенского муниципального округа"</t>
  </si>
  <si>
    <t>10 0 00 00000</t>
  </si>
  <si>
    <t>Муниципальный проект</t>
  </si>
  <si>
    <t>10 3 00 00000</t>
  </si>
  <si>
    <t>Муниципальный проект "Инвестиции в развитие округа"</t>
  </si>
  <si>
    <t>10 3 01 00000</t>
  </si>
  <si>
    <t>Создание условий для развития торговли</t>
  </si>
  <si>
    <t>10 3 01 20440</t>
  </si>
  <si>
    <t>Расходы на повышение инвестиционной привлекательности муниципального округа</t>
  </si>
  <si>
    <t>10 3 01 20460</t>
  </si>
  <si>
    <t>10 4 00 00000</t>
  </si>
  <si>
    <t>Комплекс процессных мероприятий "Развитие малого и среднего предпринимательства в Нюксенском муниципальном округе"</t>
  </si>
  <si>
    <t>10 4 01 00000</t>
  </si>
  <si>
    <t>Расходы по популяризации роли предпринимательства</t>
  </si>
  <si>
    <t>10 4 01 20450</t>
  </si>
  <si>
    <t>10 4 01 20460</t>
  </si>
  <si>
    <t>Развитие мобильной торговли в малонаселенных и труднодоступных населенных пунктах</t>
  </si>
  <si>
    <t>10 4 01 S1250</t>
  </si>
  <si>
    <t>Доставка товаров в "социально значимые" магазины в малонаселенных и (или) труднодоступных населенных пунктах</t>
  </si>
  <si>
    <t>10 4 01 S1251</t>
  </si>
  <si>
    <t>12 2 00 00000</t>
  </si>
  <si>
    <t>Муниципальный проект "Организация проведения комплексных кадастровых работ"</t>
  </si>
  <si>
    <t>12 2 01 00000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</si>
  <si>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</si>
  <si>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01 S5110</t>
  </si>
  <si>
    <t>Мероприятия, направленные на проведение комплексных кадастровых работ, за счет средств бюджета муниципального округа</t>
  </si>
  <si>
    <t>12 2 01 20510</t>
  </si>
  <si>
    <t>Комплекс процессных мероприятий "Финансовая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гражданам, имеющим трех и более детей"</t>
  </si>
  <si>
    <t>12 4 01 00000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</si>
  <si>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</si>
  <si>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12 4 01 72300</t>
  </si>
  <si>
    <t>Комплекс процессных мероприятий "Обеспечение деятельности комитета земельно-имущественных отношений администрации Нюксенского муниципального округа"</t>
  </si>
  <si>
    <t>12 4 03 00000</t>
  </si>
  <si>
    <t>12 4 03 00190</t>
  </si>
  <si>
    <t>ЖИЛИЩНО-КОММУНАЛЬНОЕ ХОЗЯЙСТВО</t>
  </si>
  <si>
    <t>Жилищное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</si>
  <si>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</si>
  <si>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Подпрограмма "Энергосбережение и повышение энергетической эффективности на территории Нюксенского района"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</si>
  <si>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</si>
  <si>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</si>
  <si>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</si>
  <si>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</si>
  <si>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</si>
  <si>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</si>
  <si>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13 0 00 00000</t>
  </si>
  <si>
    <t>Муниципальный проект, связанный с национальным проектом</t>
  </si>
  <si>
    <t>13 1 00 00000</t>
  </si>
  <si>
    <t>Региональный проект "Жилье"</t>
  </si>
  <si>
    <t>13 1 И2 00000</t>
  </si>
  <si>
    <t>Мероприятия по переселению граждан из аварийного жилищного фонда счет средств, поступивших от публично-правовой компании "Фонд развития территорий"</t>
  </si>
  <si>
    <t>13 1 И2 67483</t>
  </si>
  <si>
    <t>Бюджетные инвестиции</t>
  </si>
  <si>
    <t>410</t>
  </si>
  <si>
    <t>Мероприятия по переселению граждан из аварийного жилищного фонда за счет средств областного бюджета</t>
  </si>
  <si>
    <t>13 1 И2 67484</t>
  </si>
  <si>
    <t>13 2 00 00000</t>
  </si>
  <si>
    <t>Муниципальный проект "Капитальный и текущий ремонт объектов жилищного фонда"</t>
  </si>
  <si>
    <t>13 2 01 00000</t>
  </si>
  <si>
    <t>Мероприятия, связанные с капитальным и текущим ремонтом объектов жилищного фонда</t>
  </si>
  <si>
    <t>13 2 01 20570</t>
  </si>
  <si>
    <t>Муниципальный проект "Демонтаж и снос аварийного и ветхого жилья на территории муниципального округа"</t>
  </si>
  <si>
    <t>13 2 02 00000</t>
  </si>
  <si>
    <t>Мероприятия по сносу пришедших в негодность расселенных ветхих и аварийных многоквартирных домов</t>
  </si>
  <si>
    <t>13 2 02 20571</t>
  </si>
  <si>
    <t>Коммунальное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</si>
  <si>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</si>
  <si>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09 0 00 00000</t>
  </si>
  <si>
    <t>09 2 00 00000</t>
  </si>
  <si>
    <t>Муниципальный проект "Строительство, реконструкция и модернизация объектов жилищно-коммунальной инфраструктуры муниципального округа"</t>
  </si>
  <si>
    <t>09 2 01 00000</t>
  </si>
  <si>
    <t>Мероприятия на подготовку объектов теплоэнергетики к работе в осенне-зимний период</t>
  </si>
  <si>
    <t>09 2 01 9Т100</t>
  </si>
  <si>
    <t>Мероприятия, направленные на строительство, реконструкцию и капитальный ремонт централизованных систем водоснабжения и водоотведения</t>
  </si>
  <si>
    <t>09 2 01 S3040</t>
  </si>
  <si>
    <t>Муниципальные проект "Подготовка объектов теплоэнергетики к работе в осенне-зимний период"</t>
  </si>
  <si>
    <t>09 2 02 00000</t>
  </si>
  <si>
    <t>09 2 02 20560</t>
  </si>
  <si>
    <t>Муниципальный проект "Капитальный ремонт и ремонт централизованных систем водоснабжения и водоотведения"</t>
  </si>
  <si>
    <t>09 2 03 00000</t>
  </si>
  <si>
    <t>09 2 03 20560</t>
  </si>
  <si>
    <t>Муниципальный проект "Поддержка коммунального хозяйства"</t>
  </si>
  <si>
    <t>09 2 04 00000</t>
  </si>
  <si>
    <t>Мероприятия, связанные с поддержкой муниципальных предприятий в области ЖКХ</t>
  </si>
  <si>
    <t>09 2 04 21190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</si>
  <si>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</si>
  <si>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</si>
  <si>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09 4 00 00000</t>
  </si>
  <si>
    <t>Комплекс процессных мероприятий "Энергосбережение и комплексная модернизация систем коммунальной инфраструктуры Нюксенского муниципального округа"</t>
  </si>
  <si>
    <t>09 4 01 00000</t>
  </si>
  <si>
    <t>Мероприятия в области энергосбережения, исполнение судебных решений</t>
  </si>
  <si>
    <t>09 4 01 20560</t>
  </si>
  <si>
    <t xml:space="preserve">Исполнение судебных актов Российской Федерации и мировых соглашений по возмещению причиненного вреда
</t>
  </si>
  <si>
    <t>830</t>
  </si>
  <si>
    <t>Производственный контроль качества питьевой воды из источников водоснабжения</t>
  </si>
  <si>
    <t>09 4 01 20610</t>
  </si>
  <si>
    <t>Мероприятия, направленные на производственный контроль качества сточных вод</t>
  </si>
  <si>
    <t>09 4 01 20620</t>
  </si>
  <si>
    <t>Благоустройство</t>
  </si>
  <si>
    <t>Муниципальная программа "Формирование современного облика территории Нюксенского муниципального округа"</t>
  </si>
  <si>
    <t>03 0 00 00000</t>
  </si>
  <si>
    <t>03 1 00 00000</t>
  </si>
  <si>
    <t>Региональный проект "Формирование комфортной городской среды"</t>
  </si>
  <si>
    <t>03 1 И4 00000</t>
  </si>
  <si>
    <t>Мероприятия, направленные на благоустройство общественных территорий</t>
  </si>
  <si>
    <t>03 1 И4 55552</t>
  </si>
  <si>
    <t>Мероприятия, направленные на благоустройство общественных пространств</t>
  </si>
  <si>
    <t>03 1 И4 71552</t>
  </si>
  <si>
    <t>03 2 00 00000</t>
  </si>
  <si>
    <t>Муниципальный проект "Формирование современной городской среды на территории Нюксенского муниципального округа"</t>
  </si>
  <si>
    <t>03 2 01 00000</t>
  </si>
  <si>
    <t>Мероприятия, направленные на благоустройство дворовых территорий многоквартирных домов</t>
  </si>
  <si>
    <t>03 2 01 S1551</t>
  </si>
  <si>
    <t>Обустройство детских и спортивных площадок</t>
  </si>
  <si>
    <t>03 2 01 S1553</t>
  </si>
  <si>
    <t>Муниципальный проект "Предотвращение распространения сорного растения борщевик Сосновского"</t>
  </si>
  <si>
    <t>03 2 02 00000</t>
  </si>
  <si>
    <t>Мероприятия по предотвращению распространения сорного растения борщевик Сосновского</t>
  </si>
  <si>
    <t>03 2 02 S1400</t>
  </si>
  <si>
    <t>Муниципальный проект "Инвестиции в создание благоустройства общественных территорий округа"</t>
  </si>
  <si>
    <t>03 2 03 00000</t>
  </si>
  <si>
    <t>Обустройство общественных территорий</t>
  </si>
  <si>
    <t>03 2 03 23210</t>
  </si>
  <si>
    <t>Мероприятия, направленные на обустройство систем уличного освещения</t>
  </si>
  <si>
    <t>03 2 03 S3350</t>
  </si>
  <si>
    <t>03 4 00 00000</t>
  </si>
  <si>
    <t>Комплекс процессных мероприятий "Организация уличного освещения"</t>
  </si>
  <si>
    <t>03 4 01 00000</t>
  </si>
  <si>
    <t>Мероприятия, направленные на организацию уличного освещения</t>
  </si>
  <si>
    <t>03 4 01 S1090</t>
  </si>
  <si>
    <t xml:space="preserve">Уплата налогов, сборов и иных платежей
</t>
  </si>
  <si>
    <t xml:space="preserve">Уличное освещение </t>
  </si>
  <si>
    <t>03 4 01 23400</t>
  </si>
  <si>
    <t>Комплекс процессных мероприятий "Проведение мероприятий в сфере благоустройства"</t>
  </si>
  <si>
    <t>03 4 02 00000</t>
  </si>
  <si>
    <t>Проведение мероприятий в сфере благоустройства</t>
  </si>
  <si>
    <t>03 4 02 23200</t>
  </si>
  <si>
    <t>Комплекс процессных мероприятий "Организация ритуальных услуг и содержание мест захоронения"</t>
  </si>
  <si>
    <t>03 4 03 00000</t>
  </si>
  <si>
    <t>Организация ритуальных услуг и содержание мест захоронения</t>
  </si>
  <si>
    <t>03 4 03 23300</t>
  </si>
  <si>
    <t>Комплекс процессных мероприятий "Обеспечение деятельности службы коммунального хозяйства и благоустройства"</t>
  </si>
  <si>
    <t>09 4 02 00000</t>
  </si>
  <si>
    <t>09 4 02 41500</t>
  </si>
  <si>
    <t>09 4 02 70030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</si>
  <si>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</si>
  <si>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</si>
  <si>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</si>
  <si>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08 2 00 00000</t>
  </si>
  <si>
    <t>Муниципальный проект "Обеспечение населения округа качественной питьевой водой"</t>
  </si>
  <si>
    <t>08 2 01 00000</t>
  </si>
  <si>
    <t>Охрана и рациональное использование водных ресурсов</t>
  </si>
  <si>
    <t>08 2 01 20110</t>
  </si>
  <si>
    <t>Муниципальный проект "Снижение негативного воздействия на окружающую среду отходов производства и потребления"</t>
  </si>
  <si>
    <t>08 2 02 00000</t>
  </si>
  <si>
    <t>Мероприятия, направленные на обустройство контейнерных площадок</t>
  </si>
  <si>
    <t>08 2 02 S1100</t>
  </si>
  <si>
    <t>Предотвращение загрязнения окружающей среды отходами производства и потребления</t>
  </si>
  <si>
    <t>08 2 02 20120</t>
  </si>
  <si>
    <t>Мероприятия, направленные на обустройство контейнерных площадок (дополнительные средства)</t>
  </si>
  <si>
    <t>08 2 02 20121</t>
  </si>
  <si>
    <t>Комплекс процессных мероприятий "Снижение негативного воздействия на окружающую среду отходов производства и потребления"</t>
  </si>
  <si>
    <t>08 4 02 00000</t>
  </si>
  <si>
    <t>Содержание мест для накопления (сбора) твердых коммунальных отходов</t>
  </si>
  <si>
    <t>08 4 02 20111</t>
  </si>
  <si>
    <t>Комплекс процессных мероприятий "Экологическое образование, просвещение и информирование населения"</t>
  </si>
  <si>
    <t>08 4 03 00000</t>
  </si>
  <si>
    <t>Природоохранные мероприятия</t>
  </si>
  <si>
    <t>08 4 03 20112</t>
  </si>
  <si>
    <t>Субсидии автономным учреждениям</t>
  </si>
  <si>
    <t>ОБРАЗОВАНИЕ</t>
  </si>
  <si>
    <t>Дошкольное образование</t>
  </si>
  <si>
    <t>06 2 00 00000</t>
  </si>
  <si>
    <t>Муниципальный проект "Развитие дошкольного, общего и дополнительного образования детей"</t>
  </si>
  <si>
    <t>06 2 01 00000</t>
  </si>
  <si>
    <t>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</si>
  <si>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06 2 01 S1180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</si>
  <si>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</si>
  <si>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 xml:space="preserve"> 06 2 01 S1490</t>
  </si>
  <si>
    <t>Комплекс процессных мероприятий "Развитие дошкольного, общего и дополнительного образования детей"</t>
  </si>
  <si>
    <t>06 4 01 00000</t>
  </si>
  <si>
    <t>Обеспечение дошкольного образования и общеобразовательного процесса в муниципальных образовательных организациях</t>
  </si>
  <si>
    <t>06 4 01 72010</t>
  </si>
  <si>
    <t>Дошкольные учреждения</t>
  </si>
  <si>
    <t>06 4 01 14590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</si>
  <si>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</si>
  <si>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</si>
  <si>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</si>
  <si>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Общее образование</t>
  </si>
  <si>
    <t>06 1 00 00000</t>
  </si>
  <si>
    <t>Муниципальный проект "Модернизация школьных систем образования", связанный с региональным проектом "Все лучшее детям"</t>
  </si>
  <si>
    <t>06 1 Ю4 00000</t>
  </si>
  <si>
    <t>Мероприятия по оснащению предметных кабинетов общеобразовательных организаций оборудованием, средствами обучения и воспитания</t>
  </si>
  <si>
    <t>06 1 Ю4 55590</t>
  </si>
  <si>
    <t>Мероприятия по модернизации школьных систем образования</t>
  </si>
  <si>
    <t>06 1 Ю4 57500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</si>
  <si>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</si>
  <si>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06 1 Ю4 57501</t>
  </si>
  <si>
    <t>Мероприятия по модернизации школьных систем образования (ремонты с однолетним циклом)</t>
  </si>
  <si>
    <t>06 1 Ю4 57502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</si>
  <si>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</si>
  <si>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>06 1 Ю4 А7501</t>
  </si>
  <si>
    <t>Муниципальный проект "Педагоги и наставники"</t>
  </si>
  <si>
    <t>06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</si>
  <si>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</si>
  <si>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06 1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</si>
  <si>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</si>
  <si>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 1 Ю6 51790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</si>
  <si>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</si>
  <si>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 1 Ю6 53030</t>
  </si>
  <si>
    <t>Мероприятия, направленные на организацию школьных музеев</t>
  </si>
  <si>
    <t>06 2 01 S1010</t>
  </si>
  <si>
    <t>Создание агроклассов и (или) лесных классов в общеобразовательных организациях области</t>
  </si>
  <si>
    <t>06 2 01 S1070</t>
  </si>
  <si>
    <t>Мероприятия, направленные на антитеррористическую защищенность образовательных организаций</t>
  </si>
  <si>
    <t>06 2 01 S1140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</si>
  <si>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</si>
  <si>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06 2 01 S1440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</si>
  <si>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</si>
  <si>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06 2 01 S1540</t>
  </si>
  <si>
    <t>Мероприятия, направленные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</si>
  <si>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06 2 01 S1940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</si>
  <si>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</si>
  <si>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2 01 L3040</t>
  </si>
  <si>
    <t xml:space="preserve">Школы - детские сады, школы начальные, неполные средние и средние </t>
  </si>
  <si>
    <t>06 4 01 13590</t>
  </si>
  <si>
    <t>06 4 01 70030</t>
  </si>
  <si>
    <t>Комплекс процессных мероприятий "Обеспечение предоставления мер социальной поддержки"</t>
  </si>
  <si>
    <t>06 4 02 00000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</si>
  <si>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</si>
  <si>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06 4 02 72020</t>
  </si>
  <si>
    <t>Комплекс процессных мероприятий "Обеспечение создания условий для проявления и развития способностей обучающихся и самореализации"</t>
  </si>
  <si>
    <t>06 4 03 00000</t>
  </si>
  <si>
    <t>Развитие системы поддержки талантливых детей в образовательных учреждениях</t>
  </si>
  <si>
    <t>06 4 03 16600</t>
  </si>
  <si>
    <t>Дополнительное образование детей</t>
  </si>
  <si>
    <t>Комплекс процессных мероприятий "Обеспечение деятельности учреждений в сфере культуры"</t>
  </si>
  <si>
    <t>05 4 02 15590</t>
  </si>
  <si>
    <t>Муниципальный проект ""Развитие спорта высших достижений, системы подготовки спортивного резерва и массового спорта"</t>
  </si>
  <si>
    <t>06 2 02 00000</t>
  </si>
  <si>
    <t>Мероприятия по подготовке спортивного резерва для спортивных сборных команд Вологодской области</t>
  </si>
  <si>
    <t>06 2 02 S1730</t>
  </si>
  <si>
    <t>06 4 01 15590</t>
  </si>
  <si>
    <t>Обеспечение персонифицированного финансирования дополнительного образования детей</t>
  </si>
  <si>
    <t>06 4 01 16590</t>
  </si>
  <si>
    <t>Молодёжная политика</t>
  </si>
  <si>
    <t>05 2 03 00000</t>
  </si>
  <si>
    <t>Муниципальный проект "Инвестиции в инфраструктуру молодежи"</t>
  </si>
  <si>
    <t>05 2 03 20590</t>
  </si>
  <si>
    <t xml:space="preserve">Мероприятия, направленные на обеспечение развития и укрепление материально-технической базы </t>
  </si>
  <si>
    <t>Комплекс процессных мероприятий "Обеспечение деятельности в сфере молодежной политики"</t>
  </si>
  <si>
    <t>05 4 04 00000</t>
  </si>
  <si>
    <t>Проведение мероприятий для детей и молодежи</t>
  </si>
  <si>
    <t>05 4 04 20590</t>
  </si>
  <si>
    <t>Другие вопросы в области образования</t>
  </si>
  <si>
    <t>Организация содержательного досуга детей в каникулярное время</t>
  </si>
  <si>
    <t>06 4 03 16700</t>
  </si>
  <si>
    <t>Комплекс процессных мероприятий "Обеспечение создания условий для реализации программы"</t>
  </si>
  <si>
    <t>06 4 05 00000</t>
  </si>
  <si>
    <t xml:space="preserve">Расходы на обеспечение функций муниципальных органов </t>
  </si>
  <si>
    <t>06 4 05 00190</t>
  </si>
  <si>
    <t>Организация методического сопровождения повышения профессиональной компетентности педагогических и руководящих кадров</t>
  </si>
  <si>
    <t>06 4 05 16800</t>
  </si>
  <si>
    <t xml:space="preserve">КУЛЬТУРА, КИНЕМАТОГРАФИЯ </t>
  </si>
  <si>
    <t>Культура</t>
  </si>
  <si>
    <t>Муниципальный проект "Инвестиции в инфраструктуру учреждений культуры муниципального округа"</t>
  </si>
  <si>
    <t>05 2 01 00000</t>
  </si>
  <si>
    <t>Мероприятия, направленные на антитеррористическую защищенность объектов культуры</t>
  </si>
  <si>
    <t>05 2 01 S1570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</si>
  <si>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</si>
  <si>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05 2 01 S1960</t>
  </si>
  <si>
    <t>Обеспечение реализации мероприятий по укреплению материально-технической базы государственных учреждений отрасли культуры</t>
  </si>
  <si>
    <t>05 2 01 01590</t>
  </si>
  <si>
    <t>Муниципальный проект "Безопасный труд"</t>
  </si>
  <si>
    <t>05 2 06 00000</t>
  </si>
  <si>
    <t>Иные межбюджетные трансферты по стимулированию создания рабочих мест для инвалидов</t>
  </si>
  <si>
    <t>05 2 06 74070</t>
  </si>
  <si>
    <t>Комплекс процессных мероприятий "Организация и проведение культурных проектов, мероприятий, посвященных праздничным и памятным датам"</t>
  </si>
  <si>
    <t>05 4 01 00000</t>
  </si>
  <si>
    <t>Мероприятия в сфере культуры</t>
  </si>
  <si>
    <t>05 4 01 28010</t>
  </si>
  <si>
    <t>05 4 02 01590</t>
  </si>
  <si>
    <t>05 4 02 70030</t>
  </si>
  <si>
    <t>Другие вопросы в области культуры, кинематографии</t>
  </si>
  <si>
    <t>Строительство культурно-досугового центра в с.Нюксеница</t>
  </si>
  <si>
    <t>05 2 01 S3280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</si>
  <si>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</si>
  <si>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</si>
  <si>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</si>
  <si>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</si>
  <si>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</si>
  <si>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Пенсионное обеспечение</t>
  </si>
  <si>
    <t xml:space="preserve">Доплаты к пенсиям </t>
  </si>
  <si>
    <t>01 4 01 80010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</si>
  <si>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</si>
  <si>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</si>
  <si>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</si>
  <si>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</si>
  <si>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78 0 00 51350</t>
  </si>
  <si>
    <t>Социальные выплаты гражданам, кроме публичных нормативных социальных выплат</t>
  </si>
  <si>
    <t>320</t>
  </si>
  <si>
    <t>Мероприятия в области социальной политики</t>
  </si>
  <si>
    <t>01 4 01 25140</t>
  </si>
  <si>
    <t>Реализация мер социальной поддержки граждан, призванных на военную службу по мобилизации, по контракту и членов их семей</t>
  </si>
  <si>
    <t>01 4 01 25160</t>
  </si>
  <si>
    <t>Публичные нормативные социальные выплаты гражданам</t>
  </si>
  <si>
    <t>Муниципальный проект, связанный с реализацией регионального проекта "Оказание поддержки отдельным категориям граждан в приобретении жилья"</t>
  </si>
  <si>
    <t>13 2 03 00000</t>
  </si>
  <si>
    <t>Мероприятия, направленные на обеспечение жильем молодых семей</t>
  </si>
  <si>
    <t>13 2 03 L4970</t>
  </si>
  <si>
    <t>Муниципальный проект "Оказание содействия в обеспечении сельского населения доступным и комфортным жильем"</t>
  </si>
  <si>
    <t>13 2 04 00000</t>
  </si>
  <si>
    <t>Улучшение жилищных условий граждан, проживающих на сельских территориях</t>
  </si>
  <si>
    <t>13 2 04 L5764</t>
  </si>
  <si>
    <t>13 4 00 00000</t>
  </si>
  <si>
    <t>Комплекс процессных мероприятий "Обеспечение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Федерации""</t>
  </si>
  <si>
    <t>13 4 01 00000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</si>
  <si>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</si>
  <si>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13 4 01 51760</t>
  </si>
  <si>
    <t>Охрана семьи и детства</t>
  </si>
  <si>
    <t>Муниципальная программа "Развитие образования Нюксенского муниципального округа на 2021-2025 годы"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</si>
  <si>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</si>
  <si>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</si>
  <si>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</si>
  <si>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</si>
  <si>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</si>
  <si>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</si>
  <si>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>Другие вопросы в области социальной политики</t>
  </si>
  <si>
    <t>Муниципальная программа "Социальная поддержка населения  Нюксенского муниципального округа"</t>
  </si>
  <si>
    <t>ФИЗИЧЕСКАЯ КУЛЬТУРА И СПОРТ</t>
  </si>
  <si>
    <t xml:space="preserve">Физическая культура </t>
  </si>
  <si>
    <t>Комплекс процессных мероприятий " Обеспечение деятельности в сфере физической культуры и спорта"</t>
  </si>
  <si>
    <t>05 4 05 00000</t>
  </si>
  <si>
    <t>Расходы на обеспечение деятельности (оказание услуг) государственных учреждений</t>
  </si>
  <si>
    <t>05 4 05 01590</t>
  </si>
  <si>
    <t>05 4 05 70030</t>
  </si>
  <si>
    <t>Мероприятия в области физической культуры и спорта</t>
  </si>
  <si>
    <t>05 4 05 20600</t>
  </si>
  <si>
    <t>Массовый спорт</t>
  </si>
  <si>
    <t>Муниципальный проект "Развитие спорта на территории Нюксенского муниципального округа"</t>
  </si>
  <si>
    <t>05 2 05 00000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</si>
  <si>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</si>
  <si>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05 2 05 S1610</t>
  </si>
  <si>
    <t>Мероприятия, направленные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</si>
  <si>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05 2 05 S1760</t>
  </si>
  <si>
    <t>Другие вопросы в области физической культуры и спорта</t>
  </si>
  <si>
    <t>Муниципальный проект "Инвестиции в инфраструктуру физической культуры и спорта"</t>
  </si>
  <si>
    <t>05 2 04 00000</t>
  </si>
  <si>
    <t>Мероприятия, направленные на укрепление материально-технической базы муниципальных физкультурно-спортивных организаций</t>
  </si>
  <si>
    <t>05 2 04 S1040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</si>
  <si>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</si>
  <si>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</si>
  <si>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 "Управление муниципальным долгом и муниципальными финансовыми активами Нюксенского муниципального округа"</t>
  </si>
  <si>
    <t>11 4 01 00000</t>
  </si>
  <si>
    <t>Процентные платежи по долговым обязательствам муниципального округа</t>
  </si>
  <si>
    <t>11 4 01 20900</t>
  </si>
  <si>
    <t>Обслуживание муниципального долга</t>
  </si>
  <si>
    <t>730</t>
  </si>
  <si>
    <t>Итого расходов</t>
  </si>
  <si>
    <t>Условно утверждаемые расходы</t>
  </si>
  <si>
    <t>Всего расходов</t>
  </si>
  <si>
    <t>05 2 01 01591</t>
  </si>
  <si>
    <t>05 4 03 01592</t>
  </si>
  <si>
    <t>Учреждения по внешкольной работе с детьми</t>
  </si>
  <si>
    <t xml:space="preserve">Приложение 3  
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</si>
</sst>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_р_._-;\-* #,##0.00_р_._-;_-* &quot;-&quot;??_р_.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166" fontId="1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justify" vertical="center" wrapText="1" shrinkToFit="1"/>
    </xf>
    <xf numFmtId="49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</xf>
    <xf numFmtId="0" fontId="5" fillId="0" borderId="0" xfId="0" applyFont="1" applyFill="1"/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vertical="center" wrapText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 applyProtection="1">
      <alignment horizontal="left" vertical="center" wrapText="1" shrinkToFi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 shrinkToFit="1"/>
    </xf>
    <xf numFmtId="0" fontId="2" fillId="0" borderId="2" xfId="0" applyNumberFormat="1" applyFont="1" applyFill="1" applyBorder="1" applyAlignment="1" applyProtection="1">
      <alignment horizontal="justify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vertical="center" wrapText="1" shrinkToFit="1"/>
    </xf>
    <xf numFmtId="49" fontId="2" fillId="0" borderId="2" xfId="0" applyNumberFormat="1" applyFont="1" applyFill="1" applyBorder="1" applyAlignment="1" applyProtection="1">
      <alignment horizontal="left" vertical="center" wrapText="1" shrinkToFit="1"/>
    </xf>
    <xf numFmtId="49" fontId="2" fillId="0" borderId="2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vertical="center"/>
    </xf>
    <xf numFmtId="164" fontId="2" fillId="0" borderId="5" xfId="0" applyNumberFormat="1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3" fillId="0" borderId="5" xfId="1" applyNumberFormat="1" applyFont="1" applyFill="1" applyBorder="1" applyAlignment="1" applyProtection="1">
      <alignment horizontal="left" vertical="center" wrapText="1" shrinkToFit="1"/>
      <protection hidden="1"/>
    </xf>
    <xf numFmtId="0" fontId="1" fillId="0" borderId="0" xfId="0" applyFont="1" applyFill="1"/>
    <xf numFmtId="0" fontId="0" fillId="0" borderId="0" xfId="0" applyFont="1" applyFill="1" applyAlignment="1">
      <alignment wrapText="1"/>
    </xf>
    <xf numFmtId="0" fontId="8" fillId="0" borderId="0" xfId="0" applyFont="1" applyFill="1"/>
    <xf numFmtId="0" fontId="2" fillId="0" borderId="2" xfId="0" applyNumberFormat="1" applyFont="1" applyFill="1" applyBorder="1" applyAlignment="1">
      <alignment horizontal="left" vertical="center" wrapText="1" shrinkToFit="1"/>
    </xf>
    <xf numFmtId="0" fontId="9" fillId="0" borderId="0" xfId="0" applyFont="1" applyFill="1"/>
    <xf numFmtId="49" fontId="2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top" wrapText="1" shrinkToFit="1"/>
    </xf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 applyProtection="1">
      <alignment horizontal="left" wrapText="1"/>
      <protection hidden="1"/>
    </xf>
    <xf numFmtId="0" fontId="9" fillId="0" borderId="0" xfId="0" applyFont="1" applyFill="1" applyAlignment="1"/>
    <xf numFmtId="0" fontId="2" fillId="0" borderId="1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9" fillId="0" borderId="0" xfId="0" applyNumberFormat="1" applyFont="1" applyFill="1"/>
    <xf numFmtId="164" fontId="0" fillId="0" borderId="0" xfId="0" applyNumberFormat="1" applyFont="1" applyFill="1"/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9" fontId="7" fillId="0" borderId="2" xfId="0" applyNumberFormat="1" applyFont="1" applyFill="1" applyBorder="1" applyAlignment="1" applyProtection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 shrinkToFit="1"/>
    </xf>
    <xf numFmtId="0" fontId="0" fillId="3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4" borderId="0" xfId="0" applyFont="1" applyFill="1"/>
    <xf numFmtId="0" fontId="9" fillId="4" borderId="0" xfId="0" applyFont="1" applyFill="1"/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wrapText="1"/>
    </xf>
    <xf numFmtId="164" fontId="2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center" wrapText="1"/>
    </xf>
    <xf numFmtId="164" fontId="2" fillId="0" borderId="6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 shrinkToFit="1"/>
    </xf>
    <xf numFmtId="49" fontId="10" fillId="0" borderId="2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/>
    <xf numFmtId="0" fontId="0" fillId="0" borderId="0" xfId="0" applyFont="1" applyFill="1" applyBorder="1" applyAlignment="1"/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wrapText="1"/>
    </xf>
    <xf numFmtId="49" fontId="3" fillId="0" borderId="2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justify" wrapText="1"/>
    </xf>
    <xf numFmtId="164" fontId="2" fillId="3" borderId="2" xfId="0" applyNumberFormat="1" applyFont="1" applyFill="1" applyBorder="1" applyAlignment="1"/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justify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distributed" shrinkToFit="1"/>
    </xf>
    <xf numFmtId="0" fontId="2" fillId="0" borderId="0" xfId="0" applyFont="1" applyFill="1" applyBorder="1" applyAlignment="1">
      <alignment horizontal="left" vertical="center" shrinkToFit="1"/>
    </xf>
    <xf numFmtId="164" fontId="2" fillId="0" borderId="4" xfId="0" applyNumberFormat="1" applyFont="1" applyFill="1" applyBorder="1" applyAlignment="1"/>
    <xf numFmtId="0" fontId="2" fillId="0" borderId="0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shrinkToFit="1"/>
    </xf>
    <xf numFmtId="0" fontId="0" fillId="0" borderId="0" xfId="0" applyFont="1" applyBorder="1" applyAlignment="1"/>
    <xf numFmtId="0" fontId="3" fillId="0" borderId="1" xfId="0" applyFont="1" applyFill="1" applyBorder="1" applyAlignment="1">
      <alignment horizontal="left" vertical="center" wrapText="1" shrinkToFi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2" xfId="0" applyNumberFormat="1" applyFont="1" applyFill="1" applyBorder="1" applyAlignment="1" applyProtection="1">
      <alignment horizontal="left" vertical="center" wrapText="1" shrinkToFi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vertical="top" wrapText="1" shrinkToFit="1"/>
    </xf>
    <xf numFmtId="49" fontId="3" fillId="0" borderId="2" xfId="0" applyNumberFormat="1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2" fillId="0" borderId="5" xfId="1" applyNumberFormat="1" applyFont="1" applyFill="1" applyBorder="1" applyAlignment="1" applyProtection="1">
      <alignment horizontal="left" vertical="center" wrapText="1" shrinkToFit="1"/>
      <protection hidden="1"/>
    </xf>
    <xf numFmtId="164" fontId="2" fillId="0" borderId="2" xfId="0" applyNumberFormat="1" applyFont="1" applyFill="1" applyBorder="1" applyAlignment="1">
      <alignment horizontal="right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/>
    </xf>
    <xf numFmtId="0" fontId="2" fillId="0" borderId="0" xfId="0" applyFont="1" applyFill="1" applyAlignment="1">
      <alignment vertical="center" wrapText="1" shrinkToFit="1"/>
    </xf>
    <xf numFmtId="0" fontId="2" fillId="0" borderId="0" xfId="0" applyFont="1" applyFill="1" applyAlignment="1"/>
    <xf numFmtId="165" fontId="0" fillId="0" borderId="0" xfId="0" applyNumberFormat="1" applyFont="1" applyFill="1" applyAlignment="1"/>
    <xf numFmtId="49" fontId="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4" fontId="0" fillId="0" borderId="0" xfId="0" applyNumberFormat="1" applyFill="1"/>
    <xf numFmtId="166" fontId="0" fillId="0" borderId="0" xfId="2" applyFont="1" applyFill="1"/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165" fontId="5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9"/>
  <sheetViews>
    <sheetView tabSelected="1" view="pageBreakPreview" zoomScale="110" zoomScaleNormal="100" zoomScaleSheetLayoutView="110" workbookViewId="0">
      <selection activeCell="C632" sqref="C632"/>
    </sheetView>
  </sheetViews>
  <sheetFormatPr defaultRowHeight="12.75" x14ac:dyDescent="0.2"/>
  <cols>
    <col min="1" max="1" width="58.42578125" style="137" customWidth="1"/>
    <col min="2" max="2" width="7" style="138" customWidth="1"/>
    <col min="3" max="3" width="6.28515625" style="138" customWidth="1"/>
    <col min="4" max="4" width="14.140625" style="6" customWidth="1"/>
    <col min="5" max="5" width="7.28515625" style="6" customWidth="1"/>
    <col min="6" max="6" width="11.5703125" style="7" customWidth="1"/>
    <col min="7" max="8" width="13.42578125" style="7" customWidth="1"/>
    <col min="9" max="9" width="13.5703125" style="3" customWidth="1"/>
    <col min="10" max="11" width="9.140625" style="3"/>
    <col min="12" max="12" width="9.140625" style="4"/>
    <col min="13" max="13" width="43.140625" style="4" customWidth="1"/>
    <col min="14" max="14" width="13.5703125" style="4" bestFit="1" customWidth="1"/>
    <col min="15" max="16" width="12.5703125" style="4" bestFit="1" customWidth="1"/>
    <col min="17" max="256" width="9.140625" style="4"/>
    <col min="257" max="257" width="58.42578125" style="4" customWidth="1"/>
    <col min="258" max="258" width="7" style="4" customWidth="1"/>
    <col min="259" max="259" width="6.28515625" style="4" customWidth="1"/>
    <col min="260" max="260" width="14.140625" style="4" customWidth="1"/>
    <col min="261" max="261" width="7.28515625" style="4" customWidth="1"/>
    <col min="262" max="262" width="11.5703125" style="4" customWidth="1"/>
    <col min="263" max="264" width="13.42578125" style="4" customWidth="1"/>
    <col min="265" max="265" width="13.5703125" style="4" customWidth="1"/>
    <col min="266" max="268" width="9.140625" style="4"/>
    <col min="269" max="269" width="43.140625" style="4" customWidth="1"/>
    <col min="270" max="270" width="13.5703125" style="4" bestFit="1" customWidth="1"/>
    <col min="271" max="272" width="12.5703125" style="4" bestFit="1" customWidth="1"/>
    <col min="273" max="512" width="9.140625" style="4"/>
    <col min="513" max="513" width="58.42578125" style="4" customWidth="1"/>
    <col min="514" max="514" width="7" style="4" customWidth="1"/>
    <col min="515" max="515" width="6.28515625" style="4" customWidth="1"/>
    <col min="516" max="516" width="14.140625" style="4" customWidth="1"/>
    <col min="517" max="517" width="7.28515625" style="4" customWidth="1"/>
    <col min="518" max="518" width="11.5703125" style="4" customWidth="1"/>
    <col min="519" max="520" width="13.42578125" style="4" customWidth="1"/>
    <col min="521" max="521" width="13.5703125" style="4" customWidth="1"/>
    <col min="522" max="524" width="9.140625" style="4"/>
    <col min="525" max="525" width="43.140625" style="4" customWidth="1"/>
    <col min="526" max="526" width="13.5703125" style="4" bestFit="1" customWidth="1"/>
    <col min="527" max="528" width="12.5703125" style="4" bestFit="1" customWidth="1"/>
    <col min="529" max="768" width="9.140625" style="4"/>
    <col min="769" max="769" width="58.42578125" style="4" customWidth="1"/>
    <col min="770" max="770" width="7" style="4" customWidth="1"/>
    <col min="771" max="771" width="6.28515625" style="4" customWidth="1"/>
    <col min="772" max="772" width="14.140625" style="4" customWidth="1"/>
    <col min="773" max="773" width="7.28515625" style="4" customWidth="1"/>
    <col min="774" max="774" width="11.5703125" style="4" customWidth="1"/>
    <col min="775" max="776" width="13.42578125" style="4" customWidth="1"/>
    <col min="777" max="777" width="13.5703125" style="4" customWidth="1"/>
    <col min="778" max="780" width="9.140625" style="4"/>
    <col min="781" max="781" width="43.140625" style="4" customWidth="1"/>
    <col min="782" max="782" width="13.5703125" style="4" bestFit="1" customWidth="1"/>
    <col min="783" max="784" width="12.5703125" style="4" bestFit="1" customWidth="1"/>
    <col min="785" max="1024" width="9.140625" style="4"/>
    <col min="1025" max="1025" width="58.42578125" style="4" customWidth="1"/>
    <col min="1026" max="1026" width="7" style="4" customWidth="1"/>
    <col min="1027" max="1027" width="6.28515625" style="4" customWidth="1"/>
    <col min="1028" max="1028" width="14.140625" style="4" customWidth="1"/>
    <col min="1029" max="1029" width="7.28515625" style="4" customWidth="1"/>
    <col min="1030" max="1030" width="11.5703125" style="4" customWidth="1"/>
    <col min="1031" max="1032" width="13.42578125" style="4" customWidth="1"/>
    <col min="1033" max="1033" width="13.5703125" style="4" customWidth="1"/>
    <col min="1034" max="1036" width="9.140625" style="4"/>
    <col min="1037" max="1037" width="43.140625" style="4" customWidth="1"/>
    <col min="1038" max="1038" width="13.5703125" style="4" bestFit="1" customWidth="1"/>
    <col min="1039" max="1040" width="12.5703125" style="4" bestFit="1" customWidth="1"/>
    <col min="1041" max="1280" width="9.140625" style="4"/>
    <col min="1281" max="1281" width="58.42578125" style="4" customWidth="1"/>
    <col min="1282" max="1282" width="7" style="4" customWidth="1"/>
    <col min="1283" max="1283" width="6.28515625" style="4" customWidth="1"/>
    <col min="1284" max="1284" width="14.140625" style="4" customWidth="1"/>
    <col min="1285" max="1285" width="7.28515625" style="4" customWidth="1"/>
    <col min="1286" max="1286" width="11.5703125" style="4" customWidth="1"/>
    <col min="1287" max="1288" width="13.42578125" style="4" customWidth="1"/>
    <col min="1289" max="1289" width="13.5703125" style="4" customWidth="1"/>
    <col min="1290" max="1292" width="9.140625" style="4"/>
    <col min="1293" max="1293" width="43.140625" style="4" customWidth="1"/>
    <col min="1294" max="1294" width="13.5703125" style="4" bestFit="1" customWidth="1"/>
    <col min="1295" max="1296" width="12.5703125" style="4" bestFit="1" customWidth="1"/>
    <col min="1297" max="1536" width="9.140625" style="4"/>
    <col min="1537" max="1537" width="58.42578125" style="4" customWidth="1"/>
    <col min="1538" max="1538" width="7" style="4" customWidth="1"/>
    <col min="1539" max="1539" width="6.28515625" style="4" customWidth="1"/>
    <col min="1540" max="1540" width="14.140625" style="4" customWidth="1"/>
    <col min="1541" max="1541" width="7.28515625" style="4" customWidth="1"/>
    <col min="1542" max="1542" width="11.5703125" style="4" customWidth="1"/>
    <col min="1543" max="1544" width="13.42578125" style="4" customWidth="1"/>
    <col min="1545" max="1545" width="13.5703125" style="4" customWidth="1"/>
    <col min="1546" max="1548" width="9.140625" style="4"/>
    <col min="1549" max="1549" width="43.140625" style="4" customWidth="1"/>
    <col min="1550" max="1550" width="13.5703125" style="4" bestFit="1" customWidth="1"/>
    <col min="1551" max="1552" width="12.5703125" style="4" bestFit="1" customWidth="1"/>
    <col min="1553" max="1792" width="9.140625" style="4"/>
    <col min="1793" max="1793" width="58.42578125" style="4" customWidth="1"/>
    <col min="1794" max="1794" width="7" style="4" customWidth="1"/>
    <col min="1795" max="1795" width="6.28515625" style="4" customWidth="1"/>
    <col min="1796" max="1796" width="14.140625" style="4" customWidth="1"/>
    <col min="1797" max="1797" width="7.28515625" style="4" customWidth="1"/>
    <col min="1798" max="1798" width="11.5703125" style="4" customWidth="1"/>
    <col min="1799" max="1800" width="13.42578125" style="4" customWidth="1"/>
    <col min="1801" max="1801" width="13.5703125" style="4" customWidth="1"/>
    <col min="1802" max="1804" width="9.140625" style="4"/>
    <col min="1805" max="1805" width="43.140625" style="4" customWidth="1"/>
    <col min="1806" max="1806" width="13.5703125" style="4" bestFit="1" customWidth="1"/>
    <col min="1807" max="1808" width="12.5703125" style="4" bestFit="1" customWidth="1"/>
    <col min="1809" max="2048" width="9.140625" style="4"/>
    <col min="2049" max="2049" width="58.42578125" style="4" customWidth="1"/>
    <col min="2050" max="2050" width="7" style="4" customWidth="1"/>
    <col min="2051" max="2051" width="6.28515625" style="4" customWidth="1"/>
    <col min="2052" max="2052" width="14.140625" style="4" customWidth="1"/>
    <col min="2053" max="2053" width="7.28515625" style="4" customWidth="1"/>
    <col min="2054" max="2054" width="11.5703125" style="4" customWidth="1"/>
    <col min="2055" max="2056" width="13.42578125" style="4" customWidth="1"/>
    <col min="2057" max="2057" width="13.5703125" style="4" customWidth="1"/>
    <col min="2058" max="2060" width="9.140625" style="4"/>
    <col min="2061" max="2061" width="43.140625" style="4" customWidth="1"/>
    <col min="2062" max="2062" width="13.5703125" style="4" bestFit="1" customWidth="1"/>
    <col min="2063" max="2064" width="12.5703125" style="4" bestFit="1" customWidth="1"/>
    <col min="2065" max="2304" width="9.140625" style="4"/>
    <col min="2305" max="2305" width="58.42578125" style="4" customWidth="1"/>
    <col min="2306" max="2306" width="7" style="4" customWidth="1"/>
    <col min="2307" max="2307" width="6.28515625" style="4" customWidth="1"/>
    <col min="2308" max="2308" width="14.140625" style="4" customWidth="1"/>
    <col min="2309" max="2309" width="7.28515625" style="4" customWidth="1"/>
    <col min="2310" max="2310" width="11.5703125" style="4" customWidth="1"/>
    <col min="2311" max="2312" width="13.42578125" style="4" customWidth="1"/>
    <col min="2313" max="2313" width="13.5703125" style="4" customWidth="1"/>
    <col min="2314" max="2316" width="9.140625" style="4"/>
    <col min="2317" max="2317" width="43.140625" style="4" customWidth="1"/>
    <col min="2318" max="2318" width="13.5703125" style="4" bestFit="1" customWidth="1"/>
    <col min="2319" max="2320" width="12.5703125" style="4" bestFit="1" customWidth="1"/>
    <col min="2321" max="2560" width="9.140625" style="4"/>
    <col min="2561" max="2561" width="58.42578125" style="4" customWidth="1"/>
    <col min="2562" max="2562" width="7" style="4" customWidth="1"/>
    <col min="2563" max="2563" width="6.28515625" style="4" customWidth="1"/>
    <col min="2564" max="2564" width="14.140625" style="4" customWidth="1"/>
    <col min="2565" max="2565" width="7.28515625" style="4" customWidth="1"/>
    <col min="2566" max="2566" width="11.5703125" style="4" customWidth="1"/>
    <col min="2567" max="2568" width="13.42578125" style="4" customWidth="1"/>
    <col min="2569" max="2569" width="13.5703125" style="4" customWidth="1"/>
    <col min="2570" max="2572" width="9.140625" style="4"/>
    <col min="2573" max="2573" width="43.140625" style="4" customWidth="1"/>
    <col min="2574" max="2574" width="13.5703125" style="4" bestFit="1" customWidth="1"/>
    <col min="2575" max="2576" width="12.5703125" style="4" bestFit="1" customWidth="1"/>
    <col min="2577" max="2816" width="9.140625" style="4"/>
    <col min="2817" max="2817" width="58.42578125" style="4" customWidth="1"/>
    <col min="2818" max="2818" width="7" style="4" customWidth="1"/>
    <col min="2819" max="2819" width="6.28515625" style="4" customWidth="1"/>
    <col min="2820" max="2820" width="14.140625" style="4" customWidth="1"/>
    <col min="2821" max="2821" width="7.28515625" style="4" customWidth="1"/>
    <col min="2822" max="2822" width="11.5703125" style="4" customWidth="1"/>
    <col min="2823" max="2824" width="13.42578125" style="4" customWidth="1"/>
    <col min="2825" max="2825" width="13.5703125" style="4" customWidth="1"/>
    <col min="2826" max="2828" width="9.140625" style="4"/>
    <col min="2829" max="2829" width="43.140625" style="4" customWidth="1"/>
    <col min="2830" max="2830" width="13.5703125" style="4" bestFit="1" customWidth="1"/>
    <col min="2831" max="2832" width="12.5703125" style="4" bestFit="1" customWidth="1"/>
    <col min="2833" max="3072" width="9.140625" style="4"/>
    <col min="3073" max="3073" width="58.42578125" style="4" customWidth="1"/>
    <col min="3074" max="3074" width="7" style="4" customWidth="1"/>
    <col min="3075" max="3075" width="6.28515625" style="4" customWidth="1"/>
    <col min="3076" max="3076" width="14.140625" style="4" customWidth="1"/>
    <col min="3077" max="3077" width="7.28515625" style="4" customWidth="1"/>
    <col min="3078" max="3078" width="11.5703125" style="4" customWidth="1"/>
    <col min="3079" max="3080" width="13.42578125" style="4" customWidth="1"/>
    <col min="3081" max="3081" width="13.5703125" style="4" customWidth="1"/>
    <col min="3082" max="3084" width="9.140625" style="4"/>
    <col min="3085" max="3085" width="43.140625" style="4" customWidth="1"/>
    <col min="3086" max="3086" width="13.5703125" style="4" bestFit="1" customWidth="1"/>
    <col min="3087" max="3088" width="12.5703125" style="4" bestFit="1" customWidth="1"/>
    <col min="3089" max="3328" width="9.140625" style="4"/>
    <col min="3329" max="3329" width="58.42578125" style="4" customWidth="1"/>
    <col min="3330" max="3330" width="7" style="4" customWidth="1"/>
    <col min="3331" max="3331" width="6.28515625" style="4" customWidth="1"/>
    <col min="3332" max="3332" width="14.140625" style="4" customWidth="1"/>
    <col min="3333" max="3333" width="7.28515625" style="4" customWidth="1"/>
    <col min="3334" max="3334" width="11.5703125" style="4" customWidth="1"/>
    <col min="3335" max="3336" width="13.42578125" style="4" customWidth="1"/>
    <col min="3337" max="3337" width="13.5703125" style="4" customWidth="1"/>
    <col min="3338" max="3340" width="9.140625" style="4"/>
    <col min="3341" max="3341" width="43.140625" style="4" customWidth="1"/>
    <col min="3342" max="3342" width="13.5703125" style="4" bestFit="1" customWidth="1"/>
    <col min="3343" max="3344" width="12.5703125" style="4" bestFit="1" customWidth="1"/>
    <col min="3345" max="3584" width="9.140625" style="4"/>
    <col min="3585" max="3585" width="58.42578125" style="4" customWidth="1"/>
    <col min="3586" max="3586" width="7" style="4" customWidth="1"/>
    <col min="3587" max="3587" width="6.28515625" style="4" customWidth="1"/>
    <col min="3588" max="3588" width="14.140625" style="4" customWidth="1"/>
    <col min="3589" max="3589" width="7.28515625" style="4" customWidth="1"/>
    <col min="3590" max="3590" width="11.5703125" style="4" customWidth="1"/>
    <col min="3591" max="3592" width="13.42578125" style="4" customWidth="1"/>
    <col min="3593" max="3593" width="13.5703125" style="4" customWidth="1"/>
    <col min="3594" max="3596" width="9.140625" style="4"/>
    <col min="3597" max="3597" width="43.140625" style="4" customWidth="1"/>
    <col min="3598" max="3598" width="13.5703125" style="4" bestFit="1" customWidth="1"/>
    <col min="3599" max="3600" width="12.5703125" style="4" bestFit="1" customWidth="1"/>
    <col min="3601" max="3840" width="9.140625" style="4"/>
    <col min="3841" max="3841" width="58.42578125" style="4" customWidth="1"/>
    <col min="3842" max="3842" width="7" style="4" customWidth="1"/>
    <col min="3843" max="3843" width="6.28515625" style="4" customWidth="1"/>
    <col min="3844" max="3844" width="14.140625" style="4" customWidth="1"/>
    <col min="3845" max="3845" width="7.28515625" style="4" customWidth="1"/>
    <col min="3846" max="3846" width="11.5703125" style="4" customWidth="1"/>
    <col min="3847" max="3848" width="13.42578125" style="4" customWidth="1"/>
    <col min="3849" max="3849" width="13.5703125" style="4" customWidth="1"/>
    <col min="3850" max="3852" width="9.140625" style="4"/>
    <col min="3853" max="3853" width="43.140625" style="4" customWidth="1"/>
    <col min="3854" max="3854" width="13.5703125" style="4" bestFit="1" customWidth="1"/>
    <col min="3855" max="3856" width="12.5703125" style="4" bestFit="1" customWidth="1"/>
    <col min="3857" max="4096" width="9.140625" style="4"/>
    <col min="4097" max="4097" width="58.42578125" style="4" customWidth="1"/>
    <col min="4098" max="4098" width="7" style="4" customWidth="1"/>
    <col min="4099" max="4099" width="6.28515625" style="4" customWidth="1"/>
    <col min="4100" max="4100" width="14.140625" style="4" customWidth="1"/>
    <col min="4101" max="4101" width="7.28515625" style="4" customWidth="1"/>
    <col min="4102" max="4102" width="11.5703125" style="4" customWidth="1"/>
    <col min="4103" max="4104" width="13.42578125" style="4" customWidth="1"/>
    <col min="4105" max="4105" width="13.5703125" style="4" customWidth="1"/>
    <col min="4106" max="4108" width="9.140625" style="4"/>
    <col min="4109" max="4109" width="43.140625" style="4" customWidth="1"/>
    <col min="4110" max="4110" width="13.5703125" style="4" bestFit="1" customWidth="1"/>
    <col min="4111" max="4112" width="12.5703125" style="4" bestFit="1" customWidth="1"/>
    <col min="4113" max="4352" width="9.140625" style="4"/>
    <col min="4353" max="4353" width="58.42578125" style="4" customWidth="1"/>
    <col min="4354" max="4354" width="7" style="4" customWidth="1"/>
    <col min="4355" max="4355" width="6.28515625" style="4" customWidth="1"/>
    <col min="4356" max="4356" width="14.140625" style="4" customWidth="1"/>
    <col min="4357" max="4357" width="7.28515625" style="4" customWidth="1"/>
    <col min="4358" max="4358" width="11.5703125" style="4" customWidth="1"/>
    <col min="4359" max="4360" width="13.42578125" style="4" customWidth="1"/>
    <col min="4361" max="4361" width="13.5703125" style="4" customWidth="1"/>
    <col min="4362" max="4364" width="9.140625" style="4"/>
    <col min="4365" max="4365" width="43.140625" style="4" customWidth="1"/>
    <col min="4366" max="4366" width="13.5703125" style="4" bestFit="1" customWidth="1"/>
    <col min="4367" max="4368" width="12.5703125" style="4" bestFit="1" customWidth="1"/>
    <col min="4369" max="4608" width="9.140625" style="4"/>
    <col min="4609" max="4609" width="58.42578125" style="4" customWidth="1"/>
    <col min="4610" max="4610" width="7" style="4" customWidth="1"/>
    <col min="4611" max="4611" width="6.28515625" style="4" customWidth="1"/>
    <col min="4612" max="4612" width="14.140625" style="4" customWidth="1"/>
    <col min="4613" max="4613" width="7.28515625" style="4" customWidth="1"/>
    <col min="4614" max="4614" width="11.5703125" style="4" customWidth="1"/>
    <col min="4615" max="4616" width="13.42578125" style="4" customWidth="1"/>
    <col min="4617" max="4617" width="13.5703125" style="4" customWidth="1"/>
    <col min="4618" max="4620" width="9.140625" style="4"/>
    <col min="4621" max="4621" width="43.140625" style="4" customWidth="1"/>
    <col min="4622" max="4622" width="13.5703125" style="4" bestFit="1" customWidth="1"/>
    <col min="4623" max="4624" width="12.5703125" style="4" bestFit="1" customWidth="1"/>
    <col min="4625" max="4864" width="9.140625" style="4"/>
    <col min="4865" max="4865" width="58.42578125" style="4" customWidth="1"/>
    <col min="4866" max="4866" width="7" style="4" customWidth="1"/>
    <col min="4867" max="4867" width="6.28515625" style="4" customWidth="1"/>
    <col min="4868" max="4868" width="14.140625" style="4" customWidth="1"/>
    <col min="4869" max="4869" width="7.28515625" style="4" customWidth="1"/>
    <col min="4870" max="4870" width="11.5703125" style="4" customWidth="1"/>
    <col min="4871" max="4872" width="13.42578125" style="4" customWidth="1"/>
    <col min="4873" max="4873" width="13.5703125" style="4" customWidth="1"/>
    <col min="4874" max="4876" width="9.140625" style="4"/>
    <col min="4877" max="4877" width="43.140625" style="4" customWidth="1"/>
    <col min="4878" max="4878" width="13.5703125" style="4" bestFit="1" customWidth="1"/>
    <col min="4879" max="4880" width="12.5703125" style="4" bestFit="1" customWidth="1"/>
    <col min="4881" max="5120" width="9.140625" style="4"/>
    <col min="5121" max="5121" width="58.42578125" style="4" customWidth="1"/>
    <col min="5122" max="5122" width="7" style="4" customWidth="1"/>
    <col min="5123" max="5123" width="6.28515625" style="4" customWidth="1"/>
    <col min="5124" max="5124" width="14.140625" style="4" customWidth="1"/>
    <col min="5125" max="5125" width="7.28515625" style="4" customWidth="1"/>
    <col min="5126" max="5126" width="11.5703125" style="4" customWidth="1"/>
    <col min="5127" max="5128" width="13.42578125" style="4" customWidth="1"/>
    <col min="5129" max="5129" width="13.5703125" style="4" customWidth="1"/>
    <col min="5130" max="5132" width="9.140625" style="4"/>
    <col min="5133" max="5133" width="43.140625" style="4" customWidth="1"/>
    <col min="5134" max="5134" width="13.5703125" style="4" bestFit="1" customWidth="1"/>
    <col min="5135" max="5136" width="12.5703125" style="4" bestFit="1" customWidth="1"/>
    <col min="5137" max="5376" width="9.140625" style="4"/>
    <col min="5377" max="5377" width="58.42578125" style="4" customWidth="1"/>
    <col min="5378" max="5378" width="7" style="4" customWidth="1"/>
    <col min="5379" max="5379" width="6.28515625" style="4" customWidth="1"/>
    <col min="5380" max="5380" width="14.140625" style="4" customWidth="1"/>
    <col min="5381" max="5381" width="7.28515625" style="4" customWidth="1"/>
    <col min="5382" max="5382" width="11.5703125" style="4" customWidth="1"/>
    <col min="5383" max="5384" width="13.42578125" style="4" customWidth="1"/>
    <col min="5385" max="5385" width="13.5703125" style="4" customWidth="1"/>
    <col min="5386" max="5388" width="9.140625" style="4"/>
    <col min="5389" max="5389" width="43.140625" style="4" customWidth="1"/>
    <col min="5390" max="5390" width="13.5703125" style="4" bestFit="1" customWidth="1"/>
    <col min="5391" max="5392" width="12.5703125" style="4" bestFit="1" customWidth="1"/>
    <col min="5393" max="5632" width="9.140625" style="4"/>
    <col min="5633" max="5633" width="58.42578125" style="4" customWidth="1"/>
    <col min="5634" max="5634" width="7" style="4" customWidth="1"/>
    <col min="5635" max="5635" width="6.28515625" style="4" customWidth="1"/>
    <col min="5636" max="5636" width="14.140625" style="4" customWidth="1"/>
    <col min="5637" max="5637" width="7.28515625" style="4" customWidth="1"/>
    <col min="5638" max="5638" width="11.5703125" style="4" customWidth="1"/>
    <col min="5639" max="5640" width="13.42578125" style="4" customWidth="1"/>
    <col min="5641" max="5641" width="13.5703125" style="4" customWidth="1"/>
    <col min="5642" max="5644" width="9.140625" style="4"/>
    <col min="5645" max="5645" width="43.140625" style="4" customWidth="1"/>
    <col min="5646" max="5646" width="13.5703125" style="4" bestFit="1" customWidth="1"/>
    <col min="5647" max="5648" width="12.5703125" style="4" bestFit="1" customWidth="1"/>
    <col min="5649" max="5888" width="9.140625" style="4"/>
    <col min="5889" max="5889" width="58.42578125" style="4" customWidth="1"/>
    <col min="5890" max="5890" width="7" style="4" customWidth="1"/>
    <col min="5891" max="5891" width="6.28515625" style="4" customWidth="1"/>
    <col min="5892" max="5892" width="14.140625" style="4" customWidth="1"/>
    <col min="5893" max="5893" width="7.28515625" style="4" customWidth="1"/>
    <col min="5894" max="5894" width="11.5703125" style="4" customWidth="1"/>
    <col min="5895" max="5896" width="13.42578125" style="4" customWidth="1"/>
    <col min="5897" max="5897" width="13.5703125" style="4" customWidth="1"/>
    <col min="5898" max="5900" width="9.140625" style="4"/>
    <col min="5901" max="5901" width="43.140625" style="4" customWidth="1"/>
    <col min="5902" max="5902" width="13.5703125" style="4" bestFit="1" customWidth="1"/>
    <col min="5903" max="5904" width="12.5703125" style="4" bestFit="1" customWidth="1"/>
    <col min="5905" max="6144" width="9.140625" style="4"/>
    <col min="6145" max="6145" width="58.42578125" style="4" customWidth="1"/>
    <col min="6146" max="6146" width="7" style="4" customWidth="1"/>
    <col min="6147" max="6147" width="6.28515625" style="4" customWidth="1"/>
    <col min="6148" max="6148" width="14.140625" style="4" customWidth="1"/>
    <col min="6149" max="6149" width="7.28515625" style="4" customWidth="1"/>
    <col min="6150" max="6150" width="11.5703125" style="4" customWidth="1"/>
    <col min="6151" max="6152" width="13.42578125" style="4" customWidth="1"/>
    <col min="6153" max="6153" width="13.5703125" style="4" customWidth="1"/>
    <col min="6154" max="6156" width="9.140625" style="4"/>
    <col min="6157" max="6157" width="43.140625" style="4" customWidth="1"/>
    <col min="6158" max="6158" width="13.5703125" style="4" bestFit="1" customWidth="1"/>
    <col min="6159" max="6160" width="12.5703125" style="4" bestFit="1" customWidth="1"/>
    <col min="6161" max="6400" width="9.140625" style="4"/>
    <col min="6401" max="6401" width="58.42578125" style="4" customWidth="1"/>
    <col min="6402" max="6402" width="7" style="4" customWidth="1"/>
    <col min="6403" max="6403" width="6.28515625" style="4" customWidth="1"/>
    <col min="6404" max="6404" width="14.140625" style="4" customWidth="1"/>
    <col min="6405" max="6405" width="7.28515625" style="4" customWidth="1"/>
    <col min="6406" max="6406" width="11.5703125" style="4" customWidth="1"/>
    <col min="6407" max="6408" width="13.42578125" style="4" customWidth="1"/>
    <col min="6409" max="6409" width="13.5703125" style="4" customWidth="1"/>
    <col min="6410" max="6412" width="9.140625" style="4"/>
    <col min="6413" max="6413" width="43.140625" style="4" customWidth="1"/>
    <col min="6414" max="6414" width="13.5703125" style="4" bestFit="1" customWidth="1"/>
    <col min="6415" max="6416" width="12.5703125" style="4" bestFit="1" customWidth="1"/>
    <col min="6417" max="6656" width="9.140625" style="4"/>
    <col min="6657" max="6657" width="58.42578125" style="4" customWidth="1"/>
    <col min="6658" max="6658" width="7" style="4" customWidth="1"/>
    <col min="6659" max="6659" width="6.28515625" style="4" customWidth="1"/>
    <col min="6660" max="6660" width="14.140625" style="4" customWidth="1"/>
    <col min="6661" max="6661" width="7.28515625" style="4" customWidth="1"/>
    <col min="6662" max="6662" width="11.5703125" style="4" customWidth="1"/>
    <col min="6663" max="6664" width="13.42578125" style="4" customWidth="1"/>
    <col min="6665" max="6665" width="13.5703125" style="4" customWidth="1"/>
    <col min="6666" max="6668" width="9.140625" style="4"/>
    <col min="6669" max="6669" width="43.140625" style="4" customWidth="1"/>
    <col min="6670" max="6670" width="13.5703125" style="4" bestFit="1" customWidth="1"/>
    <col min="6671" max="6672" width="12.5703125" style="4" bestFit="1" customWidth="1"/>
    <col min="6673" max="6912" width="9.140625" style="4"/>
    <col min="6913" max="6913" width="58.42578125" style="4" customWidth="1"/>
    <col min="6914" max="6914" width="7" style="4" customWidth="1"/>
    <col min="6915" max="6915" width="6.28515625" style="4" customWidth="1"/>
    <col min="6916" max="6916" width="14.140625" style="4" customWidth="1"/>
    <col min="6917" max="6917" width="7.28515625" style="4" customWidth="1"/>
    <col min="6918" max="6918" width="11.5703125" style="4" customWidth="1"/>
    <col min="6919" max="6920" width="13.42578125" style="4" customWidth="1"/>
    <col min="6921" max="6921" width="13.5703125" style="4" customWidth="1"/>
    <col min="6922" max="6924" width="9.140625" style="4"/>
    <col min="6925" max="6925" width="43.140625" style="4" customWidth="1"/>
    <col min="6926" max="6926" width="13.5703125" style="4" bestFit="1" customWidth="1"/>
    <col min="6927" max="6928" width="12.5703125" style="4" bestFit="1" customWidth="1"/>
    <col min="6929" max="7168" width="9.140625" style="4"/>
    <col min="7169" max="7169" width="58.42578125" style="4" customWidth="1"/>
    <col min="7170" max="7170" width="7" style="4" customWidth="1"/>
    <col min="7171" max="7171" width="6.28515625" style="4" customWidth="1"/>
    <col min="7172" max="7172" width="14.140625" style="4" customWidth="1"/>
    <col min="7173" max="7173" width="7.28515625" style="4" customWidth="1"/>
    <col min="7174" max="7174" width="11.5703125" style="4" customWidth="1"/>
    <col min="7175" max="7176" width="13.42578125" style="4" customWidth="1"/>
    <col min="7177" max="7177" width="13.5703125" style="4" customWidth="1"/>
    <col min="7178" max="7180" width="9.140625" style="4"/>
    <col min="7181" max="7181" width="43.140625" style="4" customWidth="1"/>
    <col min="7182" max="7182" width="13.5703125" style="4" bestFit="1" customWidth="1"/>
    <col min="7183" max="7184" width="12.5703125" style="4" bestFit="1" customWidth="1"/>
    <col min="7185" max="7424" width="9.140625" style="4"/>
    <col min="7425" max="7425" width="58.42578125" style="4" customWidth="1"/>
    <col min="7426" max="7426" width="7" style="4" customWidth="1"/>
    <col min="7427" max="7427" width="6.28515625" style="4" customWidth="1"/>
    <col min="7428" max="7428" width="14.140625" style="4" customWidth="1"/>
    <col min="7429" max="7429" width="7.28515625" style="4" customWidth="1"/>
    <col min="7430" max="7430" width="11.5703125" style="4" customWidth="1"/>
    <col min="7431" max="7432" width="13.42578125" style="4" customWidth="1"/>
    <col min="7433" max="7433" width="13.5703125" style="4" customWidth="1"/>
    <col min="7434" max="7436" width="9.140625" style="4"/>
    <col min="7437" max="7437" width="43.140625" style="4" customWidth="1"/>
    <col min="7438" max="7438" width="13.5703125" style="4" bestFit="1" customWidth="1"/>
    <col min="7439" max="7440" width="12.5703125" style="4" bestFit="1" customWidth="1"/>
    <col min="7441" max="7680" width="9.140625" style="4"/>
    <col min="7681" max="7681" width="58.42578125" style="4" customWidth="1"/>
    <col min="7682" max="7682" width="7" style="4" customWidth="1"/>
    <col min="7683" max="7683" width="6.28515625" style="4" customWidth="1"/>
    <col min="7684" max="7684" width="14.140625" style="4" customWidth="1"/>
    <col min="7685" max="7685" width="7.28515625" style="4" customWidth="1"/>
    <col min="7686" max="7686" width="11.5703125" style="4" customWidth="1"/>
    <col min="7687" max="7688" width="13.42578125" style="4" customWidth="1"/>
    <col min="7689" max="7689" width="13.5703125" style="4" customWidth="1"/>
    <col min="7690" max="7692" width="9.140625" style="4"/>
    <col min="7693" max="7693" width="43.140625" style="4" customWidth="1"/>
    <col min="7694" max="7694" width="13.5703125" style="4" bestFit="1" customWidth="1"/>
    <col min="7695" max="7696" width="12.5703125" style="4" bestFit="1" customWidth="1"/>
    <col min="7697" max="7936" width="9.140625" style="4"/>
    <col min="7937" max="7937" width="58.42578125" style="4" customWidth="1"/>
    <col min="7938" max="7938" width="7" style="4" customWidth="1"/>
    <col min="7939" max="7939" width="6.28515625" style="4" customWidth="1"/>
    <col min="7940" max="7940" width="14.140625" style="4" customWidth="1"/>
    <col min="7941" max="7941" width="7.28515625" style="4" customWidth="1"/>
    <col min="7942" max="7942" width="11.5703125" style="4" customWidth="1"/>
    <col min="7943" max="7944" width="13.42578125" style="4" customWidth="1"/>
    <col min="7945" max="7945" width="13.5703125" style="4" customWidth="1"/>
    <col min="7946" max="7948" width="9.140625" style="4"/>
    <col min="7949" max="7949" width="43.140625" style="4" customWidth="1"/>
    <col min="7950" max="7950" width="13.5703125" style="4" bestFit="1" customWidth="1"/>
    <col min="7951" max="7952" width="12.5703125" style="4" bestFit="1" customWidth="1"/>
    <col min="7953" max="8192" width="9.140625" style="4"/>
    <col min="8193" max="8193" width="58.42578125" style="4" customWidth="1"/>
    <col min="8194" max="8194" width="7" style="4" customWidth="1"/>
    <col min="8195" max="8195" width="6.28515625" style="4" customWidth="1"/>
    <col min="8196" max="8196" width="14.140625" style="4" customWidth="1"/>
    <col min="8197" max="8197" width="7.28515625" style="4" customWidth="1"/>
    <col min="8198" max="8198" width="11.5703125" style="4" customWidth="1"/>
    <col min="8199" max="8200" width="13.42578125" style="4" customWidth="1"/>
    <col min="8201" max="8201" width="13.5703125" style="4" customWidth="1"/>
    <col min="8202" max="8204" width="9.140625" style="4"/>
    <col min="8205" max="8205" width="43.140625" style="4" customWidth="1"/>
    <col min="8206" max="8206" width="13.5703125" style="4" bestFit="1" customWidth="1"/>
    <col min="8207" max="8208" width="12.5703125" style="4" bestFit="1" customWidth="1"/>
    <col min="8209" max="8448" width="9.140625" style="4"/>
    <col min="8449" max="8449" width="58.42578125" style="4" customWidth="1"/>
    <col min="8450" max="8450" width="7" style="4" customWidth="1"/>
    <col min="8451" max="8451" width="6.28515625" style="4" customWidth="1"/>
    <col min="8452" max="8452" width="14.140625" style="4" customWidth="1"/>
    <col min="8453" max="8453" width="7.28515625" style="4" customWidth="1"/>
    <col min="8454" max="8454" width="11.5703125" style="4" customWidth="1"/>
    <col min="8455" max="8456" width="13.42578125" style="4" customWidth="1"/>
    <col min="8457" max="8457" width="13.5703125" style="4" customWidth="1"/>
    <col min="8458" max="8460" width="9.140625" style="4"/>
    <col min="8461" max="8461" width="43.140625" style="4" customWidth="1"/>
    <col min="8462" max="8462" width="13.5703125" style="4" bestFit="1" customWidth="1"/>
    <col min="8463" max="8464" width="12.5703125" style="4" bestFit="1" customWidth="1"/>
    <col min="8465" max="8704" width="9.140625" style="4"/>
    <col min="8705" max="8705" width="58.42578125" style="4" customWidth="1"/>
    <col min="8706" max="8706" width="7" style="4" customWidth="1"/>
    <col min="8707" max="8707" width="6.28515625" style="4" customWidth="1"/>
    <col min="8708" max="8708" width="14.140625" style="4" customWidth="1"/>
    <col min="8709" max="8709" width="7.28515625" style="4" customWidth="1"/>
    <col min="8710" max="8710" width="11.5703125" style="4" customWidth="1"/>
    <col min="8711" max="8712" width="13.42578125" style="4" customWidth="1"/>
    <col min="8713" max="8713" width="13.5703125" style="4" customWidth="1"/>
    <col min="8714" max="8716" width="9.140625" style="4"/>
    <col min="8717" max="8717" width="43.140625" style="4" customWidth="1"/>
    <col min="8718" max="8718" width="13.5703125" style="4" bestFit="1" customWidth="1"/>
    <col min="8719" max="8720" width="12.5703125" style="4" bestFit="1" customWidth="1"/>
    <col min="8721" max="8960" width="9.140625" style="4"/>
    <col min="8961" max="8961" width="58.42578125" style="4" customWidth="1"/>
    <col min="8962" max="8962" width="7" style="4" customWidth="1"/>
    <col min="8963" max="8963" width="6.28515625" style="4" customWidth="1"/>
    <col min="8964" max="8964" width="14.140625" style="4" customWidth="1"/>
    <col min="8965" max="8965" width="7.28515625" style="4" customWidth="1"/>
    <col min="8966" max="8966" width="11.5703125" style="4" customWidth="1"/>
    <col min="8967" max="8968" width="13.42578125" style="4" customWidth="1"/>
    <col min="8969" max="8969" width="13.5703125" style="4" customWidth="1"/>
    <col min="8970" max="8972" width="9.140625" style="4"/>
    <col min="8973" max="8973" width="43.140625" style="4" customWidth="1"/>
    <col min="8974" max="8974" width="13.5703125" style="4" bestFit="1" customWidth="1"/>
    <col min="8975" max="8976" width="12.5703125" style="4" bestFit="1" customWidth="1"/>
    <col min="8977" max="9216" width="9.140625" style="4"/>
    <col min="9217" max="9217" width="58.42578125" style="4" customWidth="1"/>
    <col min="9218" max="9218" width="7" style="4" customWidth="1"/>
    <col min="9219" max="9219" width="6.28515625" style="4" customWidth="1"/>
    <col min="9220" max="9220" width="14.140625" style="4" customWidth="1"/>
    <col min="9221" max="9221" width="7.28515625" style="4" customWidth="1"/>
    <col min="9222" max="9222" width="11.5703125" style="4" customWidth="1"/>
    <col min="9223" max="9224" width="13.42578125" style="4" customWidth="1"/>
    <col min="9225" max="9225" width="13.5703125" style="4" customWidth="1"/>
    <col min="9226" max="9228" width="9.140625" style="4"/>
    <col min="9229" max="9229" width="43.140625" style="4" customWidth="1"/>
    <col min="9230" max="9230" width="13.5703125" style="4" bestFit="1" customWidth="1"/>
    <col min="9231" max="9232" width="12.5703125" style="4" bestFit="1" customWidth="1"/>
    <col min="9233" max="9472" width="9.140625" style="4"/>
    <col min="9473" max="9473" width="58.42578125" style="4" customWidth="1"/>
    <col min="9474" max="9474" width="7" style="4" customWidth="1"/>
    <col min="9475" max="9475" width="6.28515625" style="4" customWidth="1"/>
    <col min="9476" max="9476" width="14.140625" style="4" customWidth="1"/>
    <col min="9477" max="9477" width="7.28515625" style="4" customWidth="1"/>
    <col min="9478" max="9478" width="11.5703125" style="4" customWidth="1"/>
    <col min="9479" max="9480" width="13.42578125" style="4" customWidth="1"/>
    <col min="9481" max="9481" width="13.5703125" style="4" customWidth="1"/>
    <col min="9482" max="9484" width="9.140625" style="4"/>
    <col min="9485" max="9485" width="43.140625" style="4" customWidth="1"/>
    <col min="9486" max="9486" width="13.5703125" style="4" bestFit="1" customWidth="1"/>
    <col min="9487" max="9488" width="12.5703125" style="4" bestFit="1" customWidth="1"/>
    <col min="9489" max="9728" width="9.140625" style="4"/>
    <col min="9729" max="9729" width="58.42578125" style="4" customWidth="1"/>
    <col min="9730" max="9730" width="7" style="4" customWidth="1"/>
    <col min="9731" max="9731" width="6.28515625" style="4" customWidth="1"/>
    <col min="9732" max="9732" width="14.140625" style="4" customWidth="1"/>
    <col min="9733" max="9733" width="7.28515625" style="4" customWidth="1"/>
    <col min="9734" max="9734" width="11.5703125" style="4" customWidth="1"/>
    <col min="9735" max="9736" width="13.42578125" style="4" customWidth="1"/>
    <col min="9737" max="9737" width="13.5703125" style="4" customWidth="1"/>
    <col min="9738" max="9740" width="9.140625" style="4"/>
    <col min="9741" max="9741" width="43.140625" style="4" customWidth="1"/>
    <col min="9742" max="9742" width="13.5703125" style="4" bestFit="1" customWidth="1"/>
    <col min="9743" max="9744" width="12.5703125" style="4" bestFit="1" customWidth="1"/>
    <col min="9745" max="9984" width="9.140625" style="4"/>
    <col min="9985" max="9985" width="58.42578125" style="4" customWidth="1"/>
    <col min="9986" max="9986" width="7" style="4" customWidth="1"/>
    <col min="9987" max="9987" width="6.28515625" style="4" customWidth="1"/>
    <col min="9988" max="9988" width="14.140625" style="4" customWidth="1"/>
    <col min="9989" max="9989" width="7.28515625" style="4" customWidth="1"/>
    <col min="9990" max="9990" width="11.5703125" style="4" customWidth="1"/>
    <col min="9991" max="9992" width="13.42578125" style="4" customWidth="1"/>
    <col min="9993" max="9993" width="13.5703125" style="4" customWidth="1"/>
    <col min="9994" max="9996" width="9.140625" style="4"/>
    <col min="9997" max="9997" width="43.140625" style="4" customWidth="1"/>
    <col min="9998" max="9998" width="13.5703125" style="4" bestFit="1" customWidth="1"/>
    <col min="9999" max="10000" width="12.5703125" style="4" bestFit="1" customWidth="1"/>
    <col min="10001" max="10240" width="9.140625" style="4"/>
    <col min="10241" max="10241" width="58.42578125" style="4" customWidth="1"/>
    <col min="10242" max="10242" width="7" style="4" customWidth="1"/>
    <col min="10243" max="10243" width="6.28515625" style="4" customWidth="1"/>
    <col min="10244" max="10244" width="14.140625" style="4" customWidth="1"/>
    <col min="10245" max="10245" width="7.28515625" style="4" customWidth="1"/>
    <col min="10246" max="10246" width="11.5703125" style="4" customWidth="1"/>
    <col min="10247" max="10248" width="13.42578125" style="4" customWidth="1"/>
    <col min="10249" max="10249" width="13.5703125" style="4" customWidth="1"/>
    <col min="10250" max="10252" width="9.140625" style="4"/>
    <col min="10253" max="10253" width="43.140625" style="4" customWidth="1"/>
    <col min="10254" max="10254" width="13.5703125" style="4" bestFit="1" customWidth="1"/>
    <col min="10255" max="10256" width="12.5703125" style="4" bestFit="1" customWidth="1"/>
    <col min="10257" max="10496" width="9.140625" style="4"/>
    <col min="10497" max="10497" width="58.42578125" style="4" customWidth="1"/>
    <col min="10498" max="10498" width="7" style="4" customWidth="1"/>
    <col min="10499" max="10499" width="6.28515625" style="4" customWidth="1"/>
    <col min="10500" max="10500" width="14.140625" style="4" customWidth="1"/>
    <col min="10501" max="10501" width="7.28515625" style="4" customWidth="1"/>
    <col min="10502" max="10502" width="11.5703125" style="4" customWidth="1"/>
    <col min="10503" max="10504" width="13.42578125" style="4" customWidth="1"/>
    <col min="10505" max="10505" width="13.5703125" style="4" customWidth="1"/>
    <col min="10506" max="10508" width="9.140625" style="4"/>
    <col min="10509" max="10509" width="43.140625" style="4" customWidth="1"/>
    <col min="10510" max="10510" width="13.5703125" style="4" bestFit="1" customWidth="1"/>
    <col min="10511" max="10512" width="12.5703125" style="4" bestFit="1" customWidth="1"/>
    <col min="10513" max="10752" width="9.140625" style="4"/>
    <col min="10753" max="10753" width="58.42578125" style="4" customWidth="1"/>
    <col min="10754" max="10754" width="7" style="4" customWidth="1"/>
    <col min="10755" max="10755" width="6.28515625" style="4" customWidth="1"/>
    <col min="10756" max="10756" width="14.140625" style="4" customWidth="1"/>
    <col min="10757" max="10757" width="7.28515625" style="4" customWidth="1"/>
    <col min="10758" max="10758" width="11.5703125" style="4" customWidth="1"/>
    <col min="10759" max="10760" width="13.42578125" style="4" customWidth="1"/>
    <col min="10761" max="10761" width="13.5703125" style="4" customWidth="1"/>
    <col min="10762" max="10764" width="9.140625" style="4"/>
    <col min="10765" max="10765" width="43.140625" style="4" customWidth="1"/>
    <col min="10766" max="10766" width="13.5703125" style="4" bestFit="1" customWidth="1"/>
    <col min="10767" max="10768" width="12.5703125" style="4" bestFit="1" customWidth="1"/>
    <col min="10769" max="11008" width="9.140625" style="4"/>
    <col min="11009" max="11009" width="58.42578125" style="4" customWidth="1"/>
    <col min="11010" max="11010" width="7" style="4" customWidth="1"/>
    <col min="11011" max="11011" width="6.28515625" style="4" customWidth="1"/>
    <col min="11012" max="11012" width="14.140625" style="4" customWidth="1"/>
    <col min="11013" max="11013" width="7.28515625" style="4" customWidth="1"/>
    <col min="11014" max="11014" width="11.5703125" style="4" customWidth="1"/>
    <col min="11015" max="11016" width="13.42578125" style="4" customWidth="1"/>
    <col min="11017" max="11017" width="13.5703125" style="4" customWidth="1"/>
    <col min="11018" max="11020" width="9.140625" style="4"/>
    <col min="11021" max="11021" width="43.140625" style="4" customWidth="1"/>
    <col min="11022" max="11022" width="13.5703125" style="4" bestFit="1" customWidth="1"/>
    <col min="11023" max="11024" width="12.5703125" style="4" bestFit="1" customWidth="1"/>
    <col min="11025" max="11264" width="9.140625" style="4"/>
    <col min="11265" max="11265" width="58.42578125" style="4" customWidth="1"/>
    <col min="11266" max="11266" width="7" style="4" customWidth="1"/>
    <col min="11267" max="11267" width="6.28515625" style="4" customWidth="1"/>
    <col min="11268" max="11268" width="14.140625" style="4" customWidth="1"/>
    <col min="11269" max="11269" width="7.28515625" style="4" customWidth="1"/>
    <col min="11270" max="11270" width="11.5703125" style="4" customWidth="1"/>
    <col min="11271" max="11272" width="13.42578125" style="4" customWidth="1"/>
    <col min="11273" max="11273" width="13.5703125" style="4" customWidth="1"/>
    <col min="11274" max="11276" width="9.140625" style="4"/>
    <col min="11277" max="11277" width="43.140625" style="4" customWidth="1"/>
    <col min="11278" max="11278" width="13.5703125" style="4" bestFit="1" customWidth="1"/>
    <col min="11279" max="11280" width="12.5703125" style="4" bestFit="1" customWidth="1"/>
    <col min="11281" max="11520" width="9.140625" style="4"/>
    <col min="11521" max="11521" width="58.42578125" style="4" customWidth="1"/>
    <col min="11522" max="11522" width="7" style="4" customWidth="1"/>
    <col min="11523" max="11523" width="6.28515625" style="4" customWidth="1"/>
    <col min="11524" max="11524" width="14.140625" style="4" customWidth="1"/>
    <col min="11525" max="11525" width="7.28515625" style="4" customWidth="1"/>
    <col min="11526" max="11526" width="11.5703125" style="4" customWidth="1"/>
    <col min="11527" max="11528" width="13.42578125" style="4" customWidth="1"/>
    <col min="11529" max="11529" width="13.5703125" style="4" customWidth="1"/>
    <col min="11530" max="11532" width="9.140625" style="4"/>
    <col min="11533" max="11533" width="43.140625" style="4" customWidth="1"/>
    <col min="11534" max="11534" width="13.5703125" style="4" bestFit="1" customWidth="1"/>
    <col min="11535" max="11536" width="12.5703125" style="4" bestFit="1" customWidth="1"/>
    <col min="11537" max="11776" width="9.140625" style="4"/>
    <col min="11777" max="11777" width="58.42578125" style="4" customWidth="1"/>
    <col min="11778" max="11778" width="7" style="4" customWidth="1"/>
    <col min="11779" max="11779" width="6.28515625" style="4" customWidth="1"/>
    <col min="11780" max="11780" width="14.140625" style="4" customWidth="1"/>
    <col min="11781" max="11781" width="7.28515625" style="4" customWidth="1"/>
    <col min="11782" max="11782" width="11.5703125" style="4" customWidth="1"/>
    <col min="11783" max="11784" width="13.42578125" style="4" customWidth="1"/>
    <col min="11785" max="11785" width="13.5703125" style="4" customWidth="1"/>
    <col min="11786" max="11788" width="9.140625" style="4"/>
    <col min="11789" max="11789" width="43.140625" style="4" customWidth="1"/>
    <col min="11790" max="11790" width="13.5703125" style="4" bestFit="1" customWidth="1"/>
    <col min="11791" max="11792" width="12.5703125" style="4" bestFit="1" customWidth="1"/>
    <col min="11793" max="12032" width="9.140625" style="4"/>
    <col min="12033" max="12033" width="58.42578125" style="4" customWidth="1"/>
    <col min="12034" max="12034" width="7" style="4" customWidth="1"/>
    <col min="12035" max="12035" width="6.28515625" style="4" customWidth="1"/>
    <col min="12036" max="12036" width="14.140625" style="4" customWidth="1"/>
    <col min="12037" max="12037" width="7.28515625" style="4" customWidth="1"/>
    <col min="12038" max="12038" width="11.5703125" style="4" customWidth="1"/>
    <col min="12039" max="12040" width="13.42578125" style="4" customWidth="1"/>
    <col min="12041" max="12041" width="13.5703125" style="4" customWidth="1"/>
    <col min="12042" max="12044" width="9.140625" style="4"/>
    <col min="12045" max="12045" width="43.140625" style="4" customWidth="1"/>
    <col min="12046" max="12046" width="13.5703125" style="4" bestFit="1" customWidth="1"/>
    <col min="12047" max="12048" width="12.5703125" style="4" bestFit="1" customWidth="1"/>
    <col min="12049" max="12288" width="9.140625" style="4"/>
    <col min="12289" max="12289" width="58.42578125" style="4" customWidth="1"/>
    <col min="12290" max="12290" width="7" style="4" customWidth="1"/>
    <col min="12291" max="12291" width="6.28515625" style="4" customWidth="1"/>
    <col min="12292" max="12292" width="14.140625" style="4" customWidth="1"/>
    <col min="12293" max="12293" width="7.28515625" style="4" customWidth="1"/>
    <col min="12294" max="12294" width="11.5703125" style="4" customWidth="1"/>
    <col min="12295" max="12296" width="13.42578125" style="4" customWidth="1"/>
    <col min="12297" max="12297" width="13.5703125" style="4" customWidth="1"/>
    <col min="12298" max="12300" width="9.140625" style="4"/>
    <col min="12301" max="12301" width="43.140625" style="4" customWidth="1"/>
    <col min="12302" max="12302" width="13.5703125" style="4" bestFit="1" customWidth="1"/>
    <col min="12303" max="12304" width="12.5703125" style="4" bestFit="1" customWidth="1"/>
    <col min="12305" max="12544" width="9.140625" style="4"/>
    <col min="12545" max="12545" width="58.42578125" style="4" customWidth="1"/>
    <col min="12546" max="12546" width="7" style="4" customWidth="1"/>
    <col min="12547" max="12547" width="6.28515625" style="4" customWidth="1"/>
    <col min="12548" max="12548" width="14.140625" style="4" customWidth="1"/>
    <col min="12549" max="12549" width="7.28515625" style="4" customWidth="1"/>
    <col min="12550" max="12550" width="11.5703125" style="4" customWidth="1"/>
    <col min="12551" max="12552" width="13.42578125" style="4" customWidth="1"/>
    <col min="12553" max="12553" width="13.5703125" style="4" customWidth="1"/>
    <col min="12554" max="12556" width="9.140625" style="4"/>
    <col min="12557" max="12557" width="43.140625" style="4" customWidth="1"/>
    <col min="12558" max="12558" width="13.5703125" style="4" bestFit="1" customWidth="1"/>
    <col min="12559" max="12560" width="12.5703125" style="4" bestFit="1" customWidth="1"/>
    <col min="12561" max="12800" width="9.140625" style="4"/>
    <col min="12801" max="12801" width="58.42578125" style="4" customWidth="1"/>
    <col min="12802" max="12802" width="7" style="4" customWidth="1"/>
    <col min="12803" max="12803" width="6.28515625" style="4" customWidth="1"/>
    <col min="12804" max="12804" width="14.140625" style="4" customWidth="1"/>
    <col min="12805" max="12805" width="7.28515625" style="4" customWidth="1"/>
    <col min="12806" max="12806" width="11.5703125" style="4" customWidth="1"/>
    <col min="12807" max="12808" width="13.42578125" style="4" customWidth="1"/>
    <col min="12809" max="12809" width="13.5703125" style="4" customWidth="1"/>
    <col min="12810" max="12812" width="9.140625" style="4"/>
    <col min="12813" max="12813" width="43.140625" style="4" customWidth="1"/>
    <col min="12814" max="12814" width="13.5703125" style="4" bestFit="1" customWidth="1"/>
    <col min="12815" max="12816" width="12.5703125" style="4" bestFit="1" customWidth="1"/>
    <col min="12817" max="13056" width="9.140625" style="4"/>
    <col min="13057" max="13057" width="58.42578125" style="4" customWidth="1"/>
    <col min="13058" max="13058" width="7" style="4" customWidth="1"/>
    <col min="13059" max="13059" width="6.28515625" style="4" customWidth="1"/>
    <col min="13060" max="13060" width="14.140625" style="4" customWidth="1"/>
    <col min="13061" max="13061" width="7.28515625" style="4" customWidth="1"/>
    <col min="13062" max="13062" width="11.5703125" style="4" customWidth="1"/>
    <col min="13063" max="13064" width="13.42578125" style="4" customWidth="1"/>
    <col min="13065" max="13065" width="13.5703125" style="4" customWidth="1"/>
    <col min="13066" max="13068" width="9.140625" style="4"/>
    <col min="13069" max="13069" width="43.140625" style="4" customWidth="1"/>
    <col min="13070" max="13070" width="13.5703125" style="4" bestFit="1" customWidth="1"/>
    <col min="13071" max="13072" width="12.5703125" style="4" bestFit="1" customWidth="1"/>
    <col min="13073" max="13312" width="9.140625" style="4"/>
    <col min="13313" max="13313" width="58.42578125" style="4" customWidth="1"/>
    <col min="13314" max="13314" width="7" style="4" customWidth="1"/>
    <col min="13315" max="13315" width="6.28515625" style="4" customWidth="1"/>
    <col min="13316" max="13316" width="14.140625" style="4" customWidth="1"/>
    <col min="13317" max="13317" width="7.28515625" style="4" customWidth="1"/>
    <col min="13318" max="13318" width="11.5703125" style="4" customWidth="1"/>
    <col min="13319" max="13320" width="13.42578125" style="4" customWidth="1"/>
    <col min="13321" max="13321" width="13.5703125" style="4" customWidth="1"/>
    <col min="13322" max="13324" width="9.140625" style="4"/>
    <col min="13325" max="13325" width="43.140625" style="4" customWidth="1"/>
    <col min="13326" max="13326" width="13.5703125" style="4" bestFit="1" customWidth="1"/>
    <col min="13327" max="13328" width="12.5703125" style="4" bestFit="1" customWidth="1"/>
    <col min="13329" max="13568" width="9.140625" style="4"/>
    <col min="13569" max="13569" width="58.42578125" style="4" customWidth="1"/>
    <col min="13570" max="13570" width="7" style="4" customWidth="1"/>
    <col min="13571" max="13571" width="6.28515625" style="4" customWidth="1"/>
    <col min="13572" max="13572" width="14.140625" style="4" customWidth="1"/>
    <col min="13573" max="13573" width="7.28515625" style="4" customWidth="1"/>
    <col min="13574" max="13574" width="11.5703125" style="4" customWidth="1"/>
    <col min="13575" max="13576" width="13.42578125" style="4" customWidth="1"/>
    <col min="13577" max="13577" width="13.5703125" style="4" customWidth="1"/>
    <col min="13578" max="13580" width="9.140625" style="4"/>
    <col min="13581" max="13581" width="43.140625" style="4" customWidth="1"/>
    <col min="13582" max="13582" width="13.5703125" style="4" bestFit="1" customWidth="1"/>
    <col min="13583" max="13584" width="12.5703125" style="4" bestFit="1" customWidth="1"/>
    <col min="13585" max="13824" width="9.140625" style="4"/>
    <col min="13825" max="13825" width="58.42578125" style="4" customWidth="1"/>
    <col min="13826" max="13826" width="7" style="4" customWidth="1"/>
    <col min="13827" max="13827" width="6.28515625" style="4" customWidth="1"/>
    <col min="13828" max="13828" width="14.140625" style="4" customWidth="1"/>
    <col min="13829" max="13829" width="7.28515625" style="4" customWidth="1"/>
    <col min="13830" max="13830" width="11.5703125" style="4" customWidth="1"/>
    <col min="13831" max="13832" width="13.42578125" style="4" customWidth="1"/>
    <col min="13833" max="13833" width="13.5703125" style="4" customWidth="1"/>
    <col min="13834" max="13836" width="9.140625" style="4"/>
    <col min="13837" max="13837" width="43.140625" style="4" customWidth="1"/>
    <col min="13838" max="13838" width="13.5703125" style="4" bestFit="1" customWidth="1"/>
    <col min="13839" max="13840" width="12.5703125" style="4" bestFit="1" customWidth="1"/>
    <col min="13841" max="14080" width="9.140625" style="4"/>
    <col min="14081" max="14081" width="58.42578125" style="4" customWidth="1"/>
    <col min="14082" max="14082" width="7" style="4" customWidth="1"/>
    <col min="14083" max="14083" width="6.28515625" style="4" customWidth="1"/>
    <col min="14084" max="14084" width="14.140625" style="4" customWidth="1"/>
    <col min="14085" max="14085" width="7.28515625" style="4" customWidth="1"/>
    <col min="14086" max="14086" width="11.5703125" style="4" customWidth="1"/>
    <col min="14087" max="14088" width="13.42578125" style="4" customWidth="1"/>
    <col min="14089" max="14089" width="13.5703125" style="4" customWidth="1"/>
    <col min="14090" max="14092" width="9.140625" style="4"/>
    <col min="14093" max="14093" width="43.140625" style="4" customWidth="1"/>
    <col min="14094" max="14094" width="13.5703125" style="4" bestFit="1" customWidth="1"/>
    <col min="14095" max="14096" width="12.5703125" style="4" bestFit="1" customWidth="1"/>
    <col min="14097" max="14336" width="9.140625" style="4"/>
    <col min="14337" max="14337" width="58.42578125" style="4" customWidth="1"/>
    <col min="14338" max="14338" width="7" style="4" customWidth="1"/>
    <col min="14339" max="14339" width="6.28515625" style="4" customWidth="1"/>
    <col min="14340" max="14340" width="14.140625" style="4" customWidth="1"/>
    <col min="14341" max="14341" width="7.28515625" style="4" customWidth="1"/>
    <col min="14342" max="14342" width="11.5703125" style="4" customWidth="1"/>
    <col min="14343" max="14344" width="13.42578125" style="4" customWidth="1"/>
    <col min="14345" max="14345" width="13.5703125" style="4" customWidth="1"/>
    <col min="14346" max="14348" width="9.140625" style="4"/>
    <col min="14349" max="14349" width="43.140625" style="4" customWidth="1"/>
    <col min="14350" max="14350" width="13.5703125" style="4" bestFit="1" customWidth="1"/>
    <col min="14351" max="14352" width="12.5703125" style="4" bestFit="1" customWidth="1"/>
    <col min="14353" max="14592" width="9.140625" style="4"/>
    <col min="14593" max="14593" width="58.42578125" style="4" customWidth="1"/>
    <col min="14594" max="14594" width="7" style="4" customWidth="1"/>
    <col min="14595" max="14595" width="6.28515625" style="4" customWidth="1"/>
    <col min="14596" max="14596" width="14.140625" style="4" customWidth="1"/>
    <col min="14597" max="14597" width="7.28515625" style="4" customWidth="1"/>
    <col min="14598" max="14598" width="11.5703125" style="4" customWidth="1"/>
    <col min="14599" max="14600" width="13.42578125" style="4" customWidth="1"/>
    <col min="14601" max="14601" width="13.5703125" style="4" customWidth="1"/>
    <col min="14602" max="14604" width="9.140625" style="4"/>
    <col min="14605" max="14605" width="43.140625" style="4" customWidth="1"/>
    <col min="14606" max="14606" width="13.5703125" style="4" bestFit="1" customWidth="1"/>
    <col min="14607" max="14608" width="12.5703125" style="4" bestFit="1" customWidth="1"/>
    <col min="14609" max="14848" width="9.140625" style="4"/>
    <col min="14849" max="14849" width="58.42578125" style="4" customWidth="1"/>
    <col min="14850" max="14850" width="7" style="4" customWidth="1"/>
    <col min="14851" max="14851" width="6.28515625" style="4" customWidth="1"/>
    <col min="14852" max="14852" width="14.140625" style="4" customWidth="1"/>
    <col min="14853" max="14853" width="7.28515625" style="4" customWidth="1"/>
    <col min="14854" max="14854" width="11.5703125" style="4" customWidth="1"/>
    <col min="14855" max="14856" width="13.42578125" style="4" customWidth="1"/>
    <col min="14857" max="14857" width="13.5703125" style="4" customWidth="1"/>
    <col min="14858" max="14860" width="9.140625" style="4"/>
    <col min="14861" max="14861" width="43.140625" style="4" customWidth="1"/>
    <col min="14862" max="14862" width="13.5703125" style="4" bestFit="1" customWidth="1"/>
    <col min="14863" max="14864" width="12.5703125" style="4" bestFit="1" customWidth="1"/>
    <col min="14865" max="15104" width="9.140625" style="4"/>
    <col min="15105" max="15105" width="58.42578125" style="4" customWidth="1"/>
    <col min="15106" max="15106" width="7" style="4" customWidth="1"/>
    <col min="15107" max="15107" width="6.28515625" style="4" customWidth="1"/>
    <col min="15108" max="15108" width="14.140625" style="4" customWidth="1"/>
    <col min="15109" max="15109" width="7.28515625" style="4" customWidth="1"/>
    <col min="15110" max="15110" width="11.5703125" style="4" customWidth="1"/>
    <col min="15111" max="15112" width="13.42578125" style="4" customWidth="1"/>
    <col min="15113" max="15113" width="13.5703125" style="4" customWidth="1"/>
    <col min="15114" max="15116" width="9.140625" style="4"/>
    <col min="15117" max="15117" width="43.140625" style="4" customWidth="1"/>
    <col min="15118" max="15118" width="13.5703125" style="4" bestFit="1" customWidth="1"/>
    <col min="15119" max="15120" width="12.5703125" style="4" bestFit="1" customWidth="1"/>
    <col min="15121" max="15360" width="9.140625" style="4"/>
    <col min="15361" max="15361" width="58.42578125" style="4" customWidth="1"/>
    <col min="15362" max="15362" width="7" style="4" customWidth="1"/>
    <col min="15363" max="15363" width="6.28515625" style="4" customWidth="1"/>
    <col min="15364" max="15364" width="14.140625" style="4" customWidth="1"/>
    <col min="15365" max="15365" width="7.28515625" style="4" customWidth="1"/>
    <col min="15366" max="15366" width="11.5703125" style="4" customWidth="1"/>
    <col min="15367" max="15368" width="13.42578125" style="4" customWidth="1"/>
    <col min="15369" max="15369" width="13.5703125" style="4" customWidth="1"/>
    <col min="15370" max="15372" width="9.140625" style="4"/>
    <col min="15373" max="15373" width="43.140625" style="4" customWidth="1"/>
    <col min="15374" max="15374" width="13.5703125" style="4" bestFit="1" customWidth="1"/>
    <col min="15375" max="15376" width="12.5703125" style="4" bestFit="1" customWidth="1"/>
    <col min="15377" max="15616" width="9.140625" style="4"/>
    <col min="15617" max="15617" width="58.42578125" style="4" customWidth="1"/>
    <col min="15618" max="15618" width="7" style="4" customWidth="1"/>
    <col min="15619" max="15619" width="6.28515625" style="4" customWidth="1"/>
    <col min="15620" max="15620" width="14.140625" style="4" customWidth="1"/>
    <col min="15621" max="15621" width="7.28515625" style="4" customWidth="1"/>
    <col min="15622" max="15622" width="11.5703125" style="4" customWidth="1"/>
    <col min="15623" max="15624" width="13.42578125" style="4" customWidth="1"/>
    <col min="15625" max="15625" width="13.5703125" style="4" customWidth="1"/>
    <col min="15626" max="15628" width="9.140625" style="4"/>
    <col min="15629" max="15629" width="43.140625" style="4" customWidth="1"/>
    <col min="15630" max="15630" width="13.5703125" style="4" bestFit="1" customWidth="1"/>
    <col min="15631" max="15632" width="12.5703125" style="4" bestFit="1" customWidth="1"/>
    <col min="15633" max="15872" width="9.140625" style="4"/>
    <col min="15873" max="15873" width="58.42578125" style="4" customWidth="1"/>
    <col min="15874" max="15874" width="7" style="4" customWidth="1"/>
    <col min="15875" max="15875" width="6.28515625" style="4" customWidth="1"/>
    <col min="15876" max="15876" width="14.140625" style="4" customWidth="1"/>
    <col min="15877" max="15877" width="7.28515625" style="4" customWidth="1"/>
    <col min="15878" max="15878" width="11.5703125" style="4" customWidth="1"/>
    <col min="15879" max="15880" width="13.42578125" style="4" customWidth="1"/>
    <col min="15881" max="15881" width="13.5703125" style="4" customWidth="1"/>
    <col min="15882" max="15884" width="9.140625" style="4"/>
    <col min="15885" max="15885" width="43.140625" style="4" customWidth="1"/>
    <col min="15886" max="15886" width="13.5703125" style="4" bestFit="1" customWidth="1"/>
    <col min="15887" max="15888" width="12.5703125" style="4" bestFit="1" customWidth="1"/>
    <col min="15889" max="16128" width="9.140625" style="4"/>
    <col min="16129" max="16129" width="58.42578125" style="4" customWidth="1"/>
    <col min="16130" max="16130" width="7" style="4" customWidth="1"/>
    <col min="16131" max="16131" width="6.28515625" style="4" customWidth="1"/>
    <col min="16132" max="16132" width="14.140625" style="4" customWidth="1"/>
    <col min="16133" max="16133" width="7.28515625" style="4" customWidth="1"/>
    <col min="16134" max="16134" width="11.5703125" style="4" customWidth="1"/>
    <col min="16135" max="16136" width="13.42578125" style="4" customWidth="1"/>
    <col min="16137" max="16137" width="13.5703125" style="4" customWidth="1"/>
    <col min="16138" max="16140" width="9.140625" style="4"/>
    <col min="16141" max="16141" width="43.140625" style="4" customWidth="1"/>
    <col min="16142" max="16142" width="13.5703125" style="4" bestFit="1" customWidth="1"/>
    <col min="16143" max="16144" width="12.5703125" style="4" bestFit="1" customWidth="1"/>
    <col min="16145" max="16384" width="9.140625" style="4"/>
  </cols>
  <sheetData>
    <row r="1" spans="1:11" s="2" customFormat="1" ht="55.5" customHeight="1" x14ac:dyDescent="0.2">
      <c r="A1" s="151" t="s">
        <v>652</v>
      </c>
      <c r="B1" s="151"/>
      <c r="C1" s="151"/>
      <c r="D1" s="151"/>
      <c r="E1" s="151"/>
      <c r="F1" s="151"/>
      <c r="G1" s="151"/>
      <c r="H1" s="151"/>
      <c r="I1" s="1"/>
      <c r="J1" s="1"/>
      <c r="K1" s="1"/>
    </row>
    <row r="2" spans="1:11" ht="35.2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</row>
    <row r="3" spans="1:11" ht="15.75" customHeight="1" x14ac:dyDescent="0.2">
      <c r="A3" s="5"/>
      <c r="B3" s="6"/>
      <c r="C3" s="6"/>
      <c r="H3" s="8" t="s">
        <v>1</v>
      </c>
    </row>
    <row r="4" spans="1:11" s="3" customFormat="1" ht="48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>
        <v>2025</v>
      </c>
      <c r="G4" s="11">
        <v>2026</v>
      </c>
      <c r="H4" s="11">
        <v>2027</v>
      </c>
    </row>
    <row r="5" spans="1:11" s="15" customFormat="1" ht="24.75" customHeight="1" x14ac:dyDescent="0.2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4">
        <v>6</v>
      </c>
      <c r="G5" s="14">
        <v>7</v>
      </c>
      <c r="H5" s="14">
        <v>8</v>
      </c>
    </row>
    <row r="6" spans="1:11" s="19" customFormat="1" ht="14.25" customHeight="1" x14ac:dyDescent="0.2">
      <c r="A6" s="16" t="s">
        <v>7</v>
      </c>
      <c r="B6" s="17" t="s">
        <v>8</v>
      </c>
      <c r="C6" s="17"/>
      <c r="D6" s="17"/>
      <c r="E6" s="17"/>
      <c r="F6" s="18">
        <f>F7+F13+F18+F55+F59+F80+F84+F76</f>
        <v>96543.4</v>
      </c>
      <c r="G6" s="18">
        <f>G7+G13+G18+G55+G59+G80+G84+G76</f>
        <v>93366.399999999994</v>
      </c>
      <c r="H6" s="18">
        <f>H7+H13+H18+H55+H59+H80+H84+H76</f>
        <v>92361.9</v>
      </c>
    </row>
    <row r="7" spans="1:11" s="19" customFormat="1" ht="25.5" customHeight="1" x14ac:dyDescent="0.2">
      <c r="A7" s="16" t="s">
        <v>9</v>
      </c>
      <c r="B7" s="17" t="s">
        <v>8</v>
      </c>
      <c r="C7" s="17" t="s">
        <v>10</v>
      </c>
      <c r="D7" s="17"/>
      <c r="E7" s="17"/>
      <c r="F7" s="18">
        <f>F8</f>
        <v>3214.5</v>
      </c>
      <c r="G7" s="18">
        <f>G8</f>
        <v>3173.6</v>
      </c>
      <c r="H7" s="18">
        <f>H8</f>
        <v>3173.6</v>
      </c>
    </row>
    <row r="8" spans="1:11" s="19" customFormat="1" ht="26.25" customHeight="1" x14ac:dyDescent="0.2">
      <c r="A8" s="20" t="s">
        <v>11</v>
      </c>
      <c r="B8" s="21" t="s">
        <v>8</v>
      </c>
      <c r="C8" s="21" t="s">
        <v>10</v>
      </c>
      <c r="D8" s="21" t="s">
        <v>12</v>
      </c>
      <c r="E8" s="21"/>
      <c r="F8" s="22">
        <f>F9</f>
        <v>3214.5</v>
      </c>
      <c r="G8" s="22">
        <f t="shared" ref="G8:H11" si="0">G9</f>
        <v>3173.6</v>
      </c>
      <c r="H8" s="22">
        <f t="shared" si="0"/>
        <v>3173.6</v>
      </c>
    </row>
    <row r="9" spans="1:11" s="19" customFormat="1" ht="16.5" customHeight="1" x14ac:dyDescent="0.2">
      <c r="A9" s="23" t="s">
        <v>13</v>
      </c>
      <c r="B9" s="21" t="s">
        <v>8</v>
      </c>
      <c r="C9" s="21" t="s">
        <v>10</v>
      </c>
      <c r="D9" s="21" t="s">
        <v>14</v>
      </c>
      <c r="E9" s="21"/>
      <c r="F9" s="22">
        <f>F10</f>
        <v>3214.5</v>
      </c>
      <c r="G9" s="22">
        <f>G10</f>
        <v>3173.6</v>
      </c>
      <c r="H9" s="22">
        <f>H10</f>
        <v>3173.6</v>
      </c>
    </row>
    <row r="10" spans="1:11" s="19" customFormat="1" ht="27" customHeight="1" x14ac:dyDescent="0.2">
      <c r="A10" s="24" t="s">
        <v>15</v>
      </c>
      <c r="B10" s="21" t="s">
        <v>8</v>
      </c>
      <c r="C10" s="21" t="s">
        <v>10</v>
      </c>
      <c r="D10" s="25" t="s">
        <v>16</v>
      </c>
      <c r="E10" s="17"/>
      <c r="F10" s="22">
        <f>F11</f>
        <v>3214.5</v>
      </c>
      <c r="G10" s="22">
        <f t="shared" si="0"/>
        <v>3173.6</v>
      </c>
      <c r="H10" s="22">
        <f t="shared" si="0"/>
        <v>3173.6</v>
      </c>
    </row>
    <row r="11" spans="1:11" s="3" customFormat="1" ht="19.5" customHeight="1" x14ac:dyDescent="0.2">
      <c r="A11" s="20" t="s">
        <v>17</v>
      </c>
      <c r="B11" s="21" t="s">
        <v>8</v>
      </c>
      <c r="C11" s="21" t="s">
        <v>10</v>
      </c>
      <c r="D11" s="25" t="s">
        <v>18</v>
      </c>
      <c r="E11" s="21"/>
      <c r="F11" s="26">
        <f>F12</f>
        <v>3214.5</v>
      </c>
      <c r="G11" s="26">
        <f t="shared" si="0"/>
        <v>3173.6</v>
      </c>
      <c r="H11" s="26">
        <f t="shared" si="0"/>
        <v>3173.6</v>
      </c>
    </row>
    <row r="12" spans="1:11" s="3" customFormat="1" ht="27" customHeight="1" x14ac:dyDescent="0.2">
      <c r="A12" s="28" t="s">
        <v>19</v>
      </c>
      <c r="B12" s="21" t="s">
        <v>8</v>
      </c>
      <c r="C12" s="21" t="s">
        <v>10</v>
      </c>
      <c r="D12" s="25" t="s">
        <v>20</v>
      </c>
      <c r="E12" s="21" t="s">
        <v>21</v>
      </c>
      <c r="F12" s="26">
        <f>3114.5+100</f>
        <v>3214.5</v>
      </c>
      <c r="G12" s="26">
        <f>3114.5+59.1</f>
        <v>3173.6</v>
      </c>
      <c r="H12" s="26">
        <f>3114.5+59.1</f>
        <v>3173.6</v>
      </c>
    </row>
    <row r="13" spans="1:11" s="19" customFormat="1" ht="37.5" customHeight="1" x14ac:dyDescent="0.2">
      <c r="A13" s="29" t="s">
        <v>22</v>
      </c>
      <c r="B13" s="17" t="s">
        <v>8</v>
      </c>
      <c r="C13" s="17" t="s">
        <v>23</v>
      </c>
      <c r="D13" s="17"/>
      <c r="E13" s="17"/>
      <c r="F13" s="18">
        <f t="shared" ref="F13:H14" si="1">F14</f>
        <v>1062.5</v>
      </c>
      <c r="G13" s="18">
        <f t="shared" si="1"/>
        <v>1342.6</v>
      </c>
      <c r="H13" s="18">
        <f t="shared" si="1"/>
        <v>1342.6</v>
      </c>
    </row>
    <row r="14" spans="1:11" s="3" customFormat="1" ht="26.25" customHeight="1" x14ac:dyDescent="0.2">
      <c r="A14" s="30" t="s">
        <v>24</v>
      </c>
      <c r="B14" s="21" t="s">
        <v>8</v>
      </c>
      <c r="C14" s="21" t="s">
        <v>23</v>
      </c>
      <c r="D14" s="21" t="s">
        <v>25</v>
      </c>
      <c r="E14" s="21"/>
      <c r="F14" s="26">
        <f t="shared" si="1"/>
        <v>1062.5</v>
      </c>
      <c r="G14" s="26">
        <f t="shared" si="1"/>
        <v>1342.6</v>
      </c>
      <c r="H14" s="26">
        <f t="shared" si="1"/>
        <v>1342.6</v>
      </c>
    </row>
    <row r="15" spans="1:11" s="3" customFormat="1" ht="17.25" customHeight="1" x14ac:dyDescent="0.2">
      <c r="A15" s="31" t="s">
        <v>26</v>
      </c>
      <c r="B15" s="21" t="s">
        <v>8</v>
      </c>
      <c r="C15" s="21" t="s">
        <v>23</v>
      </c>
      <c r="D15" s="21" t="s">
        <v>27</v>
      </c>
      <c r="E15" s="21"/>
      <c r="F15" s="26">
        <f>F16+F17</f>
        <v>1062.5</v>
      </c>
      <c r="G15" s="26">
        <f>G16+G17</f>
        <v>1342.6</v>
      </c>
      <c r="H15" s="26">
        <f>H16+H17</f>
        <v>1342.6</v>
      </c>
    </row>
    <row r="16" spans="1:11" s="3" customFormat="1" ht="23.25" customHeight="1" x14ac:dyDescent="0.2">
      <c r="A16" s="27" t="s">
        <v>19</v>
      </c>
      <c r="B16" s="21" t="s">
        <v>8</v>
      </c>
      <c r="C16" s="21" t="s">
        <v>23</v>
      </c>
      <c r="D16" s="21" t="s">
        <v>27</v>
      </c>
      <c r="E16" s="21" t="s">
        <v>21</v>
      </c>
      <c r="F16" s="26">
        <f>288.8+8.7</f>
        <v>297.5</v>
      </c>
      <c r="G16" s="26">
        <v>577.6</v>
      </c>
      <c r="H16" s="26">
        <v>577.6</v>
      </c>
    </row>
    <row r="17" spans="1:8" s="3" customFormat="1" ht="25.5" customHeight="1" x14ac:dyDescent="0.2">
      <c r="A17" s="31" t="s">
        <v>28</v>
      </c>
      <c r="B17" s="21" t="s">
        <v>8</v>
      </c>
      <c r="C17" s="21" t="s">
        <v>23</v>
      </c>
      <c r="D17" s="21" t="s">
        <v>27</v>
      </c>
      <c r="E17" s="21" t="s">
        <v>29</v>
      </c>
      <c r="F17" s="26">
        <v>765</v>
      </c>
      <c r="G17" s="26">
        <v>765</v>
      </c>
      <c r="H17" s="26">
        <v>765</v>
      </c>
    </row>
    <row r="18" spans="1:8" s="19" customFormat="1" ht="39.75" customHeight="1" x14ac:dyDescent="0.2">
      <c r="A18" s="32" t="s">
        <v>30</v>
      </c>
      <c r="B18" s="17" t="s">
        <v>8</v>
      </c>
      <c r="C18" s="17" t="s">
        <v>31</v>
      </c>
      <c r="D18" s="17"/>
      <c r="E18" s="17"/>
      <c r="F18" s="18">
        <f>F19+F25+F43+F49</f>
        <v>55163.3</v>
      </c>
      <c r="G18" s="18">
        <f>G19+G25+G43+G49</f>
        <v>54342.9</v>
      </c>
      <c r="H18" s="18">
        <f>H19+H25+H43+H49</f>
        <v>53378.9</v>
      </c>
    </row>
    <row r="19" spans="1:8" s="3" customFormat="1" ht="29.25" customHeight="1" x14ac:dyDescent="0.2">
      <c r="A19" s="33" t="s">
        <v>32</v>
      </c>
      <c r="B19" s="21" t="s">
        <v>8</v>
      </c>
      <c r="C19" s="21" t="s">
        <v>31</v>
      </c>
      <c r="D19" s="34" t="s">
        <v>33</v>
      </c>
      <c r="E19" s="21"/>
      <c r="F19" s="26">
        <f t="shared" ref="F19:H21" si="2">F20</f>
        <v>1036.0999999999999</v>
      </c>
      <c r="G19" s="26">
        <f t="shared" si="2"/>
        <v>1036.0999999999999</v>
      </c>
      <c r="H19" s="26">
        <f t="shared" si="2"/>
        <v>1036.0999999999999</v>
      </c>
    </row>
    <row r="20" spans="1:8" s="3" customFormat="1" ht="16.5" customHeight="1" x14ac:dyDescent="0.2">
      <c r="A20" s="35" t="s">
        <v>13</v>
      </c>
      <c r="B20" s="21" t="s">
        <v>8</v>
      </c>
      <c r="C20" s="21" t="s">
        <v>31</v>
      </c>
      <c r="D20" s="34" t="s">
        <v>34</v>
      </c>
      <c r="E20" s="21"/>
      <c r="F20" s="26">
        <f t="shared" si="2"/>
        <v>1036.0999999999999</v>
      </c>
      <c r="G20" s="26">
        <f t="shared" si="2"/>
        <v>1036.0999999999999</v>
      </c>
      <c r="H20" s="26">
        <f t="shared" si="2"/>
        <v>1036.0999999999999</v>
      </c>
    </row>
    <row r="21" spans="1:8" s="3" customFormat="1" ht="38.25" customHeight="1" x14ac:dyDescent="0.2">
      <c r="A21" s="24" t="s">
        <v>35</v>
      </c>
      <c r="B21" s="21" t="s">
        <v>8</v>
      </c>
      <c r="C21" s="21" t="s">
        <v>31</v>
      </c>
      <c r="D21" s="36" t="s">
        <v>36</v>
      </c>
      <c r="E21" s="21"/>
      <c r="F21" s="26">
        <f t="shared" si="2"/>
        <v>1036.0999999999999</v>
      </c>
      <c r="G21" s="26">
        <f t="shared" si="2"/>
        <v>1036.0999999999999</v>
      </c>
      <c r="H21" s="26">
        <f t="shared" si="2"/>
        <v>1036.0999999999999</v>
      </c>
    </row>
    <row r="22" spans="1:8" s="3" customFormat="1" ht="103.5" customHeight="1" x14ac:dyDescent="0.2">
      <c r="A22" s="28" t="s">
        <v>37</v>
      </c>
      <c r="B22" s="21" t="s">
        <v>8</v>
      </c>
      <c r="C22" s="21" t="s">
        <v>31</v>
      </c>
      <c r="D22" s="36" t="s">
        <v>38</v>
      </c>
      <c r="E22" s="21"/>
      <c r="F22" s="26">
        <f>F24+F23</f>
        <v>1036.0999999999999</v>
      </c>
      <c r="G22" s="26">
        <f>G24+G23</f>
        <v>1036.0999999999999</v>
      </c>
      <c r="H22" s="26">
        <f>H24+H23</f>
        <v>1036.0999999999999</v>
      </c>
    </row>
    <row r="23" spans="1:8" s="3" customFormat="1" ht="27.75" customHeight="1" x14ac:dyDescent="0.2">
      <c r="A23" s="37" t="s">
        <v>19</v>
      </c>
      <c r="B23" s="21" t="s">
        <v>8</v>
      </c>
      <c r="C23" s="21" t="s">
        <v>31</v>
      </c>
      <c r="D23" s="36" t="s">
        <v>38</v>
      </c>
      <c r="E23" s="21" t="s">
        <v>21</v>
      </c>
      <c r="F23" s="26">
        <v>740.1</v>
      </c>
      <c r="G23" s="26">
        <v>740.1</v>
      </c>
      <c r="H23" s="26">
        <v>740.1</v>
      </c>
    </row>
    <row r="24" spans="1:8" s="3" customFormat="1" ht="24.75" customHeight="1" x14ac:dyDescent="0.2">
      <c r="A24" s="37" t="s">
        <v>28</v>
      </c>
      <c r="B24" s="21" t="s">
        <v>8</v>
      </c>
      <c r="C24" s="21" t="s">
        <v>31</v>
      </c>
      <c r="D24" s="36" t="s">
        <v>38</v>
      </c>
      <c r="E24" s="21" t="s">
        <v>29</v>
      </c>
      <c r="F24" s="26">
        <v>296</v>
      </c>
      <c r="G24" s="26">
        <v>296</v>
      </c>
      <c r="H24" s="26">
        <v>296</v>
      </c>
    </row>
    <row r="25" spans="1:8" s="3" customFormat="1" ht="24.75" customHeight="1" x14ac:dyDescent="0.2">
      <c r="A25" s="20" t="s">
        <v>11</v>
      </c>
      <c r="B25" s="21" t="s">
        <v>8</v>
      </c>
      <c r="C25" s="21" t="s">
        <v>31</v>
      </c>
      <c r="D25" s="36" t="s">
        <v>12</v>
      </c>
      <c r="E25" s="21"/>
      <c r="F25" s="26">
        <f>F26+F39</f>
        <v>52932.200000000004</v>
      </c>
      <c r="G25" s="26">
        <f>G26+G39</f>
        <v>52114.3</v>
      </c>
      <c r="H25" s="26">
        <f>H26+H39</f>
        <v>51150.3</v>
      </c>
    </row>
    <row r="26" spans="1:8" s="3" customFormat="1" ht="17.25" customHeight="1" x14ac:dyDescent="0.2">
      <c r="A26" s="23" t="s">
        <v>13</v>
      </c>
      <c r="B26" s="21" t="s">
        <v>8</v>
      </c>
      <c r="C26" s="21" t="s">
        <v>31</v>
      </c>
      <c r="D26" s="25" t="s">
        <v>14</v>
      </c>
      <c r="E26" s="21"/>
      <c r="F26" s="26">
        <f>F27+F36</f>
        <v>51621.200000000004</v>
      </c>
      <c r="G26" s="26">
        <f>G27+G36</f>
        <v>51314.3</v>
      </c>
      <c r="H26" s="26">
        <f>H27+H36</f>
        <v>50350.3</v>
      </c>
    </row>
    <row r="27" spans="1:8" s="3" customFormat="1" ht="25.5" x14ac:dyDescent="0.2">
      <c r="A27" s="24" t="s">
        <v>15</v>
      </c>
      <c r="B27" s="21" t="s">
        <v>8</v>
      </c>
      <c r="C27" s="21" t="s">
        <v>31</v>
      </c>
      <c r="D27" s="36" t="s">
        <v>16</v>
      </c>
      <c r="E27" s="21"/>
      <c r="F27" s="26">
        <f>F28+F34+F32</f>
        <v>50320.600000000006</v>
      </c>
      <c r="G27" s="26">
        <f>G28+G34+G32</f>
        <v>50615.600000000006</v>
      </c>
      <c r="H27" s="26">
        <f>H28+H34+H32</f>
        <v>49651.600000000006</v>
      </c>
    </row>
    <row r="28" spans="1:8" s="3" customFormat="1" ht="16.5" customHeight="1" x14ac:dyDescent="0.2">
      <c r="A28" s="38" t="s">
        <v>26</v>
      </c>
      <c r="B28" s="21" t="s">
        <v>8</v>
      </c>
      <c r="C28" s="21" t="s">
        <v>31</v>
      </c>
      <c r="D28" s="25" t="s">
        <v>39</v>
      </c>
      <c r="E28" s="21"/>
      <c r="F28" s="26">
        <f>F29+F30+F31</f>
        <v>21383.899999999998</v>
      </c>
      <c r="G28" s="26">
        <f>G29+G30+G31</f>
        <v>21678.899999999998</v>
      </c>
      <c r="H28" s="26">
        <f>H29+H30+H31</f>
        <v>20714.899999999998</v>
      </c>
    </row>
    <row r="29" spans="1:8" s="3" customFormat="1" ht="24.75" customHeight="1" x14ac:dyDescent="0.2">
      <c r="A29" s="20" t="s">
        <v>19</v>
      </c>
      <c r="B29" s="21" t="s">
        <v>8</v>
      </c>
      <c r="C29" s="21" t="s">
        <v>31</v>
      </c>
      <c r="D29" s="25" t="s">
        <v>39</v>
      </c>
      <c r="E29" s="21" t="s">
        <v>21</v>
      </c>
      <c r="F29" s="26">
        <f>10411.5+181+3997.8+13.8-417.6-740.1-485.7-452.2-676.1-229.3-19.4</f>
        <v>11583.699999999997</v>
      </c>
      <c r="G29" s="26">
        <f>10411.5+181+3997.8+13.8-740.1-485.7-495.5-676.1-227.6</f>
        <v>11979.099999999997</v>
      </c>
      <c r="H29" s="39">
        <f>10411.5+181+3997.8+13.8-740.1-485.7-513.5-676.1-227.6</f>
        <v>11961.099999999997</v>
      </c>
    </row>
    <row r="30" spans="1:8" s="3" customFormat="1" ht="24.75" customHeight="1" x14ac:dyDescent="0.2">
      <c r="A30" s="20" t="s">
        <v>28</v>
      </c>
      <c r="B30" s="21" t="s">
        <v>8</v>
      </c>
      <c r="C30" s="21" t="s">
        <v>31</v>
      </c>
      <c r="D30" s="25" t="s">
        <v>39</v>
      </c>
      <c r="E30" s="21" t="s">
        <v>29</v>
      </c>
      <c r="F30" s="26">
        <f>5755+3730+19.4</f>
        <v>9504.4</v>
      </c>
      <c r="G30" s="26">
        <f>5755+3649</f>
        <v>9404</v>
      </c>
      <c r="H30" s="26">
        <f>4809+3649</f>
        <v>8458</v>
      </c>
    </row>
    <row r="31" spans="1:8" s="3" customFormat="1" ht="16.5" customHeight="1" x14ac:dyDescent="0.2">
      <c r="A31" s="38" t="s">
        <v>40</v>
      </c>
      <c r="B31" s="21" t="s">
        <v>8</v>
      </c>
      <c r="C31" s="21" t="s">
        <v>31</v>
      </c>
      <c r="D31" s="25" t="s">
        <v>39</v>
      </c>
      <c r="E31" s="21" t="s">
        <v>41</v>
      </c>
      <c r="F31" s="26">
        <f>295.8</f>
        <v>295.8</v>
      </c>
      <c r="G31" s="22">
        <f>295.8</f>
        <v>295.8</v>
      </c>
      <c r="H31" s="22">
        <f>295.8</f>
        <v>295.8</v>
      </c>
    </row>
    <row r="32" spans="1:8" s="3" customFormat="1" ht="30" customHeight="1" x14ac:dyDescent="0.2">
      <c r="A32" s="31" t="s">
        <v>42</v>
      </c>
      <c r="B32" s="21" t="s">
        <v>8</v>
      </c>
      <c r="C32" s="21" t="s">
        <v>31</v>
      </c>
      <c r="D32" s="25" t="s">
        <v>43</v>
      </c>
      <c r="E32" s="21"/>
      <c r="F32" s="26">
        <f>F33</f>
        <v>28451.000000000004</v>
      </c>
      <c r="G32" s="26">
        <f>G33</f>
        <v>28451.000000000004</v>
      </c>
      <c r="H32" s="26">
        <f>H33</f>
        <v>28451.000000000004</v>
      </c>
    </row>
    <row r="33" spans="1:8" s="3" customFormat="1" ht="27.75" customHeight="1" x14ac:dyDescent="0.2">
      <c r="A33" s="31" t="s">
        <v>19</v>
      </c>
      <c r="B33" s="21" t="s">
        <v>8</v>
      </c>
      <c r="C33" s="21" t="s">
        <v>31</v>
      </c>
      <c r="D33" s="25" t="s">
        <v>43</v>
      </c>
      <c r="E33" s="21" t="s">
        <v>21</v>
      </c>
      <c r="F33" s="26">
        <f>879.7+25634.9+1936.4</f>
        <v>28451.000000000004</v>
      </c>
      <c r="G33" s="26">
        <f>879.7+25634.9+1936.4</f>
        <v>28451.000000000004</v>
      </c>
      <c r="H33" s="26">
        <f>879.7+25634.9+1936.4</f>
        <v>28451.000000000004</v>
      </c>
    </row>
    <row r="34" spans="1:8" s="3" customFormat="1" ht="69" customHeight="1" x14ac:dyDescent="0.2">
      <c r="A34" s="20" t="s">
        <v>44</v>
      </c>
      <c r="B34" s="21" t="s">
        <v>8</v>
      </c>
      <c r="C34" s="21" t="s">
        <v>31</v>
      </c>
      <c r="D34" s="25" t="s">
        <v>45</v>
      </c>
      <c r="E34" s="21"/>
      <c r="F34" s="26">
        <f>F35</f>
        <v>485.7</v>
      </c>
      <c r="G34" s="26">
        <f>G35</f>
        <v>485.7</v>
      </c>
      <c r="H34" s="26">
        <f>H35</f>
        <v>485.7</v>
      </c>
    </row>
    <row r="35" spans="1:8" s="3" customFormat="1" ht="24.75" customHeight="1" x14ac:dyDescent="0.2">
      <c r="A35" s="37" t="s">
        <v>19</v>
      </c>
      <c r="B35" s="21" t="s">
        <v>8</v>
      </c>
      <c r="C35" s="21" t="s">
        <v>31</v>
      </c>
      <c r="D35" s="25" t="s">
        <v>45</v>
      </c>
      <c r="E35" s="21" t="s">
        <v>21</v>
      </c>
      <c r="F35" s="26">
        <v>485.7</v>
      </c>
      <c r="G35" s="26">
        <v>485.7</v>
      </c>
      <c r="H35" s="26">
        <v>485.7</v>
      </c>
    </row>
    <row r="36" spans="1:8" s="3" customFormat="1" ht="54" customHeight="1" x14ac:dyDescent="0.2">
      <c r="A36" s="20" t="s">
        <v>46</v>
      </c>
      <c r="B36" s="21" t="s">
        <v>8</v>
      </c>
      <c r="C36" s="21" t="s">
        <v>31</v>
      </c>
      <c r="D36" s="25" t="s">
        <v>47</v>
      </c>
      <c r="E36" s="21"/>
      <c r="F36" s="26">
        <f t="shared" ref="F36:H37" si="3">F37</f>
        <v>1300.5999999999999</v>
      </c>
      <c r="G36" s="26">
        <f t="shared" si="3"/>
        <v>698.7</v>
      </c>
      <c r="H36" s="26">
        <f t="shared" si="3"/>
        <v>698.7</v>
      </c>
    </row>
    <row r="37" spans="1:8" s="3" customFormat="1" ht="18.75" customHeight="1" x14ac:dyDescent="0.2">
      <c r="A37" s="20" t="s">
        <v>48</v>
      </c>
      <c r="B37" s="21" t="s">
        <v>8</v>
      </c>
      <c r="C37" s="21" t="s">
        <v>31</v>
      </c>
      <c r="D37" s="25" t="s">
        <v>49</v>
      </c>
      <c r="E37" s="21"/>
      <c r="F37" s="26">
        <f t="shared" si="3"/>
        <v>1300.5999999999999</v>
      </c>
      <c r="G37" s="26">
        <f t="shared" si="3"/>
        <v>698.7</v>
      </c>
      <c r="H37" s="26">
        <f t="shared" si="3"/>
        <v>698.7</v>
      </c>
    </row>
    <row r="38" spans="1:8" s="3" customFormat="1" ht="24.75" customHeight="1" x14ac:dyDescent="0.2">
      <c r="A38" s="20" t="s">
        <v>28</v>
      </c>
      <c r="B38" s="21" t="s">
        <v>8</v>
      </c>
      <c r="C38" s="21" t="s">
        <v>31</v>
      </c>
      <c r="D38" s="25" t="s">
        <v>49</v>
      </c>
      <c r="E38" s="21" t="s">
        <v>29</v>
      </c>
      <c r="F38" s="26">
        <v>1300.5999999999999</v>
      </c>
      <c r="G38" s="26">
        <v>698.7</v>
      </c>
      <c r="H38" s="26">
        <v>698.7</v>
      </c>
    </row>
    <row r="39" spans="1:8" s="3" customFormat="1" ht="18.75" customHeight="1" x14ac:dyDescent="0.2">
      <c r="A39" s="40" t="s">
        <v>50</v>
      </c>
      <c r="B39" s="34" t="s">
        <v>8</v>
      </c>
      <c r="C39" s="34" t="s">
        <v>31</v>
      </c>
      <c r="D39" s="25" t="s">
        <v>51</v>
      </c>
      <c r="E39" s="21"/>
      <c r="F39" s="26">
        <f t="shared" ref="F39:H40" si="4">F40</f>
        <v>1311</v>
      </c>
      <c r="G39" s="26">
        <f t="shared" si="4"/>
        <v>800</v>
      </c>
      <c r="H39" s="26">
        <f t="shared" si="4"/>
        <v>800</v>
      </c>
    </row>
    <row r="40" spans="1:8" s="3" customFormat="1" ht="41.25" customHeight="1" x14ac:dyDescent="0.2">
      <c r="A40" s="40" t="s">
        <v>52</v>
      </c>
      <c r="B40" s="34" t="s">
        <v>8</v>
      </c>
      <c r="C40" s="34" t="s">
        <v>31</v>
      </c>
      <c r="D40" s="25" t="s">
        <v>53</v>
      </c>
      <c r="E40" s="21"/>
      <c r="F40" s="26">
        <f t="shared" si="4"/>
        <v>1311</v>
      </c>
      <c r="G40" s="26">
        <f t="shared" si="4"/>
        <v>800</v>
      </c>
      <c r="H40" s="26">
        <f t="shared" si="4"/>
        <v>800</v>
      </c>
    </row>
    <row r="41" spans="1:8" s="3" customFormat="1" ht="39" customHeight="1" x14ac:dyDescent="0.2">
      <c r="A41" s="20" t="s">
        <v>54</v>
      </c>
      <c r="B41" s="34" t="s">
        <v>8</v>
      </c>
      <c r="C41" s="34" t="s">
        <v>31</v>
      </c>
      <c r="D41" s="25" t="s">
        <v>55</v>
      </c>
      <c r="E41" s="21"/>
      <c r="F41" s="26">
        <f>F42</f>
        <v>1311</v>
      </c>
      <c r="G41" s="26">
        <f>G42</f>
        <v>800</v>
      </c>
      <c r="H41" s="26">
        <f>H42</f>
        <v>800</v>
      </c>
    </row>
    <row r="42" spans="1:8" s="3" customFormat="1" ht="24.75" customHeight="1" x14ac:dyDescent="0.2">
      <c r="A42" s="20" t="s">
        <v>28</v>
      </c>
      <c r="B42" s="34" t="s">
        <v>8</v>
      </c>
      <c r="C42" s="34" t="s">
        <v>31</v>
      </c>
      <c r="D42" s="25" t="s">
        <v>55</v>
      </c>
      <c r="E42" s="21" t="s">
        <v>29</v>
      </c>
      <c r="F42" s="26">
        <f>1911-600</f>
        <v>1311</v>
      </c>
      <c r="G42" s="26">
        <v>800</v>
      </c>
      <c r="H42" s="26">
        <v>800</v>
      </c>
    </row>
    <row r="43" spans="1:8" s="3" customFormat="1" ht="39.75" customHeight="1" x14ac:dyDescent="0.2">
      <c r="A43" s="41" t="s">
        <v>56</v>
      </c>
      <c r="B43" s="21" t="s">
        <v>8</v>
      </c>
      <c r="C43" s="21" t="s">
        <v>31</v>
      </c>
      <c r="D43" s="36" t="s">
        <v>57</v>
      </c>
      <c r="E43" s="21"/>
      <c r="F43" s="26">
        <f t="shared" ref="F43:H45" si="5">F44</f>
        <v>852.8</v>
      </c>
      <c r="G43" s="26">
        <f t="shared" si="5"/>
        <v>852.8</v>
      </c>
      <c r="H43" s="26">
        <f t="shared" si="5"/>
        <v>852.8</v>
      </c>
    </row>
    <row r="44" spans="1:8" s="3" customFormat="1" ht="18" customHeight="1" x14ac:dyDescent="0.2">
      <c r="A44" s="42" t="s">
        <v>13</v>
      </c>
      <c r="B44" s="21" t="s">
        <v>8</v>
      </c>
      <c r="C44" s="21" t="s">
        <v>31</v>
      </c>
      <c r="D44" s="25" t="s">
        <v>58</v>
      </c>
      <c r="E44" s="21"/>
      <c r="F44" s="26">
        <f t="shared" si="5"/>
        <v>852.8</v>
      </c>
      <c r="G44" s="26">
        <f t="shared" si="5"/>
        <v>852.8</v>
      </c>
      <c r="H44" s="26">
        <f t="shared" si="5"/>
        <v>852.8</v>
      </c>
    </row>
    <row r="45" spans="1:8" s="3" customFormat="1" ht="24.75" customHeight="1" x14ac:dyDescent="0.2">
      <c r="A45" s="42" t="s">
        <v>59</v>
      </c>
      <c r="B45" s="21" t="s">
        <v>8</v>
      </c>
      <c r="C45" s="21" t="s">
        <v>31</v>
      </c>
      <c r="D45" s="25" t="s">
        <v>60</v>
      </c>
      <c r="E45" s="21"/>
      <c r="F45" s="26">
        <f t="shared" si="5"/>
        <v>852.8</v>
      </c>
      <c r="G45" s="26">
        <f t="shared" si="5"/>
        <v>852.8</v>
      </c>
      <c r="H45" s="26">
        <f t="shared" si="5"/>
        <v>852.8</v>
      </c>
    </row>
    <row r="46" spans="1:8" s="3" customFormat="1" ht="67.5" customHeight="1" x14ac:dyDescent="0.2">
      <c r="A46" s="43" t="s">
        <v>61</v>
      </c>
      <c r="B46" s="21" t="s">
        <v>8</v>
      </c>
      <c r="C46" s="21" t="s">
        <v>31</v>
      </c>
      <c r="D46" s="36" t="s">
        <v>62</v>
      </c>
      <c r="E46" s="21"/>
      <c r="F46" s="26">
        <f>F47+F48</f>
        <v>852.8</v>
      </c>
      <c r="G46" s="26">
        <f>G47+G48</f>
        <v>852.8</v>
      </c>
      <c r="H46" s="26">
        <f>H47+H48</f>
        <v>852.8</v>
      </c>
    </row>
    <row r="47" spans="1:8" s="3" customFormat="1" ht="24.75" customHeight="1" x14ac:dyDescent="0.2">
      <c r="A47" s="43" t="s">
        <v>19</v>
      </c>
      <c r="B47" s="21" t="s">
        <v>8</v>
      </c>
      <c r="C47" s="21" t="s">
        <v>31</v>
      </c>
      <c r="D47" s="36" t="s">
        <v>62</v>
      </c>
      <c r="E47" s="21" t="s">
        <v>21</v>
      </c>
      <c r="F47" s="26">
        <v>676.1</v>
      </c>
      <c r="G47" s="26">
        <v>676.1</v>
      </c>
      <c r="H47" s="26">
        <v>676.1</v>
      </c>
    </row>
    <row r="48" spans="1:8" s="3" customFormat="1" ht="24.75" customHeight="1" x14ac:dyDescent="0.2">
      <c r="A48" s="43" t="s">
        <v>28</v>
      </c>
      <c r="B48" s="21" t="s">
        <v>8</v>
      </c>
      <c r="C48" s="21" t="s">
        <v>31</v>
      </c>
      <c r="D48" s="36" t="s">
        <v>62</v>
      </c>
      <c r="E48" s="21" t="s">
        <v>29</v>
      </c>
      <c r="F48" s="26">
        <f>176.7</f>
        <v>176.7</v>
      </c>
      <c r="G48" s="26">
        <f>176.7</f>
        <v>176.7</v>
      </c>
      <c r="H48" s="26">
        <f>176.7</f>
        <v>176.7</v>
      </c>
    </row>
    <row r="49" spans="1:13" s="3" customFormat="1" ht="38.25" customHeight="1" x14ac:dyDescent="0.2">
      <c r="A49" s="44" t="s">
        <v>63</v>
      </c>
      <c r="B49" s="21" t="s">
        <v>8</v>
      </c>
      <c r="C49" s="21" t="s">
        <v>31</v>
      </c>
      <c r="D49" s="25" t="s">
        <v>64</v>
      </c>
      <c r="E49" s="21"/>
      <c r="F49" s="26">
        <f t="shared" ref="F49:H51" si="6">F50</f>
        <v>342.20000000000005</v>
      </c>
      <c r="G49" s="26">
        <f t="shared" si="6"/>
        <v>339.7</v>
      </c>
      <c r="H49" s="26">
        <f t="shared" si="6"/>
        <v>339.7</v>
      </c>
    </row>
    <row r="50" spans="1:13" s="3" customFormat="1" ht="15.75" customHeight="1" x14ac:dyDescent="0.2">
      <c r="A50" s="40" t="s">
        <v>13</v>
      </c>
      <c r="B50" s="21" t="s">
        <v>8</v>
      </c>
      <c r="C50" s="21" t="s">
        <v>31</v>
      </c>
      <c r="D50" s="25" t="s">
        <v>65</v>
      </c>
      <c r="E50" s="21"/>
      <c r="F50" s="26">
        <f t="shared" si="6"/>
        <v>342.20000000000005</v>
      </c>
      <c r="G50" s="26">
        <f t="shared" si="6"/>
        <v>339.7</v>
      </c>
      <c r="H50" s="26">
        <f t="shared" si="6"/>
        <v>339.7</v>
      </c>
    </row>
    <row r="51" spans="1:13" s="3" customFormat="1" ht="24.75" customHeight="1" x14ac:dyDescent="0.2">
      <c r="A51" s="42" t="s">
        <v>66</v>
      </c>
      <c r="B51" s="21" t="s">
        <v>8</v>
      </c>
      <c r="C51" s="21" t="s">
        <v>31</v>
      </c>
      <c r="D51" s="25" t="s">
        <v>67</v>
      </c>
      <c r="E51" s="21"/>
      <c r="F51" s="26">
        <f t="shared" si="6"/>
        <v>342.20000000000005</v>
      </c>
      <c r="G51" s="26">
        <f t="shared" si="6"/>
        <v>339.7</v>
      </c>
      <c r="H51" s="26">
        <f t="shared" si="6"/>
        <v>339.7</v>
      </c>
    </row>
    <row r="52" spans="1:13" s="3" customFormat="1" ht="63.75" customHeight="1" x14ac:dyDescent="0.2">
      <c r="A52" s="40" t="s">
        <v>68</v>
      </c>
      <c r="B52" s="21" t="s">
        <v>8</v>
      </c>
      <c r="C52" s="21" t="s">
        <v>31</v>
      </c>
      <c r="D52" s="25" t="s">
        <v>69</v>
      </c>
      <c r="E52" s="21"/>
      <c r="F52" s="26">
        <f>F53+F54</f>
        <v>342.20000000000005</v>
      </c>
      <c r="G52" s="26">
        <f>G53+G54</f>
        <v>339.7</v>
      </c>
      <c r="H52" s="26">
        <f>H53+H54</f>
        <v>339.7</v>
      </c>
    </row>
    <row r="53" spans="1:13" s="3" customFormat="1" ht="24.75" customHeight="1" x14ac:dyDescent="0.2">
      <c r="A53" s="20" t="s">
        <v>19</v>
      </c>
      <c r="B53" s="21" t="s">
        <v>8</v>
      </c>
      <c r="C53" s="21" t="s">
        <v>31</v>
      </c>
      <c r="D53" s="25" t="s">
        <v>69</v>
      </c>
      <c r="E53" s="21" t="s">
        <v>21</v>
      </c>
      <c r="F53" s="26">
        <v>229.3</v>
      </c>
      <c r="G53" s="26">
        <v>227.6</v>
      </c>
      <c r="H53" s="26">
        <v>227.6</v>
      </c>
    </row>
    <row r="54" spans="1:13" s="3" customFormat="1" ht="30.75" customHeight="1" x14ac:dyDescent="0.2">
      <c r="A54" s="20" t="s">
        <v>28</v>
      </c>
      <c r="B54" s="21" t="s">
        <v>8</v>
      </c>
      <c r="C54" s="21" t="s">
        <v>31</v>
      </c>
      <c r="D54" s="25" t="s">
        <v>69</v>
      </c>
      <c r="E54" s="21" t="s">
        <v>29</v>
      </c>
      <c r="F54" s="26">
        <v>112.9</v>
      </c>
      <c r="G54" s="26">
        <v>112.1</v>
      </c>
      <c r="H54" s="26">
        <v>112.1</v>
      </c>
    </row>
    <row r="55" spans="1:13" s="46" customFormat="1" ht="14.25" customHeight="1" x14ac:dyDescent="0.2">
      <c r="A55" s="45" t="s">
        <v>70</v>
      </c>
      <c r="B55" s="17" t="s">
        <v>8</v>
      </c>
      <c r="C55" s="17" t="s">
        <v>71</v>
      </c>
      <c r="D55" s="34"/>
      <c r="E55" s="21"/>
      <c r="F55" s="26">
        <f t="shared" ref="F55:H57" si="7">F56</f>
        <v>1.7</v>
      </c>
      <c r="G55" s="26">
        <f t="shared" si="7"/>
        <v>12.2</v>
      </c>
      <c r="H55" s="26">
        <f t="shared" si="7"/>
        <v>1.7</v>
      </c>
      <c r="I55" s="3"/>
      <c r="J55" s="3"/>
      <c r="K55" s="3"/>
    </row>
    <row r="56" spans="1:13" s="3" customFormat="1" ht="14.25" customHeight="1" x14ac:dyDescent="0.2">
      <c r="A56" s="31" t="s">
        <v>72</v>
      </c>
      <c r="B56" s="21" t="s">
        <v>8</v>
      </c>
      <c r="C56" s="21" t="s">
        <v>71</v>
      </c>
      <c r="D56" s="21" t="s">
        <v>73</v>
      </c>
      <c r="E56" s="21"/>
      <c r="F56" s="26">
        <f t="shared" si="7"/>
        <v>1.7</v>
      </c>
      <c r="G56" s="26">
        <f t="shared" si="7"/>
        <v>12.2</v>
      </c>
      <c r="H56" s="26">
        <f>H57</f>
        <v>1.7</v>
      </c>
    </row>
    <row r="57" spans="1:13" s="3" customFormat="1" ht="37.5" customHeight="1" x14ac:dyDescent="0.2">
      <c r="A57" s="31" t="s">
        <v>74</v>
      </c>
      <c r="B57" s="21" t="s">
        <v>8</v>
      </c>
      <c r="C57" s="21" t="s">
        <v>71</v>
      </c>
      <c r="D57" s="34" t="s">
        <v>75</v>
      </c>
      <c r="E57" s="21"/>
      <c r="F57" s="26">
        <f t="shared" si="7"/>
        <v>1.7</v>
      </c>
      <c r="G57" s="26">
        <f t="shared" si="7"/>
        <v>12.2</v>
      </c>
      <c r="H57" s="26">
        <f t="shared" si="7"/>
        <v>1.7</v>
      </c>
    </row>
    <row r="58" spans="1:13" s="3" customFormat="1" ht="24.75" customHeight="1" x14ac:dyDescent="0.2">
      <c r="A58" s="31" t="s">
        <v>28</v>
      </c>
      <c r="B58" s="21" t="s">
        <v>8</v>
      </c>
      <c r="C58" s="21" t="s">
        <v>71</v>
      </c>
      <c r="D58" s="34" t="s">
        <v>75</v>
      </c>
      <c r="E58" s="21" t="s">
        <v>29</v>
      </c>
      <c r="F58" s="26">
        <v>1.7</v>
      </c>
      <c r="G58" s="26">
        <v>12.2</v>
      </c>
      <c r="H58" s="26">
        <v>1.7</v>
      </c>
    </row>
    <row r="59" spans="1:13" s="19" customFormat="1" ht="37.5" customHeight="1" x14ac:dyDescent="0.2">
      <c r="A59" s="32" t="s">
        <v>76</v>
      </c>
      <c r="B59" s="17" t="s">
        <v>8</v>
      </c>
      <c r="C59" s="17" t="s">
        <v>77</v>
      </c>
      <c r="D59" s="17"/>
      <c r="E59" s="17"/>
      <c r="F59" s="18">
        <f>F63+F60+F67</f>
        <v>11728.5</v>
      </c>
      <c r="G59" s="18">
        <f>G63+G60+G67</f>
        <v>11449.2</v>
      </c>
      <c r="H59" s="18">
        <f>H63+H60+H67</f>
        <v>11419.2</v>
      </c>
    </row>
    <row r="60" spans="1:13" s="3" customFormat="1" ht="15" customHeight="1" x14ac:dyDescent="0.2">
      <c r="A60" s="31" t="s">
        <v>72</v>
      </c>
      <c r="B60" s="21" t="s">
        <v>8</v>
      </c>
      <c r="C60" s="21" t="s">
        <v>77</v>
      </c>
      <c r="D60" s="21" t="s">
        <v>73</v>
      </c>
      <c r="E60" s="21"/>
      <c r="F60" s="22">
        <f t="shared" ref="F60:H61" si="8">F61</f>
        <v>47.4</v>
      </c>
      <c r="G60" s="22">
        <f t="shared" si="8"/>
        <v>47.1</v>
      </c>
      <c r="H60" s="22">
        <f t="shared" si="8"/>
        <v>47.1</v>
      </c>
    </row>
    <row r="61" spans="1:13" s="3" customFormat="1" ht="76.5" customHeight="1" x14ac:dyDescent="0.2">
      <c r="A61" s="31" t="s">
        <v>78</v>
      </c>
      <c r="B61" s="21" t="s">
        <v>8</v>
      </c>
      <c r="C61" s="21" t="s">
        <v>77</v>
      </c>
      <c r="D61" s="34" t="s">
        <v>79</v>
      </c>
      <c r="E61" s="21"/>
      <c r="F61" s="26">
        <f t="shared" si="8"/>
        <v>47.4</v>
      </c>
      <c r="G61" s="26">
        <f t="shared" si="8"/>
        <v>47.1</v>
      </c>
      <c r="H61" s="26">
        <f t="shared" si="8"/>
        <v>47.1</v>
      </c>
      <c r="M61" s="47"/>
    </row>
    <row r="62" spans="1:13" s="3" customFormat="1" ht="25.5" customHeight="1" x14ac:dyDescent="0.2">
      <c r="A62" s="31" t="s">
        <v>19</v>
      </c>
      <c r="B62" s="21" t="s">
        <v>8</v>
      </c>
      <c r="C62" s="21" t="s">
        <v>77</v>
      </c>
      <c r="D62" s="34" t="s">
        <v>79</v>
      </c>
      <c r="E62" s="21" t="s">
        <v>21</v>
      </c>
      <c r="F62" s="26">
        <v>47.4</v>
      </c>
      <c r="G62" s="26">
        <v>47.1</v>
      </c>
      <c r="H62" s="26">
        <v>47.1</v>
      </c>
    </row>
    <row r="63" spans="1:13" s="48" customFormat="1" ht="12.75" customHeight="1" x14ac:dyDescent="0.2">
      <c r="A63" s="49" t="s">
        <v>81</v>
      </c>
      <c r="B63" s="21" t="s">
        <v>8</v>
      </c>
      <c r="C63" s="21" t="s">
        <v>77</v>
      </c>
      <c r="D63" s="21" t="s">
        <v>80</v>
      </c>
      <c r="E63" s="21"/>
      <c r="F63" s="22">
        <f>F64</f>
        <v>1211.9000000000001</v>
      </c>
      <c r="G63" s="22">
        <f>G64</f>
        <v>1211.9000000000001</v>
      </c>
      <c r="H63" s="22">
        <f>H64</f>
        <v>1211.9000000000001</v>
      </c>
      <c r="I63" s="19"/>
      <c r="J63" s="19"/>
      <c r="K63" s="19"/>
    </row>
    <row r="64" spans="1:13" s="48" customFormat="1" ht="17.25" customHeight="1" x14ac:dyDescent="0.2">
      <c r="A64" s="136" t="s">
        <v>26</v>
      </c>
      <c r="B64" s="21" t="s">
        <v>8</v>
      </c>
      <c r="C64" s="21" t="s">
        <v>77</v>
      </c>
      <c r="D64" s="21" t="s">
        <v>82</v>
      </c>
      <c r="E64" s="21"/>
      <c r="F64" s="22">
        <f>F65+F66</f>
        <v>1211.9000000000001</v>
      </c>
      <c r="G64" s="22">
        <f>G65+G66</f>
        <v>1211.9000000000001</v>
      </c>
      <c r="H64" s="22">
        <f>H65+H66</f>
        <v>1211.9000000000001</v>
      </c>
      <c r="I64" s="19"/>
      <c r="J64" s="19"/>
      <c r="K64" s="19"/>
    </row>
    <row r="65" spans="1:11" s="48" customFormat="1" ht="25.5" customHeight="1" x14ac:dyDescent="0.2">
      <c r="A65" s="31" t="s">
        <v>19</v>
      </c>
      <c r="B65" s="21" t="s">
        <v>8</v>
      </c>
      <c r="C65" s="21" t="s">
        <v>77</v>
      </c>
      <c r="D65" s="21" t="s">
        <v>82</v>
      </c>
      <c r="E65" s="21" t="s">
        <v>21</v>
      </c>
      <c r="F65" s="22">
        <f>948.2+8</f>
        <v>956.2</v>
      </c>
      <c r="G65" s="22">
        <f>948.2+8</f>
        <v>956.2</v>
      </c>
      <c r="H65" s="22">
        <f>948.2+8</f>
        <v>956.2</v>
      </c>
      <c r="I65" s="19"/>
      <c r="J65" s="19"/>
      <c r="K65" s="19"/>
    </row>
    <row r="66" spans="1:11" s="48" customFormat="1" ht="25.5" customHeight="1" x14ac:dyDescent="0.2">
      <c r="A66" s="31" t="s">
        <v>28</v>
      </c>
      <c r="B66" s="21" t="s">
        <v>8</v>
      </c>
      <c r="C66" s="21" t="s">
        <v>77</v>
      </c>
      <c r="D66" s="21" t="s">
        <v>82</v>
      </c>
      <c r="E66" s="21" t="s">
        <v>29</v>
      </c>
      <c r="F66" s="22">
        <v>255.7</v>
      </c>
      <c r="G66" s="22">
        <v>255.7</v>
      </c>
      <c r="H66" s="22">
        <v>255.7</v>
      </c>
      <c r="I66" s="19"/>
      <c r="J66" s="19"/>
      <c r="K66" s="19"/>
    </row>
    <row r="67" spans="1:11" s="50" customFormat="1" ht="26.25" customHeight="1" x14ac:dyDescent="0.2">
      <c r="A67" s="20" t="s">
        <v>83</v>
      </c>
      <c r="B67" s="34" t="s">
        <v>8</v>
      </c>
      <c r="C67" s="34" t="s">
        <v>77</v>
      </c>
      <c r="D67" s="25" t="s">
        <v>84</v>
      </c>
      <c r="E67" s="34"/>
      <c r="F67" s="26">
        <f t="shared" ref="F67:H68" si="9">F68</f>
        <v>10469.200000000001</v>
      </c>
      <c r="G67" s="26">
        <f t="shared" si="9"/>
        <v>10190.200000000001</v>
      </c>
      <c r="H67" s="26">
        <f t="shared" si="9"/>
        <v>10160.200000000001</v>
      </c>
      <c r="I67" s="3"/>
      <c r="J67" s="3"/>
      <c r="K67" s="3"/>
    </row>
    <row r="68" spans="1:11" s="50" customFormat="1" ht="18.75" customHeight="1" x14ac:dyDescent="0.2">
      <c r="A68" s="41" t="s">
        <v>13</v>
      </c>
      <c r="B68" s="34" t="s">
        <v>8</v>
      </c>
      <c r="C68" s="34" t="s">
        <v>77</v>
      </c>
      <c r="D68" s="25" t="s">
        <v>85</v>
      </c>
      <c r="E68" s="34"/>
      <c r="F68" s="26">
        <f t="shared" si="9"/>
        <v>10469.200000000001</v>
      </c>
      <c r="G68" s="26">
        <f t="shared" si="9"/>
        <v>10190.200000000001</v>
      </c>
      <c r="H68" s="26">
        <f t="shared" si="9"/>
        <v>10160.200000000001</v>
      </c>
      <c r="I68" s="3"/>
      <c r="J68" s="3"/>
      <c r="K68" s="3"/>
    </row>
    <row r="69" spans="1:11" s="50" customFormat="1" ht="28.5" customHeight="1" x14ac:dyDescent="0.2">
      <c r="A69" s="41" t="s">
        <v>86</v>
      </c>
      <c r="B69" s="34" t="s">
        <v>8</v>
      </c>
      <c r="C69" s="34" t="s">
        <v>77</v>
      </c>
      <c r="D69" s="25" t="s">
        <v>87</v>
      </c>
      <c r="E69" s="51"/>
      <c r="F69" s="26">
        <f>F70+F74</f>
        <v>10469.200000000001</v>
      </c>
      <c r="G69" s="26">
        <f>G70+G74</f>
        <v>10190.200000000001</v>
      </c>
      <c r="H69" s="26">
        <f>H70+H74</f>
        <v>10160.200000000001</v>
      </c>
      <c r="I69" s="3"/>
      <c r="J69" s="3"/>
      <c r="K69" s="3"/>
    </row>
    <row r="70" spans="1:11" s="50" customFormat="1" ht="15" customHeight="1" x14ac:dyDescent="0.2">
      <c r="A70" s="44" t="s">
        <v>26</v>
      </c>
      <c r="B70" s="34" t="s">
        <v>8</v>
      </c>
      <c r="C70" s="34" t="s">
        <v>77</v>
      </c>
      <c r="D70" s="25" t="s">
        <v>88</v>
      </c>
      <c r="E70" s="51"/>
      <c r="F70" s="26">
        <f>F71+F72+F73</f>
        <v>10444.200000000001</v>
      </c>
      <c r="G70" s="26">
        <f>G71+G72+G73</f>
        <v>10165.200000000001</v>
      </c>
      <c r="H70" s="26">
        <f>H71+H72+H73</f>
        <v>10135.200000000001</v>
      </c>
      <c r="I70" s="3"/>
      <c r="J70" s="3"/>
      <c r="K70" s="3"/>
    </row>
    <row r="71" spans="1:11" s="50" customFormat="1" ht="25.5" customHeight="1" x14ac:dyDescent="0.2">
      <c r="A71" s="20" t="s">
        <v>19</v>
      </c>
      <c r="B71" s="34" t="s">
        <v>8</v>
      </c>
      <c r="C71" s="34" t="s">
        <v>77</v>
      </c>
      <c r="D71" s="25" t="s">
        <v>88</v>
      </c>
      <c r="E71" s="51" t="s">
        <v>21</v>
      </c>
      <c r="F71" s="26">
        <f>9501.4+30.2+279</f>
        <v>9810.6</v>
      </c>
      <c r="G71" s="26">
        <f>9501.4+30.2</f>
        <v>9531.6</v>
      </c>
      <c r="H71" s="26">
        <f>9501.4+30.2</f>
        <v>9531.6</v>
      </c>
      <c r="I71" s="3"/>
      <c r="J71" s="3"/>
      <c r="K71" s="3"/>
    </row>
    <row r="72" spans="1:11" s="50" customFormat="1" ht="25.5" customHeight="1" x14ac:dyDescent="0.2">
      <c r="A72" s="20" t="s">
        <v>28</v>
      </c>
      <c r="B72" s="34" t="s">
        <v>8</v>
      </c>
      <c r="C72" s="34" t="s">
        <v>77</v>
      </c>
      <c r="D72" s="25" t="s">
        <v>88</v>
      </c>
      <c r="E72" s="51" t="s">
        <v>29</v>
      </c>
      <c r="F72" s="26">
        <v>632.6</v>
      </c>
      <c r="G72" s="26">
        <v>632.6</v>
      </c>
      <c r="H72" s="26">
        <f>632.6-30</f>
        <v>602.6</v>
      </c>
      <c r="I72" s="3"/>
      <c r="J72" s="3"/>
      <c r="K72" s="3"/>
    </row>
    <row r="73" spans="1:11" s="50" customFormat="1" ht="12.75" customHeight="1" x14ac:dyDescent="0.2">
      <c r="A73" s="20" t="s">
        <v>40</v>
      </c>
      <c r="B73" s="34" t="s">
        <v>8</v>
      </c>
      <c r="C73" s="34" t="s">
        <v>77</v>
      </c>
      <c r="D73" s="25" t="s">
        <v>88</v>
      </c>
      <c r="E73" s="51" t="s">
        <v>41</v>
      </c>
      <c r="F73" s="26">
        <v>1</v>
      </c>
      <c r="G73" s="26">
        <v>1</v>
      </c>
      <c r="H73" s="26">
        <v>1</v>
      </c>
      <c r="I73" s="3"/>
      <c r="J73" s="3"/>
      <c r="K73" s="3"/>
    </row>
    <row r="74" spans="1:11" s="50" customFormat="1" ht="25.5" customHeight="1" x14ac:dyDescent="0.2">
      <c r="A74" s="20" t="s">
        <v>142</v>
      </c>
      <c r="B74" s="34" t="s">
        <v>8</v>
      </c>
      <c r="C74" s="34" t="s">
        <v>77</v>
      </c>
      <c r="D74" s="25" t="s">
        <v>89</v>
      </c>
      <c r="E74" s="34"/>
      <c r="F74" s="26">
        <f>F75</f>
        <v>25</v>
      </c>
      <c r="G74" s="26">
        <f>G75</f>
        <v>25</v>
      </c>
      <c r="H74" s="26">
        <f>H75</f>
        <v>25</v>
      </c>
      <c r="I74" s="3"/>
      <c r="J74" s="3"/>
      <c r="K74" s="3"/>
    </row>
    <row r="75" spans="1:11" s="50" customFormat="1" ht="25.5" customHeight="1" x14ac:dyDescent="0.2">
      <c r="A75" s="20" t="s">
        <v>28</v>
      </c>
      <c r="B75" s="34" t="s">
        <v>8</v>
      </c>
      <c r="C75" s="34" t="s">
        <v>77</v>
      </c>
      <c r="D75" s="25" t="s">
        <v>89</v>
      </c>
      <c r="E75" s="34" t="s">
        <v>29</v>
      </c>
      <c r="F75" s="26">
        <v>25</v>
      </c>
      <c r="G75" s="26">
        <v>25</v>
      </c>
      <c r="H75" s="26">
        <v>25</v>
      </c>
      <c r="I75" s="3"/>
      <c r="J75" s="3"/>
      <c r="K75" s="3"/>
    </row>
    <row r="76" spans="1:11" s="50" customFormat="1" ht="15.75" hidden="1" customHeight="1" x14ac:dyDescent="0.2">
      <c r="A76" s="52" t="s">
        <v>90</v>
      </c>
      <c r="B76" s="17" t="s">
        <v>8</v>
      </c>
      <c r="C76" s="17" t="s">
        <v>91</v>
      </c>
      <c r="D76" s="25"/>
      <c r="E76" s="34"/>
      <c r="F76" s="53">
        <f t="shared" ref="F76:H78" si="10">F77</f>
        <v>0</v>
      </c>
      <c r="G76" s="53">
        <f t="shared" si="10"/>
        <v>0</v>
      </c>
      <c r="H76" s="53">
        <f t="shared" si="10"/>
        <v>0</v>
      </c>
      <c r="I76" s="3"/>
      <c r="J76" s="3"/>
      <c r="K76" s="3"/>
    </row>
    <row r="77" spans="1:11" s="50" customFormat="1" ht="12.75" hidden="1" customHeight="1" x14ac:dyDescent="0.2">
      <c r="A77" s="31" t="s">
        <v>92</v>
      </c>
      <c r="B77" s="21" t="s">
        <v>8</v>
      </c>
      <c r="C77" s="21" t="s">
        <v>91</v>
      </c>
      <c r="D77" s="25" t="s">
        <v>93</v>
      </c>
      <c r="E77" s="34"/>
      <c r="F77" s="26">
        <f t="shared" si="10"/>
        <v>0</v>
      </c>
      <c r="G77" s="26">
        <f t="shared" si="10"/>
        <v>0</v>
      </c>
      <c r="H77" s="26">
        <f t="shared" si="10"/>
        <v>0</v>
      </c>
      <c r="I77" s="3"/>
      <c r="J77" s="3"/>
      <c r="K77" s="3"/>
    </row>
    <row r="78" spans="1:11" s="50" customFormat="1" ht="12.75" hidden="1" customHeight="1" x14ac:dyDescent="0.2">
      <c r="A78" s="31" t="s">
        <v>94</v>
      </c>
      <c r="B78" s="21" t="s">
        <v>8</v>
      </c>
      <c r="C78" s="21" t="s">
        <v>91</v>
      </c>
      <c r="D78" s="25" t="s">
        <v>95</v>
      </c>
      <c r="E78" s="34"/>
      <c r="F78" s="26">
        <f t="shared" si="10"/>
        <v>0</v>
      </c>
      <c r="G78" s="26">
        <f t="shared" si="10"/>
        <v>0</v>
      </c>
      <c r="H78" s="26">
        <f t="shared" si="10"/>
        <v>0</v>
      </c>
      <c r="I78" s="3"/>
      <c r="J78" s="3"/>
      <c r="K78" s="3"/>
    </row>
    <row r="79" spans="1:11" s="50" customFormat="1" ht="12.75" hidden="1" customHeight="1" x14ac:dyDescent="0.2">
      <c r="A79" s="31" t="s">
        <v>96</v>
      </c>
      <c r="B79" s="21" t="s">
        <v>8</v>
      </c>
      <c r="C79" s="21" t="s">
        <v>91</v>
      </c>
      <c r="D79" s="25" t="s">
        <v>95</v>
      </c>
      <c r="E79" s="34" t="s">
        <v>97</v>
      </c>
      <c r="F79" s="26"/>
      <c r="G79" s="26">
        <v>0</v>
      </c>
      <c r="H79" s="26">
        <v>0</v>
      </c>
      <c r="I79" s="3"/>
      <c r="J79" s="3"/>
      <c r="K79" s="3"/>
    </row>
    <row r="80" spans="1:11" s="19" customFormat="1" ht="15" customHeight="1" x14ac:dyDescent="0.2">
      <c r="A80" s="32" t="s">
        <v>98</v>
      </c>
      <c r="B80" s="54" t="s">
        <v>8</v>
      </c>
      <c r="C80" s="54" t="s">
        <v>99</v>
      </c>
      <c r="D80" s="54"/>
      <c r="E80" s="54"/>
      <c r="F80" s="53">
        <f t="shared" ref="F80:H82" si="11">F81</f>
        <v>1000</v>
      </c>
      <c r="G80" s="53">
        <f t="shared" si="11"/>
        <v>0</v>
      </c>
      <c r="H80" s="53">
        <f t="shared" si="11"/>
        <v>0</v>
      </c>
    </row>
    <row r="81" spans="1:11" s="3" customFormat="1" ht="15" customHeight="1" x14ac:dyDescent="0.2">
      <c r="A81" s="31" t="s">
        <v>98</v>
      </c>
      <c r="B81" s="34" t="s">
        <v>8</v>
      </c>
      <c r="C81" s="34" t="s">
        <v>99</v>
      </c>
      <c r="D81" s="34" t="s">
        <v>100</v>
      </c>
      <c r="E81" s="34"/>
      <c r="F81" s="26">
        <f t="shared" si="11"/>
        <v>1000</v>
      </c>
      <c r="G81" s="26">
        <f t="shared" si="11"/>
        <v>0</v>
      </c>
      <c r="H81" s="26">
        <f t="shared" si="11"/>
        <v>0</v>
      </c>
    </row>
    <row r="82" spans="1:11" s="3" customFormat="1" ht="15" customHeight="1" x14ac:dyDescent="0.2">
      <c r="A82" s="31" t="s">
        <v>101</v>
      </c>
      <c r="B82" s="34" t="s">
        <v>8</v>
      </c>
      <c r="C82" s="34" t="s">
        <v>99</v>
      </c>
      <c r="D82" s="34" t="s">
        <v>102</v>
      </c>
      <c r="E82" s="34"/>
      <c r="F82" s="26">
        <f>F83</f>
        <v>1000</v>
      </c>
      <c r="G82" s="26">
        <f t="shared" si="11"/>
        <v>0</v>
      </c>
      <c r="H82" s="26">
        <f t="shared" si="11"/>
        <v>0</v>
      </c>
    </row>
    <row r="83" spans="1:11" s="3" customFormat="1" ht="15" customHeight="1" x14ac:dyDescent="0.2">
      <c r="A83" s="31" t="s">
        <v>103</v>
      </c>
      <c r="B83" s="34" t="s">
        <v>8</v>
      </c>
      <c r="C83" s="34" t="s">
        <v>99</v>
      </c>
      <c r="D83" s="34" t="s">
        <v>102</v>
      </c>
      <c r="E83" s="34" t="s">
        <v>104</v>
      </c>
      <c r="F83" s="26">
        <v>1000</v>
      </c>
      <c r="G83" s="26">
        <v>0</v>
      </c>
      <c r="H83" s="26">
        <v>0</v>
      </c>
    </row>
    <row r="84" spans="1:11" s="19" customFormat="1" ht="14.25" customHeight="1" x14ac:dyDescent="0.2">
      <c r="A84" s="29" t="s">
        <v>105</v>
      </c>
      <c r="B84" s="17" t="s">
        <v>8</v>
      </c>
      <c r="C84" s="17" t="s">
        <v>106</v>
      </c>
      <c r="D84" s="17"/>
      <c r="E84" s="17"/>
      <c r="F84" s="18">
        <f>F85+F129+F106+F146+F157+F90+F141</f>
        <v>24372.9</v>
      </c>
      <c r="G84" s="18">
        <f>G85+G129+G106+G146+G157+G90+G141</f>
        <v>23045.9</v>
      </c>
      <c r="H84" s="18">
        <f>H85+H129+H106+H146+H157+H90+H141</f>
        <v>23045.9</v>
      </c>
    </row>
    <row r="85" spans="1:11" s="3" customFormat="1" ht="24.75" customHeight="1" x14ac:dyDescent="0.2">
      <c r="A85" s="30" t="s">
        <v>107</v>
      </c>
      <c r="B85" s="21" t="s">
        <v>8</v>
      </c>
      <c r="C85" s="21" t="s">
        <v>106</v>
      </c>
      <c r="D85" s="21" t="s">
        <v>108</v>
      </c>
      <c r="E85" s="21"/>
      <c r="F85" s="22">
        <f>F88+F86</f>
        <v>970</v>
      </c>
      <c r="G85" s="22">
        <f>G88+G86</f>
        <v>0</v>
      </c>
      <c r="H85" s="22">
        <f>H88+H86</f>
        <v>0</v>
      </c>
    </row>
    <row r="86" spans="1:11" s="3" customFormat="1" ht="17.25" customHeight="1" x14ac:dyDescent="0.2">
      <c r="A86" s="55" t="s">
        <v>109</v>
      </c>
      <c r="B86" s="34" t="s">
        <v>8</v>
      </c>
      <c r="C86" s="34" t="s">
        <v>106</v>
      </c>
      <c r="D86" s="34" t="s">
        <v>110</v>
      </c>
      <c r="E86" s="34"/>
      <c r="F86" s="26">
        <f>F87</f>
        <v>320</v>
      </c>
      <c r="G86" s="26">
        <f>G87</f>
        <v>0</v>
      </c>
      <c r="H86" s="26">
        <f>H87</f>
        <v>0</v>
      </c>
    </row>
    <row r="87" spans="1:11" s="3" customFormat="1" ht="24.75" customHeight="1" x14ac:dyDescent="0.2">
      <c r="A87" s="31" t="s">
        <v>28</v>
      </c>
      <c r="B87" s="34" t="s">
        <v>8</v>
      </c>
      <c r="C87" s="34" t="s">
        <v>106</v>
      </c>
      <c r="D87" s="34" t="s">
        <v>110</v>
      </c>
      <c r="E87" s="34" t="s">
        <v>29</v>
      </c>
      <c r="F87" s="26">
        <v>320</v>
      </c>
      <c r="G87" s="26">
        <v>0</v>
      </c>
      <c r="H87" s="26">
        <v>0</v>
      </c>
    </row>
    <row r="88" spans="1:11" s="3" customFormat="1" ht="25.5" customHeight="1" x14ac:dyDescent="0.2">
      <c r="A88" s="56" t="s">
        <v>111</v>
      </c>
      <c r="B88" s="34" t="s">
        <v>8</v>
      </c>
      <c r="C88" s="34" t="s">
        <v>106</v>
      </c>
      <c r="D88" s="34" t="s">
        <v>112</v>
      </c>
      <c r="E88" s="34"/>
      <c r="F88" s="26">
        <f>F89</f>
        <v>650</v>
      </c>
      <c r="G88" s="26">
        <f>G89</f>
        <v>0</v>
      </c>
      <c r="H88" s="26">
        <f>H89</f>
        <v>0</v>
      </c>
    </row>
    <row r="89" spans="1:11" s="3" customFormat="1" ht="24.75" customHeight="1" x14ac:dyDescent="0.2">
      <c r="A89" s="31" t="s">
        <v>28</v>
      </c>
      <c r="B89" s="34" t="s">
        <v>8</v>
      </c>
      <c r="C89" s="34" t="s">
        <v>106</v>
      </c>
      <c r="D89" s="34" t="s">
        <v>112</v>
      </c>
      <c r="E89" s="34" t="s">
        <v>29</v>
      </c>
      <c r="F89" s="26">
        <v>650</v>
      </c>
      <c r="G89" s="26">
        <v>0</v>
      </c>
      <c r="H89" s="26">
        <v>0</v>
      </c>
    </row>
    <row r="90" spans="1:11" s="50" customFormat="1" ht="27" customHeight="1" x14ac:dyDescent="0.2">
      <c r="A90" s="57" t="s">
        <v>32</v>
      </c>
      <c r="B90" s="21" t="s">
        <v>8</v>
      </c>
      <c r="C90" s="21" t="s">
        <v>106</v>
      </c>
      <c r="D90" s="25" t="s">
        <v>33</v>
      </c>
      <c r="E90" s="21"/>
      <c r="F90" s="26">
        <f>F91+F102</f>
        <v>500.4</v>
      </c>
      <c r="G90" s="26">
        <f>G91+G102</f>
        <v>110.4</v>
      </c>
      <c r="H90" s="26">
        <f>H91+H102</f>
        <v>110.4</v>
      </c>
      <c r="I90" s="3"/>
      <c r="J90" s="3"/>
      <c r="K90" s="3"/>
    </row>
    <row r="91" spans="1:11" s="50" customFormat="1" ht="17.25" customHeight="1" x14ac:dyDescent="0.2">
      <c r="A91" s="35" t="s">
        <v>50</v>
      </c>
      <c r="B91" s="34" t="s">
        <v>8</v>
      </c>
      <c r="C91" s="34" t="s">
        <v>106</v>
      </c>
      <c r="D91" s="36" t="s">
        <v>113</v>
      </c>
      <c r="E91" s="58"/>
      <c r="F91" s="26">
        <f>F92+F95</f>
        <v>390</v>
      </c>
      <c r="G91" s="26">
        <f>G92+G95</f>
        <v>0</v>
      </c>
      <c r="H91" s="26">
        <f>H92+H95</f>
        <v>0</v>
      </c>
      <c r="I91" s="3"/>
      <c r="J91" s="3"/>
      <c r="K91" s="3"/>
    </row>
    <row r="92" spans="1:11" s="50" customFormat="1" ht="38.25" customHeight="1" x14ac:dyDescent="0.2">
      <c r="A92" s="35" t="s">
        <v>114</v>
      </c>
      <c r="B92" s="34" t="s">
        <v>8</v>
      </c>
      <c r="C92" s="34" t="s">
        <v>106</v>
      </c>
      <c r="D92" s="36" t="s">
        <v>115</v>
      </c>
      <c r="E92" s="58"/>
      <c r="F92" s="26">
        <f t="shared" ref="F92:H93" si="12">F93</f>
        <v>300</v>
      </c>
      <c r="G92" s="26">
        <f t="shared" si="12"/>
        <v>0</v>
      </c>
      <c r="H92" s="26">
        <f t="shared" si="12"/>
        <v>0</v>
      </c>
      <c r="I92" s="3"/>
      <c r="J92" s="3"/>
      <c r="K92" s="3"/>
    </row>
    <row r="93" spans="1:11" s="50" customFormat="1" ht="31.5" customHeight="1" x14ac:dyDescent="0.2">
      <c r="A93" s="43" t="s">
        <v>116</v>
      </c>
      <c r="B93" s="34" t="s">
        <v>8</v>
      </c>
      <c r="C93" s="34" t="s">
        <v>106</v>
      </c>
      <c r="D93" s="36" t="s">
        <v>117</v>
      </c>
      <c r="E93" s="58"/>
      <c r="F93" s="26">
        <f t="shared" si="12"/>
        <v>300</v>
      </c>
      <c r="G93" s="26">
        <f t="shared" si="12"/>
        <v>0</v>
      </c>
      <c r="H93" s="26">
        <f t="shared" si="12"/>
        <v>0</v>
      </c>
      <c r="I93" s="3"/>
      <c r="J93" s="3"/>
      <c r="K93" s="3"/>
    </row>
    <row r="94" spans="1:11" s="50" customFormat="1" ht="38.25" customHeight="1" x14ac:dyDescent="0.2">
      <c r="A94" s="20" t="s">
        <v>118</v>
      </c>
      <c r="B94" s="34" t="s">
        <v>8</v>
      </c>
      <c r="C94" s="34" t="s">
        <v>106</v>
      </c>
      <c r="D94" s="36" t="s">
        <v>117</v>
      </c>
      <c r="E94" s="58" t="s">
        <v>119</v>
      </c>
      <c r="F94" s="26">
        <v>300</v>
      </c>
      <c r="G94" s="26">
        <v>0</v>
      </c>
      <c r="H94" s="26">
        <v>0</v>
      </c>
      <c r="I94" s="3"/>
      <c r="J94" s="3"/>
      <c r="K94" s="3"/>
    </row>
    <row r="95" spans="1:11" s="50" customFormat="1" ht="15.75" customHeight="1" x14ac:dyDescent="0.2">
      <c r="A95" s="35" t="s">
        <v>120</v>
      </c>
      <c r="B95" s="34" t="s">
        <v>8</v>
      </c>
      <c r="C95" s="34" t="s">
        <v>106</v>
      </c>
      <c r="D95" s="36" t="s">
        <v>121</v>
      </c>
      <c r="E95" s="58"/>
      <c r="F95" s="26">
        <f>F96+F99</f>
        <v>90</v>
      </c>
      <c r="G95" s="26">
        <f>G96+G99</f>
        <v>0</v>
      </c>
      <c r="H95" s="26">
        <f>H96+H99</f>
        <v>0</v>
      </c>
      <c r="I95" s="3"/>
      <c r="J95" s="3"/>
      <c r="K95" s="3"/>
    </row>
    <row r="96" spans="1:11" s="50" customFormat="1" ht="26.25" customHeight="1" x14ac:dyDescent="0.2">
      <c r="A96" s="20" t="s">
        <v>122</v>
      </c>
      <c r="B96" s="34" t="s">
        <v>8</v>
      </c>
      <c r="C96" s="34" t="s">
        <v>106</v>
      </c>
      <c r="D96" s="25" t="s">
        <v>123</v>
      </c>
      <c r="E96" s="51"/>
      <c r="F96" s="26">
        <f>F97+F98</f>
        <v>90</v>
      </c>
      <c r="G96" s="26">
        <f>G97+G98</f>
        <v>0</v>
      </c>
      <c r="H96" s="26">
        <f>H97+H98</f>
        <v>0</v>
      </c>
      <c r="I96" s="3"/>
      <c r="J96" s="3"/>
      <c r="K96" s="3"/>
    </row>
    <row r="97" spans="1:11" s="50" customFormat="1" ht="27" customHeight="1" x14ac:dyDescent="0.2">
      <c r="A97" s="31" t="s">
        <v>28</v>
      </c>
      <c r="B97" s="34" t="s">
        <v>8</v>
      </c>
      <c r="C97" s="34" t="s">
        <v>106</v>
      </c>
      <c r="D97" s="25" t="s">
        <v>123</v>
      </c>
      <c r="E97" s="51" t="s">
        <v>29</v>
      </c>
      <c r="F97" s="26">
        <v>10</v>
      </c>
      <c r="G97" s="26">
        <v>0</v>
      </c>
      <c r="H97" s="26">
        <v>0</v>
      </c>
      <c r="I97" s="3"/>
      <c r="J97" s="3"/>
      <c r="K97" s="3"/>
    </row>
    <row r="98" spans="1:11" s="50" customFormat="1" ht="18" customHeight="1" x14ac:dyDescent="0.2">
      <c r="A98" s="59" t="s">
        <v>124</v>
      </c>
      <c r="B98" s="34" t="s">
        <v>8</v>
      </c>
      <c r="C98" s="34" t="s">
        <v>106</v>
      </c>
      <c r="D98" s="25" t="s">
        <v>123</v>
      </c>
      <c r="E98" s="51" t="s">
        <v>125</v>
      </c>
      <c r="F98" s="26">
        <v>80</v>
      </c>
      <c r="G98" s="26">
        <v>0</v>
      </c>
      <c r="H98" s="26">
        <v>0</v>
      </c>
      <c r="I98" s="3"/>
      <c r="J98" s="3"/>
      <c r="K98" s="3"/>
    </row>
    <row r="99" spans="1:11" s="50" customFormat="1" ht="26.25" customHeight="1" x14ac:dyDescent="0.2">
      <c r="A99" s="20" t="s">
        <v>126</v>
      </c>
      <c r="B99" s="34" t="s">
        <v>8</v>
      </c>
      <c r="C99" s="34" t="s">
        <v>106</v>
      </c>
      <c r="D99" s="25" t="s">
        <v>127</v>
      </c>
      <c r="E99" s="51"/>
      <c r="F99" s="26">
        <f t="shared" ref="F99:H100" si="13">F100</f>
        <v>0</v>
      </c>
      <c r="G99" s="26">
        <f t="shared" si="13"/>
        <v>0</v>
      </c>
      <c r="H99" s="26">
        <f t="shared" si="13"/>
        <v>0</v>
      </c>
      <c r="I99" s="3"/>
      <c r="J99" s="3"/>
      <c r="K99" s="3"/>
    </row>
    <row r="100" spans="1:11" s="50" customFormat="1" x14ac:dyDescent="0.2">
      <c r="A100" s="60" t="s">
        <v>128</v>
      </c>
      <c r="B100" s="34" t="s">
        <v>8</v>
      </c>
      <c r="C100" s="34" t="s">
        <v>106</v>
      </c>
      <c r="D100" s="25" t="s">
        <v>127</v>
      </c>
      <c r="E100" s="51"/>
      <c r="F100" s="26">
        <f t="shared" si="13"/>
        <v>0</v>
      </c>
      <c r="G100" s="26">
        <f t="shared" si="13"/>
        <v>0</v>
      </c>
      <c r="H100" s="26">
        <f t="shared" si="13"/>
        <v>0</v>
      </c>
      <c r="I100" s="3"/>
      <c r="J100" s="3"/>
      <c r="K100" s="3"/>
    </row>
    <row r="101" spans="1:11" s="50" customFormat="1" ht="17.25" customHeight="1" x14ac:dyDescent="0.2">
      <c r="A101" s="59" t="s">
        <v>124</v>
      </c>
      <c r="B101" s="34" t="s">
        <v>8</v>
      </c>
      <c r="C101" s="34" t="s">
        <v>106</v>
      </c>
      <c r="D101" s="25" t="s">
        <v>127</v>
      </c>
      <c r="E101" s="51" t="s">
        <v>125</v>
      </c>
      <c r="F101" s="26">
        <v>0</v>
      </c>
      <c r="G101" s="26">
        <v>0</v>
      </c>
      <c r="H101" s="26">
        <v>0</v>
      </c>
      <c r="I101" s="3"/>
      <c r="J101" s="3"/>
      <c r="K101" s="3"/>
    </row>
    <row r="102" spans="1:11" s="50" customFormat="1" ht="15.75" customHeight="1" x14ac:dyDescent="0.2">
      <c r="A102" s="35" t="s">
        <v>13</v>
      </c>
      <c r="B102" s="34" t="s">
        <v>8</v>
      </c>
      <c r="C102" s="34" t="s">
        <v>106</v>
      </c>
      <c r="D102" s="25" t="s">
        <v>34</v>
      </c>
      <c r="E102" s="51"/>
      <c r="F102" s="26">
        <f>F103</f>
        <v>110.4</v>
      </c>
      <c r="G102" s="26">
        <f t="shared" ref="G102:H104" si="14">G103</f>
        <v>110.4</v>
      </c>
      <c r="H102" s="26">
        <f t="shared" si="14"/>
        <v>110.4</v>
      </c>
      <c r="I102" s="3"/>
      <c r="J102" s="3"/>
      <c r="K102" s="3"/>
    </row>
    <row r="103" spans="1:11" s="50" customFormat="1" ht="30" customHeight="1" x14ac:dyDescent="0.2">
      <c r="A103" s="61" t="s">
        <v>129</v>
      </c>
      <c r="B103" s="34" t="s">
        <v>8</v>
      </c>
      <c r="C103" s="34" t="s">
        <v>106</v>
      </c>
      <c r="D103" s="25" t="s">
        <v>130</v>
      </c>
      <c r="E103" s="51"/>
      <c r="F103" s="26">
        <f>F104</f>
        <v>110.4</v>
      </c>
      <c r="G103" s="26">
        <f t="shared" si="14"/>
        <v>110.4</v>
      </c>
      <c r="H103" s="26">
        <f t="shared" si="14"/>
        <v>110.4</v>
      </c>
      <c r="I103" s="3"/>
      <c r="J103" s="3"/>
      <c r="K103" s="3"/>
    </row>
    <row r="104" spans="1:11" s="50" customFormat="1" ht="29.25" customHeight="1" x14ac:dyDescent="0.2">
      <c r="A104" s="20" t="s">
        <v>131</v>
      </c>
      <c r="B104" s="34" t="s">
        <v>8</v>
      </c>
      <c r="C104" s="34" t="s">
        <v>106</v>
      </c>
      <c r="D104" s="34" t="s">
        <v>132</v>
      </c>
      <c r="E104" s="58"/>
      <c r="F104" s="26">
        <f>F105</f>
        <v>110.4</v>
      </c>
      <c r="G104" s="26">
        <f t="shared" si="14"/>
        <v>110.4</v>
      </c>
      <c r="H104" s="26">
        <f t="shared" si="14"/>
        <v>110.4</v>
      </c>
      <c r="I104" s="3"/>
      <c r="J104" s="3"/>
      <c r="K104" s="3"/>
    </row>
    <row r="105" spans="1:11" s="50" customFormat="1" ht="21" customHeight="1" x14ac:dyDescent="0.2">
      <c r="A105" s="38" t="s">
        <v>133</v>
      </c>
      <c r="B105" s="34" t="s">
        <v>8</v>
      </c>
      <c r="C105" s="34" t="s">
        <v>106</v>
      </c>
      <c r="D105" s="34" t="s">
        <v>132</v>
      </c>
      <c r="E105" s="58" t="s">
        <v>134</v>
      </c>
      <c r="F105" s="26">
        <v>110.4</v>
      </c>
      <c r="G105" s="26">
        <v>110.4</v>
      </c>
      <c r="H105" s="26">
        <v>110.4</v>
      </c>
      <c r="I105" s="3"/>
      <c r="J105" s="3"/>
      <c r="K105" s="3"/>
    </row>
    <row r="106" spans="1:11" s="50" customFormat="1" ht="27" customHeight="1" x14ac:dyDescent="0.2">
      <c r="A106" s="41" t="s">
        <v>135</v>
      </c>
      <c r="B106" s="21" t="s">
        <v>8</v>
      </c>
      <c r="C106" s="21" t="s">
        <v>106</v>
      </c>
      <c r="D106" s="25" t="s">
        <v>12</v>
      </c>
      <c r="E106" s="34"/>
      <c r="F106" s="26">
        <f>F107</f>
        <v>3511.4</v>
      </c>
      <c r="G106" s="26">
        <f>G107</f>
        <v>3511.4</v>
      </c>
      <c r="H106" s="26">
        <f>H107</f>
        <v>3511.4</v>
      </c>
      <c r="I106" s="3"/>
      <c r="J106" s="3"/>
      <c r="K106" s="3"/>
    </row>
    <row r="107" spans="1:11" s="63" customFormat="1" ht="16.5" customHeight="1" x14ac:dyDescent="0.2">
      <c r="A107" s="62" t="s">
        <v>13</v>
      </c>
      <c r="B107" s="21" t="s">
        <v>8</v>
      </c>
      <c r="C107" s="21" t="s">
        <v>106</v>
      </c>
      <c r="D107" s="25" t="s">
        <v>14</v>
      </c>
      <c r="E107" s="34"/>
      <c r="F107" s="26">
        <f>F108+F111+F114+F117+F126+F121</f>
        <v>3511.4</v>
      </c>
      <c r="G107" s="26">
        <f>G108+G111+G114+G117+G126+G121</f>
        <v>3511.4</v>
      </c>
      <c r="H107" s="26">
        <f>H108+H111+H114+H117+H126+H121</f>
        <v>3511.4</v>
      </c>
      <c r="I107" s="7"/>
      <c r="J107" s="7"/>
      <c r="K107" s="7"/>
    </row>
    <row r="108" spans="1:11" s="63" customFormat="1" ht="27" customHeight="1" x14ac:dyDescent="0.2">
      <c r="A108" s="62" t="s">
        <v>136</v>
      </c>
      <c r="B108" s="21" t="s">
        <v>8</v>
      </c>
      <c r="C108" s="21" t="s">
        <v>106</v>
      </c>
      <c r="D108" s="25" t="s">
        <v>137</v>
      </c>
      <c r="E108" s="34"/>
      <c r="F108" s="26">
        <f t="shared" ref="F108:H109" si="15">F109</f>
        <v>390</v>
      </c>
      <c r="G108" s="26">
        <f t="shared" si="15"/>
        <v>390</v>
      </c>
      <c r="H108" s="26">
        <f t="shared" si="15"/>
        <v>390</v>
      </c>
      <c r="I108" s="7"/>
      <c r="J108" s="7"/>
      <c r="K108" s="7"/>
    </row>
    <row r="109" spans="1:11" s="63" customFormat="1" ht="27.75" customHeight="1" x14ac:dyDescent="0.2">
      <c r="A109" s="37" t="s">
        <v>138</v>
      </c>
      <c r="B109" s="21" t="s">
        <v>8</v>
      </c>
      <c r="C109" s="21" t="s">
        <v>106</v>
      </c>
      <c r="D109" s="25" t="s">
        <v>139</v>
      </c>
      <c r="E109" s="34"/>
      <c r="F109" s="26">
        <f t="shared" si="15"/>
        <v>390</v>
      </c>
      <c r="G109" s="26">
        <f t="shared" si="15"/>
        <v>390</v>
      </c>
      <c r="H109" s="26">
        <f t="shared" si="15"/>
        <v>390</v>
      </c>
      <c r="I109" s="7"/>
      <c r="J109" s="7"/>
      <c r="K109" s="7"/>
    </row>
    <row r="110" spans="1:11" s="63" customFormat="1" ht="17.25" customHeight="1" x14ac:dyDescent="0.2">
      <c r="A110" s="64" t="s">
        <v>133</v>
      </c>
      <c r="B110" s="21" t="s">
        <v>8</v>
      </c>
      <c r="C110" s="21" t="s">
        <v>106</v>
      </c>
      <c r="D110" s="25" t="s">
        <v>139</v>
      </c>
      <c r="E110" s="34" t="s">
        <v>134</v>
      </c>
      <c r="F110" s="26">
        <v>390</v>
      </c>
      <c r="G110" s="26">
        <v>390</v>
      </c>
      <c r="H110" s="26">
        <v>390</v>
      </c>
      <c r="I110" s="7"/>
      <c r="J110" s="7"/>
      <c r="K110" s="7"/>
    </row>
    <row r="111" spans="1:11" s="63" customFormat="1" ht="27" customHeight="1" x14ac:dyDescent="0.2">
      <c r="A111" s="65" t="s">
        <v>140</v>
      </c>
      <c r="B111" s="21" t="s">
        <v>8</v>
      </c>
      <c r="C111" s="21" t="s">
        <v>106</v>
      </c>
      <c r="D111" s="25" t="s">
        <v>141</v>
      </c>
      <c r="E111" s="34"/>
      <c r="F111" s="26">
        <f t="shared" ref="F111:H112" si="16">F112</f>
        <v>80</v>
      </c>
      <c r="G111" s="26">
        <f t="shared" si="16"/>
        <v>80</v>
      </c>
      <c r="H111" s="26">
        <f t="shared" si="16"/>
        <v>80</v>
      </c>
      <c r="I111" s="7"/>
      <c r="J111" s="7"/>
      <c r="K111" s="7"/>
    </row>
    <row r="112" spans="1:11" s="63" customFormat="1" ht="27" customHeight="1" x14ac:dyDescent="0.2">
      <c r="A112" s="37" t="s">
        <v>142</v>
      </c>
      <c r="B112" s="21" t="s">
        <v>8</v>
      </c>
      <c r="C112" s="21" t="s">
        <v>106</v>
      </c>
      <c r="D112" s="25" t="s">
        <v>143</v>
      </c>
      <c r="E112" s="34"/>
      <c r="F112" s="26">
        <f>F113</f>
        <v>80</v>
      </c>
      <c r="G112" s="26">
        <f t="shared" si="16"/>
        <v>80</v>
      </c>
      <c r="H112" s="26">
        <f t="shared" si="16"/>
        <v>80</v>
      </c>
      <c r="I112" s="7"/>
      <c r="J112" s="7"/>
      <c r="K112" s="7"/>
    </row>
    <row r="113" spans="1:11" s="63" customFormat="1" ht="25.5" customHeight="1" x14ac:dyDescent="0.2">
      <c r="A113" s="37" t="s">
        <v>28</v>
      </c>
      <c r="B113" s="21" t="s">
        <v>8</v>
      </c>
      <c r="C113" s="21" t="s">
        <v>106</v>
      </c>
      <c r="D113" s="25" t="s">
        <v>143</v>
      </c>
      <c r="E113" s="34" t="s">
        <v>29</v>
      </c>
      <c r="F113" s="26">
        <v>80</v>
      </c>
      <c r="G113" s="26">
        <v>80</v>
      </c>
      <c r="H113" s="26">
        <v>80</v>
      </c>
      <c r="I113" s="7"/>
      <c r="J113" s="7"/>
      <c r="K113" s="7"/>
    </row>
    <row r="114" spans="1:11" s="63" customFormat="1" ht="37.5" customHeight="1" x14ac:dyDescent="0.2">
      <c r="A114" s="62" t="s">
        <v>144</v>
      </c>
      <c r="B114" s="21" t="s">
        <v>8</v>
      </c>
      <c r="C114" s="21" t="s">
        <v>106</v>
      </c>
      <c r="D114" s="25" t="s">
        <v>145</v>
      </c>
      <c r="E114" s="34"/>
      <c r="F114" s="26">
        <f>F115</f>
        <v>10</v>
      </c>
      <c r="G114" s="26">
        <f>G115</f>
        <v>10</v>
      </c>
      <c r="H114" s="26">
        <f>H115</f>
        <v>10</v>
      </c>
      <c r="I114" s="7"/>
      <c r="J114" s="7"/>
      <c r="K114" s="7"/>
    </row>
    <row r="115" spans="1:11" s="63" customFormat="1" ht="27.75" customHeight="1" x14ac:dyDescent="0.2">
      <c r="A115" s="24" t="s">
        <v>146</v>
      </c>
      <c r="B115" s="21" t="s">
        <v>8</v>
      </c>
      <c r="C115" s="21" t="s">
        <v>106</v>
      </c>
      <c r="D115" s="25" t="s">
        <v>147</v>
      </c>
      <c r="E115" s="34"/>
      <c r="F115" s="26">
        <f>F116</f>
        <v>10</v>
      </c>
      <c r="G115" s="26">
        <f t="shared" ref="G115:H117" si="17">G116</f>
        <v>10</v>
      </c>
      <c r="H115" s="26">
        <f t="shared" si="17"/>
        <v>10</v>
      </c>
      <c r="I115" s="7"/>
      <c r="J115" s="7"/>
      <c r="K115" s="7"/>
    </row>
    <row r="116" spans="1:11" s="63" customFormat="1" ht="24.75" customHeight="1" x14ac:dyDescent="0.2">
      <c r="A116" s="37" t="s">
        <v>28</v>
      </c>
      <c r="B116" s="21" t="s">
        <v>8</v>
      </c>
      <c r="C116" s="21" t="s">
        <v>106</v>
      </c>
      <c r="D116" s="25" t="s">
        <v>147</v>
      </c>
      <c r="E116" s="34" t="s">
        <v>29</v>
      </c>
      <c r="F116" s="26">
        <v>10</v>
      </c>
      <c r="G116" s="26">
        <v>10</v>
      </c>
      <c r="H116" s="26">
        <v>10</v>
      </c>
      <c r="I116" s="7"/>
      <c r="J116" s="7"/>
      <c r="K116" s="7"/>
    </row>
    <row r="117" spans="1:11" s="63" customFormat="1" ht="54" customHeight="1" x14ac:dyDescent="0.2">
      <c r="A117" s="42" t="s">
        <v>148</v>
      </c>
      <c r="B117" s="21" t="s">
        <v>8</v>
      </c>
      <c r="C117" s="21" t="s">
        <v>106</v>
      </c>
      <c r="D117" s="25" t="s">
        <v>149</v>
      </c>
      <c r="E117" s="34"/>
      <c r="F117" s="26">
        <f>F118</f>
        <v>2744</v>
      </c>
      <c r="G117" s="26">
        <f t="shared" si="17"/>
        <v>2744</v>
      </c>
      <c r="H117" s="26">
        <f t="shared" si="17"/>
        <v>2744</v>
      </c>
      <c r="I117" s="7"/>
      <c r="J117" s="7"/>
      <c r="K117" s="7"/>
    </row>
    <row r="118" spans="1:11" s="63" customFormat="1" ht="37.5" customHeight="1" x14ac:dyDescent="0.2">
      <c r="A118" s="66" t="s">
        <v>150</v>
      </c>
      <c r="B118" s="21" t="s">
        <v>8</v>
      </c>
      <c r="C118" s="21" t="s">
        <v>106</v>
      </c>
      <c r="D118" s="25" t="s">
        <v>151</v>
      </c>
      <c r="E118" s="34"/>
      <c r="F118" s="26">
        <f>F119+F120</f>
        <v>2744</v>
      </c>
      <c r="G118" s="26">
        <f>G119+G120</f>
        <v>2744</v>
      </c>
      <c r="H118" s="26">
        <f>H119+H120</f>
        <v>2744</v>
      </c>
      <c r="I118" s="7"/>
      <c r="J118" s="7"/>
      <c r="K118" s="7"/>
    </row>
    <row r="119" spans="1:11" s="63" customFormat="1" ht="18" customHeight="1" x14ac:dyDescent="0.2">
      <c r="A119" s="67" t="s">
        <v>152</v>
      </c>
      <c r="B119" s="21" t="s">
        <v>8</v>
      </c>
      <c r="C119" s="21" t="s">
        <v>106</v>
      </c>
      <c r="D119" s="25" t="s">
        <v>151</v>
      </c>
      <c r="E119" s="34" t="s">
        <v>153</v>
      </c>
      <c r="F119" s="26">
        <v>2360.4</v>
      </c>
      <c r="G119" s="26">
        <v>2360.4</v>
      </c>
      <c r="H119" s="26">
        <v>2360.4</v>
      </c>
      <c r="I119" s="7"/>
      <c r="J119" s="7"/>
      <c r="K119" s="7"/>
    </row>
    <row r="120" spans="1:11" s="63" customFormat="1" ht="28.5" customHeight="1" x14ac:dyDescent="0.2">
      <c r="A120" s="20" t="s">
        <v>28</v>
      </c>
      <c r="B120" s="21" t="s">
        <v>8</v>
      </c>
      <c r="C120" s="21" t="s">
        <v>106</v>
      </c>
      <c r="D120" s="25" t="s">
        <v>151</v>
      </c>
      <c r="E120" s="34" t="s">
        <v>29</v>
      </c>
      <c r="F120" s="26">
        <v>383.6</v>
      </c>
      <c r="G120" s="26">
        <v>383.6</v>
      </c>
      <c r="H120" s="26">
        <v>383.6</v>
      </c>
      <c r="I120" s="7"/>
      <c r="J120" s="7"/>
      <c r="K120" s="7"/>
    </row>
    <row r="121" spans="1:11" s="63" customFormat="1" ht="28.5" customHeight="1" x14ac:dyDescent="0.2">
      <c r="A121" s="24" t="s">
        <v>15</v>
      </c>
      <c r="B121" s="34" t="s">
        <v>8</v>
      </c>
      <c r="C121" s="34" t="s">
        <v>106</v>
      </c>
      <c r="D121" s="25" t="s">
        <v>16</v>
      </c>
      <c r="E121" s="21"/>
      <c r="F121" s="26">
        <f>F122+F124</f>
        <v>147</v>
      </c>
      <c r="G121" s="26">
        <f>G122+G124</f>
        <v>147</v>
      </c>
      <c r="H121" s="26">
        <f>H122+H124</f>
        <v>147</v>
      </c>
      <c r="I121" s="7"/>
      <c r="J121" s="7"/>
      <c r="K121" s="7"/>
    </row>
    <row r="122" spans="1:11" s="63" customFormat="1" ht="19.5" customHeight="1" x14ac:dyDescent="0.2">
      <c r="A122" s="67" t="s">
        <v>154</v>
      </c>
      <c r="B122" s="34" t="s">
        <v>8</v>
      </c>
      <c r="C122" s="34" t="s">
        <v>106</v>
      </c>
      <c r="D122" s="34" t="s">
        <v>155</v>
      </c>
      <c r="E122" s="21"/>
      <c r="F122" s="26">
        <f>F123</f>
        <v>138</v>
      </c>
      <c r="G122" s="26">
        <f>G123</f>
        <v>138</v>
      </c>
      <c r="H122" s="26">
        <f>H123</f>
        <v>138</v>
      </c>
      <c r="I122" s="7"/>
      <c r="J122" s="7"/>
      <c r="K122" s="7"/>
    </row>
    <row r="123" spans="1:11" s="63" customFormat="1" ht="16.5" customHeight="1" x14ac:dyDescent="0.2">
      <c r="A123" s="20" t="s">
        <v>40</v>
      </c>
      <c r="B123" s="34" t="s">
        <v>8</v>
      </c>
      <c r="C123" s="34" t="s">
        <v>106</v>
      </c>
      <c r="D123" s="34" t="s">
        <v>155</v>
      </c>
      <c r="E123" s="21" t="s">
        <v>41</v>
      </c>
      <c r="F123" s="26">
        <v>138</v>
      </c>
      <c r="G123" s="26">
        <v>138</v>
      </c>
      <c r="H123" s="26">
        <v>138</v>
      </c>
      <c r="I123" s="7"/>
      <c r="J123" s="7"/>
      <c r="K123" s="7"/>
    </row>
    <row r="124" spans="1:11" s="63" customFormat="1" ht="15.75" customHeight="1" x14ac:dyDescent="0.2">
      <c r="A124" s="20" t="s">
        <v>156</v>
      </c>
      <c r="B124" s="34" t="s">
        <v>8</v>
      </c>
      <c r="C124" s="34" t="s">
        <v>106</v>
      </c>
      <c r="D124" s="34" t="s">
        <v>157</v>
      </c>
      <c r="E124" s="21"/>
      <c r="F124" s="26">
        <f>F125</f>
        <v>9</v>
      </c>
      <c r="G124" s="26">
        <f>G125</f>
        <v>9</v>
      </c>
      <c r="H124" s="26">
        <f>H125</f>
        <v>9</v>
      </c>
      <c r="I124" s="7"/>
      <c r="J124" s="7"/>
      <c r="K124" s="7"/>
    </row>
    <row r="125" spans="1:11" s="63" customFormat="1" ht="14.25" customHeight="1" x14ac:dyDescent="0.2">
      <c r="A125" s="20" t="s">
        <v>40</v>
      </c>
      <c r="B125" s="34" t="s">
        <v>8</v>
      </c>
      <c r="C125" s="34" t="s">
        <v>106</v>
      </c>
      <c r="D125" s="34" t="s">
        <v>157</v>
      </c>
      <c r="E125" s="21" t="s">
        <v>41</v>
      </c>
      <c r="F125" s="26">
        <v>9</v>
      </c>
      <c r="G125" s="26">
        <v>9</v>
      </c>
      <c r="H125" s="26">
        <v>9</v>
      </c>
      <c r="I125" s="7"/>
      <c r="J125" s="7"/>
      <c r="K125" s="7"/>
    </row>
    <row r="126" spans="1:11" s="63" customFormat="1" ht="26.25" customHeight="1" x14ac:dyDescent="0.2">
      <c r="A126" s="40" t="s">
        <v>158</v>
      </c>
      <c r="B126" s="34" t="s">
        <v>8</v>
      </c>
      <c r="C126" s="34" t="s">
        <v>106</v>
      </c>
      <c r="D126" s="25" t="s">
        <v>159</v>
      </c>
      <c r="E126" s="51"/>
      <c r="F126" s="26">
        <f t="shared" ref="F126:H127" si="18">F127</f>
        <v>140.4</v>
      </c>
      <c r="G126" s="26">
        <f t="shared" si="18"/>
        <v>140.4</v>
      </c>
      <c r="H126" s="26">
        <f t="shared" si="18"/>
        <v>140.4</v>
      </c>
      <c r="I126" s="3"/>
      <c r="J126" s="7"/>
      <c r="K126" s="7"/>
    </row>
    <row r="127" spans="1:11" s="63" customFormat="1" ht="25.5" customHeight="1" x14ac:dyDescent="0.2">
      <c r="A127" s="60" t="s">
        <v>160</v>
      </c>
      <c r="B127" s="34" t="s">
        <v>8</v>
      </c>
      <c r="C127" s="34" t="s">
        <v>106</v>
      </c>
      <c r="D127" s="25" t="s">
        <v>161</v>
      </c>
      <c r="E127" s="51"/>
      <c r="F127" s="26">
        <f t="shared" si="18"/>
        <v>140.4</v>
      </c>
      <c r="G127" s="26">
        <f t="shared" si="18"/>
        <v>140.4</v>
      </c>
      <c r="H127" s="26">
        <f t="shared" si="18"/>
        <v>140.4</v>
      </c>
      <c r="I127" s="3"/>
      <c r="J127" s="7"/>
      <c r="K127" s="7"/>
    </row>
    <row r="128" spans="1:11" s="63" customFormat="1" ht="29.25" customHeight="1" x14ac:dyDescent="0.2">
      <c r="A128" s="60" t="s">
        <v>28</v>
      </c>
      <c r="B128" s="34" t="s">
        <v>8</v>
      </c>
      <c r="C128" s="34" t="s">
        <v>106</v>
      </c>
      <c r="D128" s="25" t="s">
        <v>161</v>
      </c>
      <c r="E128" s="51" t="s">
        <v>29</v>
      </c>
      <c r="F128" s="26">
        <v>140.4</v>
      </c>
      <c r="G128" s="26">
        <v>140.4</v>
      </c>
      <c r="H128" s="26">
        <v>140.4</v>
      </c>
      <c r="I128" s="3"/>
      <c r="J128" s="7"/>
      <c r="K128" s="7"/>
    </row>
    <row r="129" spans="1:15" s="63" customFormat="1" ht="43.5" customHeight="1" x14ac:dyDescent="0.2">
      <c r="A129" s="59" t="s">
        <v>162</v>
      </c>
      <c r="B129" s="21" t="s">
        <v>8</v>
      </c>
      <c r="C129" s="21" t="s">
        <v>106</v>
      </c>
      <c r="D129" s="25" t="s">
        <v>163</v>
      </c>
      <c r="E129" s="21"/>
      <c r="F129" s="26">
        <f>F130+F136</f>
        <v>240</v>
      </c>
      <c r="G129" s="26">
        <f>G130+G136</f>
        <v>840</v>
      </c>
      <c r="H129" s="26">
        <f>H130+H136</f>
        <v>840</v>
      </c>
      <c r="I129" s="7"/>
      <c r="J129" s="7"/>
      <c r="K129" s="7"/>
    </row>
    <row r="130" spans="1:15" s="63" customFormat="1" ht="14.25" hidden="1" customHeight="1" x14ac:dyDescent="0.2">
      <c r="A130" s="40" t="s">
        <v>50</v>
      </c>
      <c r="B130" s="21" t="s">
        <v>8</v>
      </c>
      <c r="C130" s="21" t="s">
        <v>106</v>
      </c>
      <c r="D130" s="25" t="s">
        <v>164</v>
      </c>
      <c r="E130" s="51"/>
      <c r="F130" s="26">
        <f t="shared" ref="F130:H131" si="19">F131</f>
        <v>0</v>
      </c>
      <c r="G130" s="26">
        <f t="shared" si="19"/>
        <v>0</v>
      </c>
      <c r="H130" s="26">
        <f t="shared" si="19"/>
        <v>0</v>
      </c>
      <c r="I130" s="3"/>
      <c r="J130" s="7"/>
      <c r="K130" s="7"/>
    </row>
    <row r="131" spans="1:15" s="63" customFormat="1" ht="27" hidden="1" customHeight="1" x14ac:dyDescent="0.2">
      <c r="A131" s="40" t="s">
        <v>165</v>
      </c>
      <c r="B131" s="21" t="s">
        <v>8</v>
      </c>
      <c r="C131" s="21" t="s">
        <v>106</v>
      </c>
      <c r="D131" s="25" t="s">
        <v>166</v>
      </c>
      <c r="E131" s="51"/>
      <c r="F131" s="26">
        <f t="shared" si="19"/>
        <v>0</v>
      </c>
      <c r="G131" s="26">
        <f t="shared" si="19"/>
        <v>0</v>
      </c>
      <c r="H131" s="26">
        <f t="shared" si="19"/>
        <v>0</v>
      </c>
      <c r="I131" s="3"/>
      <c r="J131" s="7"/>
      <c r="K131" s="7"/>
    </row>
    <row r="132" spans="1:15" s="63" customFormat="1" ht="27" hidden="1" customHeight="1" x14ac:dyDescent="0.2">
      <c r="A132" s="40" t="s">
        <v>167</v>
      </c>
      <c r="B132" s="34" t="s">
        <v>8</v>
      </c>
      <c r="C132" s="34" t="s">
        <v>106</v>
      </c>
      <c r="D132" s="25" t="s">
        <v>168</v>
      </c>
      <c r="E132" s="51"/>
      <c r="F132" s="26">
        <f>F133+F134+F135</f>
        <v>0</v>
      </c>
      <c r="G132" s="26">
        <f>G133+G134+G135</f>
        <v>0</v>
      </c>
      <c r="H132" s="26">
        <f>H133+H134+H135</f>
        <v>0</v>
      </c>
      <c r="I132" s="3"/>
      <c r="J132" s="7"/>
      <c r="K132" s="7"/>
    </row>
    <row r="133" spans="1:15" s="63" customFormat="1" ht="27" hidden="1" customHeight="1" x14ac:dyDescent="0.2">
      <c r="A133" s="20" t="s">
        <v>28</v>
      </c>
      <c r="B133" s="34" t="s">
        <v>8</v>
      </c>
      <c r="C133" s="34" t="s">
        <v>106</v>
      </c>
      <c r="D133" s="25" t="s">
        <v>168</v>
      </c>
      <c r="E133" s="51" t="s">
        <v>29</v>
      </c>
      <c r="F133" s="26"/>
      <c r="G133" s="26"/>
      <c r="H133" s="26"/>
      <c r="I133" s="3"/>
      <c r="J133" s="7"/>
      <c r="K133" s="7"/>
    </row>
    <row r="134" spans="1:15" s="63" customFormat="1" ht="14.25" hidden="1" customHeight="1" x14ac:dyDescent="0.2">
      <c r="A134" s="59" t="s">
        <v>169</v>
      </c>
      <c r="B134" s="34" t="s">
        <v>8</v>
      </c>
      <c r="C134" s="34" t="s">
        <v>106</v>
      </c>
      <c r="D134" s="25" t="s">
        <v>168</v>
      </c>
      <c r="E134" s="51" t="s">
        <v>125</v>
      </c>
      <c r="F134" s="26"/>
      <c r="G134" s="26"/>
      <c r="H134" s="26"/>
      <c r="I134" s="3"/>
      <c r="J134" s="7"/>
      <c r="K134" s="7"/>
    </row>
    <row r="135" spans="1:15" s="63" customFormat="1" ht="14.25" hidden="1" customHeight="1" x14ac:dyDescent="0.2">
      <c r="A135" s="68" t="s">
        <v>170</v>
      </c>
      <c r="B135" s="34" t="s">
        <v>8</v>
      </c>
      <c r="C135" s="34" t="s">
        <v>106</v>
      </c>
      <c r="D135" s="25" t="s">
        <v>168</v>
      </c>
      <c r="E135" s="51" t="s">
        <v>171</v>
      </c>
      <c r="F135" s="26"/>
      <c r="G135" s="26"/>
      <c r="H135" s="26"/>
      <c r="I135" s="3"/>
      <c r="J135" s="7"/>
      <c r="K135" s="7"/>
    </row>
    <row r="136" spans="1:15" s="63" customFormat="1" ht="16.5" customHeight="1" x14ac:dyDescent="0.2">
      <c r="A136" s="40" t="s">
        <v>13</v>
      </c>
      <c r="B136" s="21" t="s">
        <v>8</v>
      </c>
      <c r="C136" s="21" t="s">
        <v>106</v>
      </c>
      <c r="D136" s="25" t="s">
        <v>172</v>
      </c>
      <c r="E136" s="21"/>
      <c r="F136" s="26">
        <f t="shared" ref="F136:H137" si="20">F137</f>
        <v>240</v>
      </c>
      <c r="G136" s="26">
        <f t="shared" si="20"/>
        <v>840</v>
      </c>
      <c r="H136" s="26">
        <f t="shared" si="20"/>
        <v>840</v>
      </c>
      <c r="I136" s="7"/>
      <c r="J136" s="7"/>
      <c r="K136" s="7"/>
    </row>
    <row r="137" spans="1:15" s="63" customFormat="1" ht="26.25" customHeight="1" x14ac:dyDescent="0.2">
      <c r="A137" s="40" t="s">
        <v>173</v>
      </c>
      <c r="B137" s="21" t="s">
        <v>8</v>
      </c>
      <c r="C137" s="21" t="s">
        <v>106</v>
      </c>
      <c r="D137" s="25" t="s">
        <v>174</v>
      </c>
      <c r="E137" s="51"/>
      <c r="F137" s="26">
        <f t="shared" si="20"/>
        <v>240</v>
      </c>
      <c r="G137" s="26">
        <f t="shared" si="20"/>
        <v>840</v>
      </c>
      <c r="H137" s="26">
        <f t="shared" si="20"/>
        <v>840</v>
      </c>
      <c r="I137" s="3"/>
      <c r="J137" s="7"/>
      <c r="K137" s="3"/>
      <c r="L137" s="50"/>
      <c r="M137" s="50"/>
      <c r="N137" s="50"/>
      <c r="O137" s="50"/>
    </row>
    <row r="138" spans="1:15" s="63" customFormat="1" ht="26.25" customHeight="1" x14ac:dyDescent="0.2">
      <c r="A138" s="40" t="s">
        <v>167</v>
      </c>
      <c r="B138" s="34" t="s">
        <v>8</v>
      </c>
      <c r="C138" s="34" t="s">
        <v>106</v>
      </c>
      <c r="D138" s="25" t="s">
        <v>650</v>
      </c>
      <c r="E138" s="51"/>
      <c r="F138" s="26">
        <f>F139+F140</f>
        <v>240</v>
      </c>
      <c r="G138" s="26">
        <f>G139+G140</f>
        <v>840</v>
      </c>
      <c r="H138" s="26">
        <f>H139+H140</f>
        <v>840</v>
      </c>
      <c r="I138" s="3"/>
      <c r="J138" s="7"/>
      <c r="K138" s="3"/>
      <c r="L138" s="50"/>
      <c r="M138" s="50"/>
      <c r="N138" s="50"/>
      <c r="O138" s="50"/>
    </row>
    <row r="139" spans="1:15" s="63" customFormat="1" ht="14.25" customHeight="1" x14ac:dyDescent="0.2">
      <c r="A139" s="59" t="s">
        <v>169</v>
      </c>
      <c r="B139" s="34" t="s">
        <v>8</v>
      </c>
      <c r="C139" s="34" t="s">
        <v>106</v>
      </c>
      <c r="D139" s="25" t="s">
        <v>650</v>
      </c>
      <c r="E139" s="51" t="s">
        <v>125</v>
      </c>
      <c r="F139" s="26">
        <f>340-200</f>
        <v>140</v>
      </c>
      <c r="G139" s="26">
        <v>340</v>
      </c>
      <c r="H139" s="39">
        <v>340</v>
      </c>
      <c r="I139" s="69"/>
      <c r="J139" s="7"/>
      <c r="K139" s="3"/>
      <c r="L139" s="70"/>
      <c r="M139" s="70"/>
      <c r="N139" s="70"/>
      <c r="O139" s="50"/>
    </row>
    <row r="140" spans="1:15" s="63" customFormat="1" ht="14.25" customHeight="1" x14ac:dyDescent="0.2">
      <c r="A140" s="68" t="s">
        <v>170</v>
      </c>
      <c r="B140" s="34" t="s">
        <v>8</v>
      </c>
      <c r="C140" s="34" t="s">
        <v>106</v>
      </c>
      <c r="D140" s="25" t="s">
        <v>650</v>
      </c>
      <c r="E140" s="51" t="s">
        <v>171</v>
      </c>
      <c r="F140" s="26">
        <f>500-500+100</f>
        <v>100</v>
      </c>
      <c r="G140" s="26">
        <v>500</v>
      </c>
      <c r="H140" s="39">
        <v>500</v>
      </c>
      <c r="I140" s="69"/>
      <c r="J140" s="7"/>
      <c r="K140" s="7"/>
    </row>
    <row r="141" spans="1:15" s="50" customFormat="1" ht="39" customHeight="1" x14ac:dyDescent="0.2">
      <c r="A141" s="20" t="s">
        <v>56</v>
      </c>
      <c r="B141" s="34" t="s">
        <v>8</v>
      </c>
      <c r="C141" s="34" t="s">
        <v>106</v>
      </c>
      <c r="D141" s="25" t="s">
        <v>57</v>
      </c>
      <c r="E141" s="34"/>
      <c r="F141" s="26">
        <f t="shared" ref="F141:H144" si="21">F142</f>
        <v>30</v>
      </c>
      <c r="G141" s="26">
        <f t="shared" si="21"/>
        <v>30</v>
      </c>
      <c r="H141" s="26">
        <f t="shared" si="21"/>
        <v>30</v>
      </c>
      <c r="I141" s="3"/>
      <c r="J141" s="71"/>
      <c r="K141" s="71"/>
      <c r="L141" s="70"/>
    </row>
    <row r="142" spans="1:15" s="50" customFormat="1" ht="15" customHeight="1" x14ac:dyDescent="0.2">
      <c r="A142" s="20" t="s">
        <v>13</v>
      </c>
      <c r="B142" s="34" t="s">
        <v>8</v>
      </c>
      <c r="C142" s="34" t="s">
        <v>106</v>
      </c>
      <c r="D142" s="25" t="s">
        <v>58</v>
      </c>
      <c r="E142" s="34"/>
      <c r="F142" s="26">
        <f t="shared" si="21"/>
        <v>30</v>
      </c>
      <c r="G142" s="26">
        <f t="shared" si="21"/>
        <v>30</v>
      </c>
      <c r="H142" s="26">
        <f t="shared" si="21"/>
        <v>30</v>
      </c>
      <c r="I142" s="3"/>
      <c r="J142" s="3"/>
      <c r="K142" s="3"/>
    </row>
    <row r="143" spans="1:15" s="50" customFormat="1" ht="29.25" customHeight="1" x14ac:dyDescent="0.2">
      <c r="A143" s="20" t="s">
        <v>175</v>
      </c>
      <c r="B143" s="34" t="s">
        <v>8</v>
      </c>
      <c r="C143" s="34" t="s">
        <v>106</v>
      </c>
      <c r="D143" s="25" t="s">
        <v>176</v>
      </c>
      <c r="E143" s="34"/>
      <c r="F143" s="26">
        <f t="shared" si="21"/>
        <v>30</v>
      </c>
      <c r="G143" s="26">
        <f t="shared" si="21"/>
        <v>30</v>
      </c>
      <c r="H143" s="26">
        <f t="shared" si="21"/>
        <v>30</v>
      </c>
      <c r="I143" s="3"/>
      <c r="J143" s="3"/>
      <c r="K143" s="3"/>
    </row>
    <row r="144" spans="1:15" s="50" customFormat="1" ht="54.75" customHeight="1" x14ac:dyDescent="0.2">
      <c r="A144" s="20" t="s">
        <v>177</v>
      </c>
      <c r="B144" s="34" t="s">
        <v>8</v>
      </c>
      <c r="C144" s="34" t="s">
        <v>106</v>
      </c>
      <c r="D144" s="25" t="s">
        <v>178</v>
      </c>
      <c r="E144" s="34"/>
      <c r="F144" s="26">
        <f>F145</f>
        <v>30</v>
      </c>
      <c r="G144" s="26">
        <f t="shared" si="21"/>
        <v>30</v>
      </c>
      <c r="H144" s="26">
        <f t="shared" si="21"/>
        <v>30</v>
      </c>
      <c r="I144" s="3"/>
      <c r="J144" s="3"/>
      <c r="K144" s="3"/>
    </row>
    <row r="145" spans="1:11" s="50" customFormat="1" ht="29.25" customHeight="1" x14ac:dyDescent="0.2">
      <c r="A145" s="20" t="s">
        <v>28</v>
      </c>
      <c r="B145" s="34" t="s">
        <v>8</v>
      </c>
      <c r="C145" s="34" t="s">
        <v>106</v>
      </c>
      <c r="D145" s="25" t="s">
        <v>178</v>
      </c>
      <c r="E145" s="34" t="s">
        <v>29</v>
      </c>
      <c r="F145" s="26">
        <f>10+20</f>
        <v>30</v>
      </c>
      <c r="G145" s="26">
        <f>10+20</f>
        <v>30</v>
      </c>
      <c r="H145" s="26">
        <f>10+20</f>
        <v>30</v>
      </c>
      <c r="I145" s="3"/>
      <c r="J145" s="3"/>
      <c r="K145" s="3"/>
    </row>
    <row r="146" spans="1:11" s="50" customFormat="1" ht="27" customHeight="1" x14ac:dyDescent="0.2">
      <c r="A146" s="20" t="s">
        <v>83</v>
      </c>
      <c r="B146" s="21" t="s">
        <v>8</v>
      </c>
      <c r="C146" s="21" t="s">
        <v>106</v>
      </c>
      <c r="D146" s="25" t="s">
        <v>84</v>
      </c>
      <c r="E146" s="21"/>
      <c r="F146" s="26">
        <f t="shared" ref="F146:H147" si="22">F147</f>
        <v>16361.6</v>
      </c>
      <c r="G146" s="26">
        <f t="shared" si="22"/>
        <v>15794.6</v>
      </c>
      <c r="H146" s="26">
        <f t="shared" si="22"/>
        <v>15794.6</v>
      </c>
      <c r="I146" s="3"/>
      <c r="J146" s="3"/>
      <c r="K146" s="3"/>
    </row>
    <row r="147" spans="1:11" s="50" customFormat="1" ht="16.5" customHeight="1" x14ac:dyDescent="0.2">
      <c r="A147" s="41" t="s">
        <v>13</v>
      </c>
      <c r="B147" s="21" t="s">
        <v>8</v>
      </c>
      <c r="C147" s="21" t="s">
        <v>106</v>
      </c>
      <c r="D147" s="25" t="s">
        <v>85</v>
      </c>
      <c r="E147" s="21"/>
      <c r="F147" s="26">
        <f>F148</f>
        <v>16361.6</v>
      </c>
      <c r="G147" s="26">
        <f t="shared" si="22"/>
        <v>15794.6</v>
      </c>
      <c r="H147" s="26">
        <f t="shared" si="22"/>
        <v>15794.6</v>
      </c>
      <c r="I147" s="3"/>
      <c r="J147" s="3"/>
      <c r="K147" s="3"/>
    </row>
    <row r="148" spans="1:11" s="50" customFormat="1" ht="30.75" customHeight="1" x14ac:dyDescent="0.2">
      <c r="A148" s="41" t="s">
        <v>86</v>
      </c>
      <c r="B148" s="21" t="s">
        <v>8</v>
      </c>
      <c r="C148" s="21" t="s">
        <v>106</v>
      </c>
      <c r="D148" s="25" t="s">
        <v>87</v>
      </c>
      <c r="E148" s="21"/>
      <c r="F148" s="26">
        <f>F149+F151+F155</f>
        <v>16361.6</v>
      </c>
      <c r="G148" s="26">
        <f>G149+G151+G155</f>
        <v>15794.6</v>
      </c>
      <c r="H148" s="26">
        <f>H149+H151+H155</f>
        <v>15794.6</v>
      </c>
      <c r="I148" s="3"/>
      <c r="J148" s="3"/>
      <c r="K148" s="3"/>
    </row>
    <row r="149" spans="1:11" s="50" customFormat="1" ht="15.75" customHeight="1" x14ac:dyDescent="0.2">
      <c r="A149" s="31" t="s">
        <v>179</v>
      </c>
      <c r="B149" s="21" t="s">
        <v>8</v>
      </c>
      <c r="C149" s="21" t="s">
        <v>106</v>
      </c>
      <c r="D149" s="25" t="s">
        <v>180</v>
      </c>
      <c r="E149" s="21"/>
      <c r="F149" s="26">
        <f>F150</f>
        <v>30</v>
      </c>
      <c r="G149" s="26">
        <f>G150</f>
        <v>30</v>
      </c>
      <c r="H149" s="26">
        <f>H150</f>
        <v>30</v>
      </c>
      <c r="I149" s="3"/>
      <c r="J149" s="3"/>
      <c r="K149" s="3"/>
    </row>
    <row r="150" spans="1:11" s="50" customFormat="1" ht="15.75" customHeight="1" x14ac:dyDescent="0.2">
      <c r="A150" s="31" t="s">
        <v>40</v>
      </c>
      <c r="B150" s="21" t="s">
        <v>8</v>
      </c>
      <c r="C150" s="21" t="s">
        <v>106</v>
      </c>
      <c r="D150" s="25" t="s">
        <v>180</v>
      </c>
      <c r="E150" s="21" t="s">
        <v>41</v>
      </c>
      <c r="F150" s="26">
        <v>30</v>
      </c>
      <c r="G150" s="26">
        <v>30</v>
      </c>
      <c r="H150" s="26">
        <v>30</v>
      </c>
      <c r="I150" s="3"/>
      <c r="J150" s="3"/>
      <c r="K150" s="3"/>
    </row>
    <row r="151" spans="1:11" s="50" customFormat="1" ht="27" customHeight="1" x14ac:dyDescent="0.2">
      <c r="A151" s="20" t="s">
        <v>181</v>
      </c>
      <c r="B151" s="21" t="s">
        <v>8</v>
      </c>
      <c r="C151" s="21" t="s">
        <v>106</v>
      </c>
      <c r="D151" s="25" t="s">
        <v>182</v>
      </c>
      <c r="E151" s="21"/>
      <c r="F151" s="26">
        <f>F152+F153+F154</f>
        <v>1360.4</v>
      </c>
      <c r="G151" s="26">
        <f>G152+G153+G154</f>
        <v>793.4</v>
      </c>
      <c r="H151" s="26">
        <f>H152+H153+H154</f>
        <v>793.4</v>
      </c>
      <c r="I151" s="3"/>
      <c r="J151" s="3"/>
      <c r="K151" s="3"/>
    </row>
    <row r="152" spans="1:11" s="50" customFormat="1" ht="18.75" hidden="1" customHeight="1" x14ac:dyDescent="0.2">
      <c r="A152" s="42" t="s">
        <v>152</v>
      </c>
      <c r="B152" s="21" t="s">
        <v>8</v>
      </c>
      <c r="C152" s="21" t="s">
        <v>106</v>
      </c>
      <c r="D152" s="25" t="s">
        <v>182</v>
      </c>
      <c r="E152" s="21" t="s">
        <v>153</v>
      </c>
      <c r="F152" s="26"/>
      <c r="G152" s="26"/>
      <c r="H152" s="26"/>
      <c r="I152" s="3"/>
      <c r="J152" s="3"/>
      <c r="K152" s="3"/>
    </row>
    <row r="153" spans="1:11" s="50" customFormat="1" ht="26.25" customHeight="1" x14ac:dyDescent="0.2">
      <c r="A153" s="42" t="s">
        <v>28</v>
      </c>
      <c r="B153" s="21" t="s">
        <v>8</v>
      </c>
      <c r="C153" s="21" t="s">
        <v>106</v>
      </c>
      <c r="D153" s="25" t="s">
        <v>182</v>
      </c>
      <c r="E153" s="21" t="s">
        <v>29</v>
      </c>
      <c r="F153" s="26">
        <v>1360.4</v>
      </c>
      <c r="G153" s="26">
        <v>793.4</v>
      </c>
      <c r="H153" s="26">
        <v>793.4</v>
      </c>
      <c r="I153" s="3"/>
      <c r="J153" s="3"/>
      <c r="K153" s="3"/>
    </row>
    <row r="154" spans="1:11" s="50" customFormat="1" ht="15.75" hidden="1" customHeight="1" x14ac:dyDescent="0.2">
      <c r="A154" s="20" t="s">
        <v>40</v>
      </c>
      <c r="B154" s="21" t="s">
        <v>8</v>
      </c>
      <c r="C154" s="21" t="s">
        <v>106</v>
      </c>
      <c r="D154" s="25" t="s">
        <v>182</v>
      </c>
      <c r="E154" s="21" t="s">
        <v>41</v>
      </c>
      <c r="F154" s="26"/>
      <c r="G154" s="26"/>
      <c r="H154" s="26"/>
      <c r="I154" s="3"/>
      <c r="J154" s="3"/>
      <c r="K154" s="3"/>
    </row>
    <row r="155" spans="1:11" s="50" customFormat="1" ht="30" customHeight="1" x14ac:dyDescent="0.2">
      <c r="A155" s="31" t="s">
        <v>42</v>
      </c>
      <c r="B155" s="21" t="s">
        <v>8</v>
      </c>
      <c r="C155" s="21" t="s">
        <v>106</v>
      </c>
      <c r="D155" s="25" t="s">
        <v>183</v>
      </c>
      <c r="E155" s="21"/>
      <c r="F155" s="26">
        <f>F156</f>
        <v>14971.2</v>
      </c>
      <c r="G155" s="26">
        <f>G156</f>
        <v>14971.2</v>
      </c>
      <c r="H155" s="26">
        <f>H156</f>
        <v>14971.2</v>
      </c>
      <c r="I155" s="3"/>
      <c r="J155" s="3"/>
      <c r="K155" s="3"/>
    </row>
    <row r="156" spans="1:11" s="50" customFormat="1" ht="15.75" customHeight="1" x14ac:dyDescent="0.2">
      <c r="A156" s="72" t="s">
        <v>152</v>
      </c>
      <c r="B156" s="21" t="s">
        <v>8</v>
      </c>
      <c r="C156" s="21" t="s">
        <v>106</v>
      </c>
      <c r="D156" s="25" t="s">
        <v>183</v>
      </c>
      <c r="E156" s="21" t="s">
        <v>153</v>
      </c>
      <c r="F156" s="26">
        <f>2599.6+12371.6</f>
        <v>14971.2</v>
      </c>
      <c r="G156" s="26">
        <f>2599.6+12371.6</f>
        <v>14971.2</v>
      </c>
      <c r="H156" s="26">
        <f>2599.6+12371.6</f>
        <v>14971.2</v>
      </c>
      <c r="I156" s="3"/>
      <c r="J156" s="3"/>
      <c r="K156" s="3"/>
    </row>
    <row r="157" spans="1:11" s="50" customFormat="1" ht="38.25" customHeight="1" x14ac:dyDescent="0.2">
      <c r="A157" s="59" t="s">
        <v>184</v>
      </c>
      <c r="B157" s="21" t="s">
        <v>8</v>
      </c>
      <c r="C157" s="21" t="s">
        <v>106</v>
      </c>
      <c r="D157" s="25" t="s">
        <v>185</v>
      </c>
      <c r="E157" s="21"/>
      <c r="F157" s="26">
        <f t="shared" ref="F157:H159" si="23">F158</f>
        <v>2759.5</v>
      </c>
      <c r="G157" s="26">
        <f t="shared" si="23"/>
        <v>2759.5</v>
      </c>
      <c r="H157" s="26">
        <f t="shared" si="23"/>
        <v>2759.5</v>
      </c>
      <c r="I157" s="3"/>
      <c r="J157" s="3"/>
      <c r="K157" s="3"/>
    </row>
    <row r="158" spans="1:11" s="50" customFormat="1" ht="15.75" customHeight="1" x14ac:dyDescent="0.2">
      <c r="A158" s="59" t="s">
        <v>13</v>
      </c>
      <c r="B158" s="21" t="s">
        <v>8</v>
      </c>
      <c r="C158" s="21" t="s">
        <v>106</v>
      </c>
      <c r="D158" s="25" t="s">
        <v>186</v>
      </c>
      <c r="E158" s="21"/>
      <c r="F158" s="26">
        <f t="shared" si="23"/>
        <v>2759.5</v>
      </c>
      <c r="G158" s="26">
        <f t="shared" si="23"/>
        <v>2759.5</v>
      </c>
      <c r="H158" s="26">
        <f t="shared" si="23"/>
        <v>2759.5</v>
      </c>
      <c r="I158" s="3"/>
      <c r="J158" s="3"/>
      <c r="K158" s="3"/>
    </row>
    <row r="159" spans="1:11" s="50" customFormat="1" ht="45.75" customHeight="1" x14ac:dyDescent="0.2">
      <c r="A159" s="20" t="s">
        <v>187</v>
      </c>
      <c r="B159" s="21" t="s">
        <v>8</v>
      </c>
      <c r="C159" s="21" t="s">
        <v>106</v>
      </c>
      <c r="D159" s="25" t="s">
        <v>188</v>
      </c>
      <c r="E159" s="51"/>
      <c r="F159" s="26">
        <f>F160</f>
        <v>2759.5</v>
      </c>
      <c r="G159" s="26">
        <f t="shared" si="23"/>
        <v>2759.5</v>
      </c>
      <c r="H159" s="26">
        <f t="shared" si="23"/>
        <v>2759.5</v>
      </c>
      <c r="I159" s="3"/>
      <c r="J159" s="3"/>
      <c r="K159" s="3"/>
    </row>
    <row r="160" spans="1:11" s="50" customFormat="1" ht="25.5" customHeight="1" x14ac:dyDescent="0.2">
      <c r="A160" s="73" t="s">
        <v>189</v>
      </c>
      <c r="B160" s="21" t="s">
        <v>8</v>
      </c>
      <c r="C160" s="21" t="s">
        <v>106</v>
      </c>
      <c r="D160" s="36" t="s">
        <v>190</v>
      </c>
      <c r="E160" s="58"/>
      <c r="F160" s="26">
        <f>F161+F162</f>
        <v>2759.5</v>
      </c>
      <c r="G160" s="26">
        <f>G161+G162</f>
        <v>2759.5</v>
      </c>
      <c r="H160" s="26">
        <f>H161+H162</f>
        <v>2759.5</v>
      </c>
      <c r="I160" s="3"/>
      <c r="J160" s="3"/>
      <c r="K160" s="3"/>
    </row>
    <row r="161" spans="1:11" s="50" customFormat="1" ht="25.5" customHeight="1" x14ac:dyDescent="0.2">
      <c r="A161" s="43" t="s">
        <v>28</v>
      </c>
      <c r="B161" s="21" t="s">
        <v>8</v>
      </c>
      <c r="C161" s="21" t="s">
        <v>106</v>
      </c>
      <c r="D161" s="36" t="s">
        <v>190</v>
      </c>
      <c r="E161" s="58" t="s">
        <v>29</v>
      </c>
      <c r="F161" s="26">
        <f>490+2224.5</f>
        <v>2714.5</v>
      </c>
      <c r="G161" s="26">
        <f>490+2224.5</f>
        <v>2714.5</v>
      </c>
      <c r="H161" s="26">
        <f>490+2224.5</f>
        <v>2714.5</v>
      </c>
      <c r="I161" s="3"/>
      <c r="J161" s="3"/>
      <c r="K161" s="3"/>
    </row>
    <row r="162" spans="1:11" s="50" customFormat="1" ht="15" customHeight="1" x14ac:dyDescent="0.2">
      <c r="A162" s="43" t="s">
        <v>40</v>
      </c>
      <c r="B162" s="21" t="s">
        <v>8</v>
      </c>
      <c r="C162" s="21" t="s">
        <v>106</v>
      </c>
      <c r="D162" s="36" t="s">
        <v>190</v>
      </c>
      <c r="E162" s="58" t="s">
        <v>41</v>
      </c>
      <c r="F162" s="26">
        <v>45</v>
      </c>
      <c r="G162" s="26">
        <v>45</v>
      </c>
      <c r="H162" s="26">
        <v>45</v>
      </c>
      <c r="I162" s="3"/>
      <c r="J162" s="3"/>
      <c r="K162" s="3"/>
    </row>
    <row r="163" spans="1:11" s="50" customFormat="1" ht="16.5" customHeight="1" x14ac:dyDescent="0.2">
      <c r="A163" s="74" t="s">
        <v>191</v>
      </c>
      <c r="B163" s="54" t="s">
        <v>10</v>
      </c>
      <c r="C163" s="54"/>
      <c r="D163" s="25"/>
      <c r="E163" s="34"/>
      <c r="F163" s="53">
        <f t="shared" ref="F163:H168" si="24">F164</f>
        <v>471.59999999999997</v>
      </c>
      <c r="G163" s="53">
        <f t="shared" si="24"/>
        <v>514.5</v>
      </c>
      <c r="H163" s="53">
        <f t="shared" si="24"/>
        <v>532.4</v>
      </c>
      <c r="I163" s="3"/>
      <c r="J163" s="3"/>
      <c r="K163" s="3"/>
    </row>
    <row r="164" spans="1:11" s="50" customFormat="1" ht="17.25" customHeight="1" x14ac:dyDescent="0.2">
      <c r="A164" s="74" t="s">
        <v>192</v>
      </c>
      <c r="B164" s="54" t="s">
        <v>10</v>
      </c>
      <c r="C164" s="54" t="s">
        <v>23</v>
      </c>
      <c r="D164" s="25"/>
      <c r="E164" s="34"/>
      <c r="F164" s="26">
        <f t="shared" si="24"/>
        <v>471.59999999999997</v>
      </c>
      <c r="G164" s="26">
        <f t="shared" si="24"/>
        <v>514.5</v>
      </c>
      <c r="H164" s="26">
        <f t="shared" si="24"/>
        <v>532.4</v>
      </c>
      <c r="I164" s="3"/>
      <c r="J164" s="3"/>
      <c r="K164" s="3"/>
    </row>
    <row r="165" spans="1:11" s="50" customFormat="1" ht="30" customHeight="1" x14ac:dyDescent="0.2">
      <c r="A165" s="20" t="s">
        <v>11</v>
      </c>
      <c r="B165" s="34" t="s">
        <v>10</v>
      </c>
      <c r="C165" s="34" t="s">
        <v>23</v>
      </c>
      <c r="D165" s="75" t="s">
        <v>12</v>
      </c>
      <c r="E165" s="34"/>
      <c r="F165" s="26">
        <f t="shared" si="24"/>
        <v>471.59999999999997</v>
      </c>
      <c r="G165" s="26">
        <f t="shared" si="24"/>
        <v>514.5</v>
      </c>
      <c r="H165" s="26">
        <f t="shared" si="24"/>
        <v>532.4</v>
      </c>
      <c r="I165" s="3"/>
      <c r="J165" s="3"/>
      <c r="K165" s="3"/>
    </row>
    <row r="166" spans="1:11" s="50" customFormat="1" ht="13.5" customHeight="1" x14ac:dyDescent="0.2">
      <c r="A166" s="24" t="s">
        <v>13</v>
      </c>
      <c r="B166" s="34" t="s">
        <v>10</v>
      </c>
      <c r="C166" s="34" t="s">
        <v>23</v>
      </c>
      <c r="D166" s="76" t="s">
        <v>14</v>
      </c>
      <c r="E166" s="34"/>
      <c r="F166" s="26">
        <f t="shared" si="24"/>
        <v>471.59999999999997</v>
      </c>
      <c r="G166" s="26">
        <f t="shared" si="24"/>
        <v>514.5</v>
      </c>
      <c r="H166" s="26">
        <f t="shared" si="24"/>
        <v>532.4</v>
      </c>
      <c r="I166" s="3"/>
      <c r="J166" s="3"/>
      <c r="K166" s="3"/>
    </row>
    <row r="167" spans="1:11" s="50" customFormat="1" ht="29.25" customHeight="1" x14ac:dyDescent="0.2">
      <c r="A167" s="24" t="s">
        <v>15</v>
      </c>
      <c r="B167" s="34" t="s">
        <v>10</v>
      </c>
      <c r="C167" s="34" t="s">
        <v>23</v>
      </c>
      <c r="D167" s="76" t="s">
        <v>16</v>
      </c>
      <c r="E167" s="34"/>
      <c r="F167" s="26">
        <f t="shared" si="24"/>
        <v>471.59999999999997</v>
      </c>
      <c r="G167" s="26">
        <f t="shared" si="24"/>
        <v>514.5</v>
      </c>
      <c r="H167" s="26">
        <f t="shared" si="24"/>
        <v>532.4</v>
      </c>
      <c r="I167" s="3"/>
      <c r="J167" s="3"/>
      <c r="K167" s="3"/>
    </row>
    <row r="168" spans="1:11" s="50" customFormat="1" ht="27" customHeight="1" x14ac:dyDescent="0.2">
      <c r="A168" s="20" t="s">
        <v>193</v>
      </c>
      <c r="B168" s="34" t="s">
        <v>10</v>
      </c>
      <c r="C168" s="34" t="s">
        <v>23</v>
      </c>
      <c r="D168" s="25" t="s">
        <v>194</v>
      </c>
      <c r="E168" s="34"/>
      <c r="F168" s="26">
        <f t="shared" si="24"/>
        <v>471.59999999999997</v>
      </c>
      <c r="G168" s="26">
        <f t="shared" si="24"/>
        <v>514.5</v>
      </c>
      <c r="H168" s="26">
        <f t="shared" si="24"/>
        <v>532.4</v>
      </c>
      <c r="I168" s="3"/>
      <c r="J168" s="3"/>
      <c r="K168" s="3"/>
    </row>
    <row r="169" spans="1:11" s="50" customFormat="1" ht="27" customHeight="1" x14ac:dyDescent="0.2">
      <c r="A169" s="20" t="s">
        <v>19</v>
      </c>
      <c r="B169" s="34" t="s">
        <v>10</v>
      </c>
      <c r="C169" s="34" t="s">
        <v>23</v>
      </c>
      <c r="D169" s="25" t="s">
        <v>194</v>
      </c>
      <c r="E169" s="34" t="s">
        <v>21</v>
      </c>
      <c r="F169" s="26">
        <f>452.2+19.4</f>
        <v>471.59999999999997</v>
      </c>
      <c r="G169" s="26">
        <f>495.5+19</f>
        <v>514.5</v>
      </c>
      <c r="H169" s="26">
        <f>513.5+18.9</f>
        <v>532.4</v>
      </c>
      <c r="I169" s="3"/>
      <c r="J169" s="3"/>
      <c r="K169" s="3"/>
    </row>
    <row r="170" spans="1:11" s="19" customFormat="1" ht="28.5" customHeight="1" x14ac:dyDescent="0.2">
      <c r="A170" s="16" t="s">
        <v>195</v>
      </c>
      <c r="B170" s="17" t="s">
        <v>23</v>
      </c>
      <c r="C170" s="17"/>
      <c r="D170" s="17"/>
      <c r="E170" s="17"/>
      <c r="F170" s="18">
        <f>F171+F201+F189</f>
        <v>13295</v>
      </c>
      <c r="G170" s="18">
        <f>G171+G201+G189</f>
        <v>8975.9000000000015</v>
      </c>
      <c r="H170" s="18">
        <f>H171+H201+H189</f>
        <v>22779.7</v>
      </c>
    </row>
    <row r="171" spans="1:11" s="19" customFormat="1" ht="21.75" customHeight="1" x14ac:dyDescent="0.2">
      <c r="A171" s="77" t="s">
        <v>196</v>
      </c>
      <c r="B171" s="17" t="s">
        <v>23</v>
      </c>
      <c r="C171" s="17" t="s">
        <v>197</v>
      </c>
      <c r="D171" s="17"/>
      <c r="E171" s="17"/>
      <c r="F171" s="18">
        <f t="shared" ref="F171:H172" si="25">F172</f>
        <v>5750.7000000000007</v>
      </c>
      <c r="G171" s="18">
        <f t="shared" si="25"/>
        <v>5170.7000000000007</v>
      </c>
      <c r="H171" s="18">
        <f t="shared" si="25"/>
        <v>5670.7000000000007</v>
      </c>
    </row>
    <row r="172" spans="1:11" s="50" customFormat="1" ht="39.75" customHeight="1" x14ac:dyDescent="0.2">
      <c r="A172" s="20" t="s">
        <v>56</v>
      </c>
      <c r="B172" s="21" t="s">
        <v>23</v>
      </c>
      <c r="C172" s="21" t="s">
        <v>197</v>
      </c>
      <c r="D172" s="25" t="s">
        <v>57</v>
      </c>
      <c r="E172" s="21"/>
      <c r="F172" s="22">
        <f t="shared" si="25"/>
        <v>5750.7000000000007</v>
      </c>
      <c r="G172" s="22">
        <f t="shared" si="25"/>
        <v>5170.7000000000007</v>
      </c>
      <c r="H172" s="22">
        <f t="shared" si="25"/>
        <v>5670.7000000000007</v>
      </c>
      <c r="I172" s="3"/>
      <c r="J172" s="3"/>
      <c r="K172" s="3"/>
    </row>
    <row r="173" spans="1:11" s="50" customFormat="1" ht="17.25" customHeight="1" x14ac:dyDescent="0.2">
      <c r="A173" s="42" t="s">
        <v>13</v>
      </c>
      <c r="B173" s="34" t="s">
        <v>23</v>
      </c>
      <c r="C173" s="34" t="s">
        <v>197</v>
      </c>
      <c r="D173" s="25" t="s">
        <v>58</v>
      </c>
      <c r="E173" s="34"/>
      <c r="F173" s="26">
        <f>F174+F185</f>
        <v>5750.7000000000007</v>
      </c>
      <c r="G173" s="26">
        <f>G174+G185</f>
        <v>5170.7000000000007</v>
      </c>
      <c r="H173" s="26">
        <f>H174+H185</f>
        <v>5670.7000000000007</v>
      </c>
      <c r="I173" s="3"/>
      <c r="J173" s="3"/>
      <c r="K173" s="3"/>
    </row>
    <row r="174" spans="1:11" s="50" customFormat="1" ht="27.75" customHeight="1" x14ac:dyDescent="0.2">
      <c r="A174" s="20" t="s">
        <v>175</v>
      </c>
      <c r="B174" s="34" t="s">
        <v>23</v>
      </c>
      <c r="C174" s="34" t="s">
        <v>197</v>
      </c>
      <c r="D174" s="25" t="s">
        <v>176</v>
      </c>
      <c r="E174" s="34"/>
      <c r="F174" s="26">
        <f>F175+F179+F181+F177+F183</f>
        <v>1714.1</v>
      </c>
      <c r="G174" s="26">
        <f>G175+G179+G181+G177+G183</f>
        <v>1144.0999999999999</v>
      </c>
      <c r="H174" s="26">
        <f>H175+H179+H181+H177+H183</f>
        <v>1644.1</v>
      </c>
      <c r="I174" s="3"/>
      <c r="J174" s="3"/>
      <c r="K174" s="3"/>
    </row>
    <row r="175" spans="1:11" s="50" customFormat="1" ht="27.75" customHeight="1" x14ac:dyDescent="0.2">
      <c r="A175" s="20" t="s">
        <v>198</v>
      </c>
      <c r="B175" s="34" t="s">
        <v>23</v>
      </c>
      <c r="C175" s="34" t="s">
        <v>197</v>
      </c>
      <c r="D175" s="25" t="s">
        <v>199</v>
      </c>
      <c r="E175" s="51"/>
      <c r="F175" s="26">
        <f>F176</f>
        <v>140.30000000000001</v>
      </c>
      <c r="G175" s="26">
        <f>G176</f>
        <v>140.30000000000001</v>
      </c>
      <c r="H175" s="26">
        <f>H176</f>
        <v>140.30000000000001</v>
      </c>
      <c r="I175" s="78"/>
      <c r="J175" s="3"/>
      <c r="K175" s="3"/>
    </row>
    <row r="176" spans="1:11" s="50" customFormat="1" ht="27.75" customHeight="1" x14ac:dyDescent="0.2">
      <c r="A176" s="20" t="s">
        <v>28</v>
      </c>
      <c r="B176" s="34" t="s">
        <v>23</v>
      </c>
      <c r="C176" s="34" t="s">
        <v>197</v>
      </c>
      <c r="D176" s="25" t="s">
        <v>199</v>
      </c>
      <c r="E176" s="51" t="s">
        <v>29</v>
      </c>
      <c r="F176" s="26">
        <v>140.30000000000001</v>
      </c>
      <c r="G176" s="26">
        <v>140.30000000000001</v>
      </c>
      <c r="H176" s="26">
        <v>140.30000000000001</v>
      </c>
      <c r="I176" s="78"/>
      <c r="J176" s="3"/>
      <c r="K176" s="3"/>
    </row>
    <row r="177" spans="1:11" s="50" customFormat="1" ht="27.75" customHeight="1" x14ac:dyDescent="0.2">
      <c r="A177" s="20" t="s">
        <v>200</v>
      </c>
      <c r="B177" s="34" t="s">
        <v>23</v>
      </c>
      <c r="C177" s="34" t="s">
        <v>197</v>
      </c>
      <c r="D177" s="25" t="s">
        <v>201</v>
      </c>
      <c r="E177" s="51"/>
      <c r="F177" s="26">
        <f>F178</f>
        <v>883.8</v>
      </c>
      <c r="G177" s="26">
        <f>G178</f>
        <v>883.8</v>
      </c>
      <c r="H177" s="26">
        <f>H178</f>
        <v>883.8</v>
      </c>
      <c r="I177" s="3"/>
      <c r="J177" s="3"/>
      <c r="K177" s="3"/>
    </row>
    <row r="178" spans="1:11" s="50" customFormat="1" ht="27.75" customHeight="1" x14ac:dyDescent="0.2">
      <c r="A178" s="20" t="s">
        <v>28</v>
      </c>
      <c r="B178" s="34" t="s">
        <v>23</v>
      </c>
      <c r="C178" s="34" t="s">
        <v>197</v>
      </c>
      <c r="D178" s="25" t="s">
        <v>201</v>
      </c>
      <c r="E178" s="51" t="s">
        <v>29</v>
      </c>
      <c r="F178" s="26">
        <v>883.8</v>
      </c>
      <c r="G178" s="26">
        <v>883.8</v>
      </c>
      <c r="H178" s="26">
        <v>883.8</v>
      </c>
      <c r="I178" s="3"/>
      <c r="J178" s="3"/>
      <c r="K178" s="3"/>
    </row>
    <row r="179" spans="1:11" s="50" customFormat="1" ht="43.5" customHeight="1" x14ac:dyDescent="0.2">
      <c r="A179" s="20" t="s">
        <v>202</v>
      </c>
      <c r="B179" s="34" t="s">
        <v>23</v>
      </c>
      <c r="C179" s="34" t="s">
        <v>197</v>
      </c>
      <c r="D179" s="25" t="s">
        <v>203</v>
      </c>
      <c r="E179" s="51"/>
      <c r="F179" s="26">
        <f>F180</f>
        <v>500</v>
      </c>
      <c r="G179" s="26">
        <f>G180</f>
        <v>0</v>
      </c>
      <c r="H179" s="26">
        <f>H180</f>
        <v>500</v>
      </c>
      <c r="I179" s="3"/>
      <c r="J179" s="3"/>
      <c r="K179" s="3"/>
    </row>
    <row r="180" spans="1:11" s="50" customFormat="1" ht="25.5" customHeight="1" x14ac:dyDescent="0.2">
      <c r="A180" s="20" t="s">
        <v>28</v>
      </c>
      <c r="B180" s="34" t="s">
        <v>23</v>
      </c>
      <c r="C180" s="34" t="s">
        <v>197</v>
      </c>
      <c r="D180" s="25" t="s">
        <v>203</v>
      </c>
      <c r="E180" s="51" t="s">
        <v>29</v>
      </c>
      <c r="F180" s="26">
        <v>500</v>
      </c>
      <c r="G180" s="26">
        <v>0</v>
      </c>
      <c r="H180" s="26">
        <v>500</v>
      </c>
      <c r="I180" s="3"/>
      <c r="J180" s="3"/>
      <c r="K180" s="3"/>
    </row>
    <row r="181" spans="1:11" s="50" customFormat="1" ht="54" customHeight="1" x14ac:dyDescent="0.2">
      <c r="A181" s="20" t="s">
        <v>177</v>
      </c>
      <c r="B181" s="34" t="s">
        <v>23</v>
      </c>
      <c r="C181" s="34" t="s">
        <v>197</v>
      </c>
      <c r="D181" s="25" t="s">
        <v>178</v>
      </c>
      <c r="E181" s="34"/>
      <c r="F181" s="26">
        <f>F182</f>
        <v>90</v>
      </c>
      <c r="G181" s="26">
        <f>G182</f>
        <v>20</v>
      </c>
      <c r="H181" s="26">
        <f>H182</f>
        <v>20</v>
      </c>
      <c r="I181" s="3"/>
      <c r="J181" s="3"/>
      <c r="K181" s="3"/>
    </row>
    <row r="182" spans="1:11" s="50" customFormat="1" ht="25.5" customHeight="1" x14ac:dyDescent="0.2">
      <c r="A182" s="79" t="s">
        <v>28</v>
      </c>
      <c r="B182" s="34" t="s">
        <v>23</v>
      </c>
      <c r="C182" s="34" t="s">
        <v>197</v>
      </c>
      <c r="D182" s="25" t="s">
        <v>178</v>
      </c>
      <c r="E182" s="51" t="s">
        <v>29</v>
      </c>
      <c r="F182" s="26">
        <v>90</v>
      </c>
      <c r="G182" s="26">
        <v>20</v>
      </c>
      <c r="H182" s="26">
        <v>20</v>
      </c>
      <c r="I182" s="3"/>
      <c r="J182" s="3"/>
      <c r="K182" s="3"/>
    </row>
    <row r="183" spans="1:11" s="50" customFormat="1" ht="25.5" customHeight="1" x14ac:dyDescent="0.2">
      <c r="A183" s="79" t="s">
        <v>204</v>
      </c>
      <c r="B183" s="34" t="s">
        <v>23</v>
      </c>
      <c r="C183" s="34" t="s">
        <v>197</v>
      </c>
      <c r="D183" s="25" t="s">
        <v>205</v>
      </c>
      <c r="E183" s="51"/>
      <c r="F183" s="26">
        <f>F184</f>
        <v>100</v>
      </c>
      <c r="G183" s="26">
        <f>G184</f>
        <v>100</v>
      </c>
      <c r="H183" s="26">
        <f>H184</f>
        <v>100</v>
      </c>
      <c r="I183" s="3"/>
      <c r="J183" s="3"/>
      <c r="K183" s="3"/>
    </row>
    <row r="184" spans="1:11" s="50" customFormat="1" ht="25.5" customHeight="1" x14ac:dyDescent="0.2">
      <c r="A184" s="79" t="s">
        <v>28</v>
      </c>
      <c r="B184" s="34" t="s">
        <v>23</v>
      </c>
      <c r="C184" s="34" t="s">
        <v>197</v>
      </c>
      <c r="D184" s="25" t="s">
        <v>205</v>
      </c>
      <c r="E184" s="51" t="s">
        <v>29</v>
      </c>
      <c r="F184" s="26">
        <v>100</v>
      </c>
      <c r="G184" s="26">
        <v>100</v>
      </c>
      <c r="H184" s="26">
        <v>100</v>
      </c>
      <c r="I184" s="3"/>
      <c r="J184" s="3"/>
      <c r="K184" s="3"/>
    </row>
    <row r="185" spans="1:11" s="50" customFormat="1" ht="18.75" customHeight="1" x14ac:dyDescent="0.2">
      <c r="A185" s="43" t="s">
        <v>206</v>
      </c>
      <c r="B185" s="34" t="s">
        <v>23</v>
      </c>
      <c r="C185" s="34" t="s">
        <v>197</v>
      </c>
      <c r="D185" s="25" t="s">
        <v>207</v>
      </c>
      <c r="E185" s="51"/>
      <c r="F185" s="26">
        <f>F186</f>
        <v>4036.6000000000004</v>
      </c>
      <c r="G185" s="26">
        <f>G186</f>
        <v>4026.6000000000004</v>
      </c>
      <c r="H185" s="26">
        <f>H186</f>
        <v>4026.6000000000004</v>
      </c>
      <c r="I185" s="3"/>
      <c r="J185" s="3"/>
      <c r="K185" s="3"/>
    </row>
    <row r="186" spans="1:11" s="50" customFormat="1" ht="25.5" customHeight="1" x14ac:dyDescent="0.2">
      <c r="A186" s="44" t="s">
        <v>208</v>
      </c>
      <c r="B186" s="34" t="s">
        <v>23</v>
      </c>
      <c r="C186" s="34" t="s">
        <v>197</v>
      </c>
      <c r="D186" s="25" t="s">
        <v>209</v>
      </c>
      <c r="E186" s="51"/>
      <c r="F186" s="26">
        <f>F187+F188</f>
        <v>4036.6000000000004</v>
      </c>
      <c r="G186" s="26">
        <f>G187+G188</f>
        <v>4026.6000000000004</v>
      </c>
      <c r="H186" s="26">
        <f>H187+H188</f>
        <v>4026.6000000000004</v>
      </c>
      <c r="I186" s="3"/>
      <c r="J186" s="3"/>
      <c r="K186" s="3"/>
    </row>
    <row r="187" spans="1:11" s="50" customFormat="1" ht="25.5" customHeight="1" x14ac:dyDescent="0.2">
      <c r="A187" s="20" t="s">
        <v>19</v>
      </c>
      <c r="B187" s="34" t="s">
        <v>23</v>
      </c>
      <c r="C187" s="34" t="s">
        <v>197</v>
      </c>
      <c r="D187" s="25" t="s">
        <v>209</v>
      </c>
      <c r="E187" s="51" t="s">
        <v>21</v>
      </c>
      <c r="F187" s="26">
        <f>3887.8+34.5</f>
        <v>3922.3</v>
      </c>
      <c r="G187" s="26">
        <f>3887.8+34.5</f>
        <v>3922.3</v>
      </c>
      <c r="H187" s="26">
        <f>3887.8+34.5</f>
        <v>3922.3</v>
      </c>
      <c r="I187" s="3"/>
      <c r="J187" s="3"/>
      <c r="K187" s="3"/>
    </row>
    <row r="188" spans="1:11" s="50" customFormat="1" ht="25.5" customHeight="1" x14ac:dyDescent="0.2">
      <c r="A188" s="20" t="s">
        <v>28</v>
      </c>
      <c r="B188" s="34" t="s">
        <v>23</v>
      </c>
      <c r="C188" s="34" t="s">
        <v>197</v>
      </c>
      <c r="D188" s="25" t="s">
        <v>209</v>
      </c>
      <c r="E188" s="51" t="s">
        <v>29</v>
      </c>
      <c r="F188" s="26">
        <v>114.3</v>
      </c>
      <c r="G188" s="26">
        <v>104.3</v>
      </c>
      <c r="H188" s="26">
        <v>104.3</v>
      </c>
      <c r="I188" s="3"/>
      <c r="J188" s="3"/>
      <c r="K188" s="3"/>
    </row>
    <row r="189" spans="1:11" s="50" customFormat="1" ht="34.5" customHeight="1" x14ac:dyDescent="0.2">
      <c r="A189" s="80" t="s">
        <v>210</v>
      </c>
      <c r="B189" s="17" t="s">
        <v>23</v>
      </c>
      <c r="C189" s="17" t="s">
        <v>211</v>
      </c>
      <c r="D189" s="81"/>
      <c r="E189" s="34"/>
      <c r="F189" s="26">
        <f>F190</f>
        <v>5767</v>
      </c>
      <c r="G189" s="26">
        <f>G190</f>
        <v>3385</v>
      </c>
      <c r="H189" s="26">
        <f>H190</f>
        <v>4388.8</v>
      </c>
      <c r="I189" s="3"/>
      <c r="J189" s="3"/>
      <c r="K189" s="3"/>
    </row>
    <row r="190" spans="1:11" s="50" customFormat="1" ht="36.75" customHeight="1" x14ac:dyDescent="0.2">
      <c r="A190" s="31" t="s">
        <v>56</v>
      </c>
      <c r="B190" s="21" t="s">
        <v>23</v>
      </c>
      <c r="C190" s="21" t="s">
        <v>211</v>
      </c>
      <c r="D190" s="25" t="s">
        <v>57</v>
      </c>
      <c r="E190" s="34"/>
      <c r="F190" s="26">
        <f>F191+F197</f>
        <v>5767</v>
      </c>
      <c r="G190" s="26">
        <f>G191+G197</f>
        <v>3385</v>
      </c>
      <c r="H190" s="26">
        <f>H191+H197</f>
        <v>4388.8</v>
      </c>
      <c r="I190" s="3"/>
      <c r="J190" s="3"/>
      <c r="K190" s="3"/>
    </row>
    <row r="191" spans="1:11" s="50" customFormat="1" ht="13.5" customHeight="1" x14ac:dyDescent="0.2">
      <c r="A191" s="44" t="s">
        <v>50</v>
      </c>
      <c r="B191" s="21" t="s">
        <v>23</v>
      </c>
      <c r="C191" s="21" t="s">
        <v>211</v>
      </c>
      <c r="D191" s="25" t="s">
        <v>212</v>
      </c>
      <c r="E191" s="34"/>
      <c r="F191" s="26">
        <f>F192</f>
        <v>4367</v>
      </c>
      <c r="G191" s="26">
        <f>G192</f>
        <v>1985</v>
      </c>
      <c r="H191" s="26">
        <f>H192</f>
        <v>2988.8</v>
      </c>
      <c r="I191" s="3"/>
      <c r="J191" s="3"/>
      <c r="K191" s="3"/>
    </row>
    <row r="192" spans="1:11" s="50" customFormat="1" ht="29.25" customHeight="1" x14ac:dyDescent="0.2">
      <c r="A192" s="42" t="s">
        <v>213</v>
      </c>
      <c r="B192" s="21" t="s">
        <v>23</v>
      </c>
      <c r="C192" s="21" t="s">
        <v>211</v>
      </c>
      <c r="D192" s="25" t="s">
        <v>214</v>
      </c>
      <c r="E192" s="51"/>
      <c r="F192" s="26">
        <f>F193+F195</f>
        <v>4367</v>
      </c>
      <c r="G192" s="26">
        <f>G193+G195</f>
        <v>1985</v>
      </c>
      <c r="H192" s="26">
        <f>H193+H195</f>
        <v>2988.8</v>
      </c>
      <c r="I192" s="3"/>
      <c r="J192" s="3"/>
      <c r="K192" s="3"/>
    </row>
    <row r="193" spans="1:11" s="50" customFormat="1" ht="33.75" customHeight="1" x14ac:dyDescent="0.2">
      <c r="A193" s="42" t="s">
        <v>215</v>
      </c>
      <c r="B193" s="21" t="s">
        <v>23</v>
      </c>
      <c r="C193" s="21" t="s">
        <v>211</v>
      </c>
      <c r="D193" s="25" t="s">
        <v>216</v>
      </c>
      <c r="E193" s="51"/>
      <c r="F193" s="26">
        <f>F194</f>
        <v>4367</v>
      </c>
      <c r="G193" s="26">
        <f>G194</f>
        <v>1985</v>
      </c>
      <c r="H193" s="26">
        <f>H194</f>
        <v>2988.8</v>
      </c>
      <c r="I193" s="3"/>
      <c r="J193" s="3"/>
      <c r="K193" s="3"/>
    </row>
    <row r="194" spans="1:11" s="50" customFormat="1" ht="27.75" customHeight="1" x14ac:dyDescent="0.2">
      <c r="A194" s="42" t="s">
        <v>28</v>
      </c>
      <c r="B194" s="21" t="s">
        <v>23</v>
      </c>
      <c r="C194" s="21" t="s">
        <v>211</v>
      </c>
      <c r="D194" s="25" t="s">
        <v>216</v>
      </c>
      <c r="E194" s="51" t="s">
        <v>29</v>
      </c>
      <c r="F194" s="26">
        <f>2183.5+2183.5</f>
        <v>4367</v>
      </c>
      <c r="G194" s="26">
        <f>992.5+992.5</f>
        <v>1985</v>
      </c>
      <c r="H194" s="26">
        <v>2988.8</v>
      </c>
      <c r="I194" s="3"/>
      <c r="J194" s="3"/>
      <c r="K194" s="3"/>
    </row>
    <row r="195" spans="1:11" s="50" customFormat="1" ht="16.5" hidden="1" customHeight="1" x14ac:dyDescent="0.2">
      <c r="A195" s="20" t="s">
        <v>217</v>
      </c>
      <c r="B195" s="21" t="s">
        <v>23</v>
      </c>
      <c r="C195" s="21" t="s">
        <v>211</v>
      </c>
      <c r="D195" s="25" t="s">
        <v>218</v>
      </c>
      <c r="E195" s="51"/>
      <c r="F195" s="26">
        <f>F196</f>
        <v>0</v>
      </c>
      <c r="G195" s="26">
        <f>G196</f>
        <v>0</v>
      </c>
      <c r="H195" s="26">
        <f>H196</f>
        <v>0</v>
      </c>
      <c r="I195" s="3"/>
      <c r="J195" s="3"/>
      <c r="K195" s="3"/>
    </row>
    <row r="196" spans="1:11" s="50" customFormat="1" ht="27.75" hidden="1" customHeight="1" x14ac:dyDescent="0.2">
      <c r="A196" s="42" t="s">
        <v>28</v>
      </c>
      <c r="B196" s="21" t="s">
        <v>23</v>
      </c>
      <c r="C196" s="21" t="s">
        <v>211</v>
      </c>
      <c r="D196" s="25" t="s">
        <v>218</v>
      </c>
      <c r="E196" s="51" t="s">
        <v>29</v>
      </c>
      <c r="F196" s="26">
        <v>0</v>
      </c>
      <c r="G196" s="26">
        <v>0</v>
      </c>
      <c r="H196" s="26">
        <v>0</v>
      </c>
      <c r="I196" s="3"/>
      <c r="J196" s="3"/>
      <c r="K196" s="3"/>
    </row>
    <row r="197" spans="1:11" s="50" customFormat="1" ht="18" customHeight="1" x14ac:dyDescent="0.2">
      <c r="A197" s="42" t="s">
        <v>13</v>
      </c>
      <c r="B197" s="21" t="s">
        <v>23</v>
      </c>
      <c r="C197" s="21" t="s">
        <v>211</v>
      </c>
      <c r="D197" s="25" t="s">
        <v>58</v>
      </c>
      <c r="E197" s="51"/>
      <c r="F197" s="26">
        <f>F198</f>
        <v>1400</v>
      </c>
      <c r="G197" s="26">
        <f t="shared" ref="G197:H199" si="26">G198</f>
        <v>1400</v>
      </c>
      <c r="H197" s="26">
        <f t="shared" si="26"/>
        <v>1400</v>
      </c>
      <c r="I197" s="3"/>
      <c r="J197" s="3"/>
      <c r="K197" s="3"/>
    </row>
    <row r="198" spans="1:11" s="50" customFormat="1" ht="27.75" customHeight="1" x14ac:dyDescent="0.2">
      <c r="A198" s="79" t="s">
        <v>219</v>
      </c>
      <c r="B198" s="21" t="s">
        <v>23</v>
      </c>
      <c r="C198" s="21" t="s">
        <v>211</v>
      </c>
      <c r="D198" s="25" t="s">
        <v>220</v>
      </c>
      <c r="E198" s="51"/>
      <c r="F198" s="26">
        <f>F199</f>
        <v>1400</v>
      </c>
      <c r="G198" s="26">
        <f t="shared" si="26"/>
        <v>1400</v>
      </c>
      <c r="H198" s="26">
        <f t="shared" si="26"/>
        <v>1400</v>
      </c>
      <c r="I198" s="3"/>
      <c r="J198" s="3"/>
      <c r="K198" s="3"/>
    </row>
    <row r="199" spans="1:11" s="50" customFormat="1" ht="17.25" customHeight="1" x14ac:dyDescent="0.2">
      <c r="A199" s="20" t="s">
        <v>217</v>
      </c>
      <c r="B199" s="21" t="s">
        <v>23</v>
      </c>
      <c r="C199" s="21" t="s">
        <v>211</v>
      </c>
      <c r="D199" s="25" t="s">
        <v>221</v>
      </c>
      <c r="E199" s="51"/>
      <c r="F199" s="26">
        <f>F200</f>
        <v>1400</v>
      </c>
      <c r="G199" s="26">
        <f t="shared" si="26"/>
        <v>1400</v>
      </c>
      <c r="H199" s="26">
        <f t="shared" si="26"/>
        <v>1400</v>
      </c>
      <c r="I199" s="3"/>
      <c r="J199" s="3"/>
      <c r="K199" s="3"/>
    </row>
    <row r="200" spans="1:11" s="50" customFormat="1" ht="30" customHeight="1" x14ac:dyDescent="0.2">
      <c r="A200" s="20" t="s">
        <v>28</v>
      </c>
      <c r="B200" s="21" t="s">
        <v>23</v>
      </c>
      <c r="C200" s="21" t="s">
        <v>211</v>
      </c>
      <c r="D200" s="25" t="s">
        <v>221</v>
      </c>
      <c r="E200" s="51" t="s">
        <v>29</v>
      </c>
      <c r="F200" s="26">
        <v>1400</v>
      </c>
      <c r="G200" s="26">
        <v>1400</v>
      </c>
      <c r="H200" s="26">
        <v>1400</v>
      </c>
      <c r="I200" s="3"/>
      <c r="J200" s="3"/>
      <c r="K200" s="3"/>
    </row>
    <row r="201" spans="1:11" s="19" customFormat="1" ht="26.25" customHeight="1" x14ac:dyDescent="0.2">
      <c r="A201" s="77" t="s">
        <v>222</v>
      </c>
      <c r="B201" s="17" t="s">
        <v>23</v>
      </c>
      <c r="C201" s="17" t="s">
        <v>223</v>
      </c>
      <c r="D201" s="17"/>
      <c r="E201" s="17"/>
      <c r="F201" s="53">
        <f>F207+F202</f>
        <v>1777.3</v>
      </c>
      <c r="G201" s="53">
        <f>G207+G202</f>
        <v>420.2</v>
      </c>
      <c r="H201" s="53">
        <f>H207+H202</f>
        <v>12720.2</v>
      </c>
    </row>
    <row r="202" spans="1:11" s="50" customFormat="1" ht="27.75" customHeight="1" x14ac:dyDescent="0.2">
      <c r="A202" s="57" t="s">
        <v>224</v>
      </c>
      <c r="B202" s="21" t="s">
        <v>23</v>
      </c>
      <c r="C202" s="21" t="s">
        <v>223</v>
      </c>
      <c r="D202" s="34" t="s">
        <v>225</v>
      </c>
      <c r="E202" s="34"/>
      <c r="F202" s="26">
        <f>F203</f>
        <v>50</v>
      </c>
      <c r="G202" s="26">
        <f t="shared" ref="G202:H205" si="27">G203</f>
        <v>50</v>
      </c>
      <c r="H202" s="26">
        <f t="shared" si="27"/>
        <v>50</v>
      </c>
      <c r="I202" s="3"/>
      <c r="J202" s="3"/>
      <c r="K202" s="3"/>
    </row>
    <row r="203" spans="1:11" s="50" customFormat="1" ht="18" customHeight="1" x14ac:dyDescent="0.2">
      <c r="A203" s="20" t="s">
        <v>13</v>
      </c>
      <c r="B203" s="21" t="s">
        <v>23</v>
      </c>
      <c r="C203" s="21" t="s">
        <v>223</v>
      </c>
      <c r="D203" s="34" t="s">
        <v>226</v>
      </c>
      <c r="E203" s="34"/>
      <c r="F203" s="26">
        <f>F204</f>
        <v>50</v>
      </c>
      <c r="G203" s="26">
        <f t="shared" si="27"/>
        <v>50</v>
      </c>
      <c r="H203" s="26">
        <f t="shared" si="27"/>
        <v>50</v>
      </c>
      <c r="I203" s="3"/>
      <c r="J203" s="3"/>
      <c r="K203" s="3"/>
    </row>
    <row r="204" spans="1:11" s="50" customFormat="1" ht="27" customHeight="1" x14ac:dyDescent="0.2">
      <c r="A204" s="82" t="s">
        <v>227</v>
      </c>
      <c r="B204" s="21" t="s">
        <v>23</v>
      </c>
      <c r="C204" s="21" t="s">
        <v>223</v>
      </c>
      <c r="D204" s="34" t="s">
        <v>228</v>
      </c>
      <c r="E204" s="34"/>
      <c r="F204" s="26">
        <f>F205</f>
        <v>50</v>
      </c>
      <c r="G204" s="26">
        <f t="shared" si="27"/>
        <v>50</v>
      </c>
      <c r="H204" s="26">
        <f t="shared" si="27"/>
        <v>50</v>
      </c>
      <c r="I204" s="3"/>
      <c r="J204" s="3"/>
      <c r="K204" s="3"/>
    </row>
    <row r="205" spans="1:11" s="50" customFormat="1" ht="26.25" customHeight="1" x14ac:dyDescent="0.2">
      <c r="A205" s="82" t="s">
        <v>229</v>
      </c>
      <c r="B205" s="21" t="s">
        <v>23</v>
      </c>
      <c r="C205" s="21" t="s">
        <v>223</v>
      </c>
      <c r="D205" s="25" t="s">
        <v>230</v>
      </c>
      <c r="E205" s="34"/>
      <c r="F205" s="26">
        <f>F206</f>
        <v>50</v>
      </c>
      <c r="G205" s="26">
        <f t="shared" si="27"/>
        <v>50</v>
      </c>
      <c r="H205" s="26">
        <f t="shared" si="27"/>
        <v>50</v>
      </c>
      <c r="I205" s="3"/>
      <c r="J205" s="3"/>
      <c r="K205" s="3"/>
    </row>
    <row r="206" spans="1:11" s="50" customFormat="1" ht="33" customHeight="1" x14ac:dyDescent="0.2">
      <c r="A206" s="20" t="s">
        <v>28</v>
      </c>
      <c r="B206" s="21" t="s">
        <v>23</v>
      </c>
      <c r="C206" s="21" t="s">
        <v>223</v>
      </c>
      <c r="D206" s="25" t="s">
        <v>230</v>
      </c>
      <c r="E206" s="34" t="s">
        <v>29</v>
      </c>
      <c r="F206" s="26">
        <v>50</v>
      </c>
      <c r="G206" s="26">
        <v>50</v>
      </c>
      <c r="H206" s="26">
        <v>50</v>
      </c>
      <c r="I206" s="3"/>
      <c r="J206" s="3"/>
      <c r="K206" s="3"/>
    </row>
    <row r="207" spans="1:11" s="50" customFormat="1" ht="37.5" customHeight="1" x14ac:dyDescent="0.2">
      <c r="A207" s="20" t="s">
        <v>56</v>
      </c>
      <c r="B207" s="21" t="s">
        <v>23</v>
      </c>
      <c r="C207" s="21" t="s">
        <v>223</v>
      </c>
      <c r="D207" s="25" t="s">
        <v>57</v>
      </c>
      <c r="E207" s="21"/>
      <c r="F207" s="26">
        <f>F208+F220</f>
        <v>1727.3</v>
      </c>
      <c r="G207" s="26">
        <f>G208+G220</f>
        <v>370.2</v>
      </c>
      <c r="H207" s="26">
        <f>H208+H220</f>
        <v>12670.2</v>
      </c>
      <c r="I207" s="3"/>
      <c r="J207" s="3"/>
      <c r="K207" s="3"/>
    </row>
    <row r="208" spans="1:11" s="50" customFormat="1" ht="18" customHeight="1" x14ac:dyDescent="0.2">
      <c r="A208" s="44" t="s">
        <v>50</v>
      </c>
      <c r="B208" s="21" t="s">
        <v>23</v>
      </c>
      <c r="C208" s="21" t="s">
        <v>223</v>
      </c>
      <c r="D208" s="25" t="s">
        <v>212</v>
      </c>
      <c r="E208" s="21"/>
      <c r="F208" s="26">
        <f>F209+F217</f>
        <v>1317.3</v>
      </c>
      <c r="G208" s="26">
        <f>G209+G217</f>
        <v>60.2</v>
      </c>
      <c r="H208" s="26">
        <f>H209+H217</f>
        <v>12360.2</v>
      </c>
      <c r="I208" s="3"/>
      <c r="J208" s="3"/>
      <c r="K208" s="3"/>
    </row>
    <row r="209" spans="1:11" s="50" customFormat="1" ht="27" customHeight="1" x14ac:dyDescent="0.2">
      <c r="A209" s="44" t="s">
        <v>231</v>
      </c>
      <c r="B209" s="21" t="s">
        <v>23</v>
      </c>
      <c r="C209" s="21" t="s">
        <v>223</v>
      </c>
      <c r="D209" s="25" t="s">
        <v>232</v>
      </c>
      <c r="E209" s="21"/>
      <c r="F209" s="26">
        <f>F210+F212+F214</f>
        <v>1317.3</v>
      </c>
      <c r="G209" s="26">
        <f>G210+G212+G214</f>
        <v>60.2</v>
      </c>
      <c r="H209" s="26">
        <f>H210+H212+H214</f>
        <v>60.2</v>
      </c>
      <c r="I209" s="3"/>
      <c r="J209" s="3"/>
      <c r="K209" s="3"/>
    </row>
    <row r="210" spans="1:11" s="50" customFormat="1" ht="27" customHeight="1" x14ac:dyDescent="0.2">
      <c r="A210" s="42" t="s">
        <v>233</v>
      </c>
      <c r="B210" s="21" t="s">
        <v>23</v>
      </c>
      <c r="C210" s="21" t="s">
        <v>223</v>
      </c>
      <c r="D210" s="25" t="s">
        <v>234</v>
      </c>
      <c r="E210" s="21"/>
      <c r="F210" s="26">
        <f>F211</f>
        <v>417.3</v>
      </c>
      <c r="G210" s="26">
        <f>G211</f>
        <v>60.2</v>
      </c>
      <c r="H210" s="26">
        <f>H211</f>
        <v>60.2</v>
      </c>
      <c r="I210" s="3"/>
      <c r="J210" s="3"/>
      <c r="K210" s="3"/>
    </row>
    <row r="211" spans="1:11" s="84" customFormat="1" ht="30" customHeight="1" x14ac:dyDescent="0.2">
      <c r="A211" s="42" t="s">
        <v>28</v>
      </c>
      <c r="B211" s="21" t="s">
        <v>23</v>
      </c>
      <c r="C211" s="21" t="s">
        <v>223</v>
      </c>
      <c r="D211" s="25" t="s">
        <v>234</v>
      </c>
      <c r="E211" s="21" t="s">
        <v>29</v>
      </c>
      <c r="F211" s="26">
        <f>177.9+9.4+230</f>
        <v>417.3</v>
      </c>
      <c r="G211" s="26">
        <f>57.2+3</f>
        <v>60.2</v>
      </c>
      <c r="H211" s="26">
        <f>57.2+3</f>
        <v>60.2</v>
      </c>
      <c r="I211" s="83"/>
      <c r="J211" s="83"/>
      <c r="K211" s="83"/>
    </row>
    <row r="212" spans="1:11" s="84" customFormat="1" ht="30.75" customHeight="1" x14ac:dyDescent="0.2">
      <c r="A212" s="44" t="s">
        <v>235</v>
      </c>
      <c r="B212" s="21" t="s">
        <v>23</v>
      </c>
      <c r="C212" s="21" t="s">
        <v>223</v>
      </c>
      <c r="D212" s="25" t="s">
        <v>236</v>
      </c>
      <c r="E212" s="21"/>
      <c r="F212" s="26">
        <f>F216+F213</f>
        <v>900</v>
      </c>
      <c r="G212" s="26">
        <f>G216+G213</f>
        <v>0</v>
      </c>
      <c r="H212" s="26">
        <f>H216+H213</f>
        <v>0</v>
      </c>
      <c r="I212" s="83"/>
      <c r="J212" s="83"/>
      <c r="K212" s="83"/>
    </row>
    <row r="213" spans="1:11" s="84" customFormat="1" ht="29.25" customHeight="1" x14ac:dyDescent="0.2">
      <c r="A213" s="42" t="s">
        <v>28</v>
      </c>
      <c r="B213" s="21" t="s">
        <v>23</v>
      </c>
      <c r="C213" s="21" t="s">
        <v>223</v>
      </c>
      <c r="D213" s="25" t="s">
        <v>236</v>
      </c>
      <c r="E213" s="21" t="s">
        <v>29</v>
      </c>
      <c r="F213" s="26">
        <f>855+45</f>
        <v>900</v>
      </c>
      <c r="G213" s="26">
        <v>0</v>
      </c>
      <c r="H213" s="26">
        <v>0</v>
      </c>
      <c r="I213" s="83"/>
      <c r="J213" s="83"/>
      <c r="K213" s="83"/>
    </row>
    <row r="214" spans="1:11" s="84" customFormat="1" ht="15" hidden="1" customHeight="1" x14ac:dyDescent="0.2">
      <c r="A214" s="42" t="s">
        <v>237</v>
      </c>
      <c r="B214" s="21" t="s">
        <v>23</v>
      </c>
      <c r="C214" s="21" t="s">
        <v>223</v>
      </c>
      <c r="D214" s="25" t="s">
        <v>238</v>
      </c>
      <c r="E214" s="21"/>
      <c r="F214" s="26">
        <f>F216+F215</f>
        <v>0</v>
      </c>
      <c r="G214" s="26">
        <f>G216+G215</f>
        <v>0</v>
      </c>
      <c r="H214" s="26">
        <f>H216+H215</f>
        <v>0</v>
      </c>
      <c r="I214" s="83"/>
      <c r="J214" s="83"/>
      <c r="K214" s="83"/>
    </row>
    <row r="215" spans="1:11" s="84" customFormat="1" ht="30" hidden="1" customHeight="1" x14ac:dyDescent="0.2">
      <c r="A215" s="42" t="s">
        <v>28</v>
      </c>
      <c r="B215" s="21" t="s">
        <v>23</v>
      </c>
      <c r="C215" s="21" t="s">
        <v>223</v>
      </c>
      <c r="D215" s="25" t="s">
        <v>238</v>
      </c>
      <c r="E215" s="21" t="s">
        <v>29</v>
      </c>
      <c r="F215" s="26">
        <v>0</v>
      </c>
      <c r="G215" s="26">
        <v>0</v>
      </c>
      <c r="H215" s="26">
        <v>0</v>
      </c>
      <c r="I215" s="83"/>
      <c r="J215" s="83"/>
      <c r="K215" s="83"/>
    </row>
    <row r="216" spans="1:11" s="50" customFormat="1" ht="14.25" hidden="1" customHeight="1" x14ac:dyDescent="0.2">
      <c r="A216" s="42" t="s">
        <v>239</v>
      </c>
      <c r="B216" s="21" t="s">
        <v>23</v>
      </c>
      <c r="C216" s="21" t="s">
        <v>223</v>
      </c>
      <c r="D216" s="25" t="s">
        <v>238</v>
      </c>
      <c r="E216" s="21" t="s">
        <v>240</v>
      </c>
      <c r="F216" s="26">
        <v>0</v>
      </c>
      <c r="G216" s="26">
        <v>0</v>
      </c>
      <c r="H216" s="26">
        <v>0</v>
      </c>
      <c r="I216" s="3"/>
      <c r="J216" s="3"/>
      <c r="K216" s="3"/>
    </row>
    <row r="217" spans="1:11" s="50" customFormat="1" ht="29.25" customHeight="1" x14ac:dyDescent="0.2">
      <c r="A217" s="42" t="s">
        <v>241</v>
      </c>
      <c r="B217" s="21" t="s">
        <v>23</v>
      </c>
      <c r="C217" s="21" t="s">
        <v>223</v>
      </c>
      <c r="D217" s="25" t="s">
        <v>242</v>
      </c>
      <c r="E217" s="51"/>
      <c r="F217" s="26">
        <f t="shared" ref="F217:H218" si="28">F218</f>
        <v>0</v>
      </c>
      <c r="G217" s="26">
        <f t="shared" si="28"/>
        <v>0</v>
      </c>
      <c r="H217" s="26">
        <f t="shared" si="28"/>
        <v>12300</v>
      </c>
      <c r="I217" s="3"/>
      <c r="J217" s="3"/>
      <c r="K217" s="3"/>
    </row>
    <row r="218" spans="1:11" s="50" customFormat="1" ht="14.25" customHeight="1" x14ac:dyDescent="0.2">
      <c r="A218" s="42" t="s">
        <v>243</v>
      </c>
      <c r="B218" s="21" t="s">
        <v>23</v>
      </c>
      <c r="C218" s="21" t="s">
        <v>223</v>
      </c>
      <c r="D218" s="25" t="s">
        <v>244</v>
      </c>
      <c r="E218" s="51"/>
      <c r="F218" s="26">
        <f t="shared" si="28"/>
        <v>0</v>
      </c>
      <c r="G218" s="26">
        <f t="shared" si="28"/>
        <v>0</v>
      </c>
      <c r="H218" s="26">
        <f t="shared" si="28"/>
        <v>12300</v>
      </c>
      <c r="I218" s="3"/>
      <c r="J218" s="3"/>
      <c r="K218" s="3"/>
    </row>
    <row r="219" spans="1:11" s="50" customFormat="1" ht="27.75" customHeight="1" x14ac:dyDescent="0.2">
      <c r="A219" s="85" t="s">
        <v>28</v>
      </c>
      <c r="B219" s="21" t="s">
        <v>23</v>
      </c>
      <c r="C219" s="21" t="s">
        <v>223</v>
      </c>
      <c r="D219" s="25" t="s">
        <v>244</v>
      </c>
      <c r="E219" s="51" t="s">
        <v>29</v>
      </c>
      <c r="F219" s="26">
        <v>0</v>
      </c>
      <c r="G219" s="26">
        <v>0</v>
      </c>
      <c r="H219" s="26">
        <v>12300</v>
      </c>
      <c r="I219" s="3"/>
      <c r="J219" s="3"/>
      <c r="K219" s="3"/>
    </row>
    <row r="220" spans="1:11" s="50" customFormat="1" ht="15.75" customHeight="1" x14ac:dyDescent="0.2">
      <c r="A220" s="42" t="s">
        <v>13</v>
      </c>
      <c r="B220" s="21" t="s">
        <v>23</v>
      </c>
      <c r="C220" s="21" t="s">
        <v>223</v>
      </c>
      <c r="D220" s="25" t="s">
        <v>58</v>
      </c>
      <c r="E220" s="21"/>
      <c r="F220" s="26">
        <f>F221</f>
        <v>410</v>
      </c>
      <c r="G220" s="26">
        <f>G221</f>
        <v>310</v>
      </c>
      <c r="H220" s="26">
        <f>H221</f>
        <v>310</v>
      </c>
      <c r="I220" s="3"/>
      <c r="J220" s="3"/>
      <c r="K220" s="3"/>
    </row>
    <row r="221" spans="1:11" s="50" customFormat="1" ht="30" customHeight="1" x14ac:dyDescent="0.2">
      <c r="A221" s="20" t="s">
        <v>175</v>
      </c>
      <c r="B221" s="21" t="s">
        <v>23</v>
      </c>
      <c r="C221" s="21" t="s">
        <v>223</v>
      </c>
      <c r="D221" s="25" t="s">
        <v>176</v>
      </c>
      <c r="E221" s="21"/>
      <c r="F221" s="26">
        <f>F226+F224+F222</f>
        <v>410</v>
      </c>
      <c r="G221" s="26">
        <f>G226+G224+G222</f>
        <v>310</v>
      </c>
      <c r="H221" s="26">
        <f>H226+H224+H222</f>
        <v>310</v>
      </c>
      <c r="I221" s="3"/>
      <c r="J221" s="3"/>
      <c r="K221" s="3"/>
    </row>
    <row r="222" spans="1:11" s="50" customFormat="1" ht="65.25" customHeight="1" x14ac:dyDescent="0.2">
      <c r="A222" s="20" t="s">
        <v>245</v>
      </c>
      <c r="B222" s="21" t="s">
        <v>23</v>
      </c>
      <c r="C222" s="21" t="s">
        <v>223</v>
      </c>
      <c r="D222" s="25" t="s">
        <v>246</v>
      </c>
      <c r="E222" s="51"/>
      <c r="F222" s="26">
        <f>F223</f>
        <v>80</v>
      </c>
      <c r="G222" s="26">
        <f>G223</f>
        <v>20</v>
      </c>
      <c r="H222" s="26">
        <f>H223</f>
        <v>20</v>
      </c>
      <c r="I222" s="3"/>
      <c r="J222" s="3"/>
      <c r="K222" s="3"/>
    </row>
    <row r="223" spans="1:11" s="50" customFormat="1" ht="33" customHeight="1" x14ac:dyDescent="0.2">
      <c r="A223" s="20" t="s">
        <v>28</v>
      </c>
      <c r="B223" s="21" t="s">
        <v>23</v>
      </c>
      <c r="C223" s="21" t="s">
        <v>223</v>
      </c>
      <c r="D223" s="25" t="s">
        <v>246</v>
      </c>
      <c r="E223" s="51" t="s">
        <v>29</v>
      </c>
      <c r="F223" s="26">
        <v>80</v>
      </c>
      <c r="G223" s="26">
        <v>20</v>
      </c>
      <c r="H223" s="26">
        <v>20</v>
      </c>
      <c r="I223" s="3"/>
      <c r="J223" s="3"/>
      <c r="K223" s="3"/>
    </row>
    <row r="224" spans="1:11" s="50" customFormat="1" ht="30.75" customHeight="1" x14ac:dyDescent="0.2">
      <c r="A224" s="20" t="s">
        <v>247</v>
      </c>
      <c r="B224" s="21" t="s">
        <v>23</v>
      </c>
      <c r="C224" s="21" t="s">
        <v>223</v>
      </c>
      <c r="D224" s="25" t="s">
        <v>248</v>
      </c>
      <c r="E224" s="51"/>
      <c r="F224" s="26">
        <f>F225</f>
        <v>250</v>
      </c>
      <c r="G224" s="26">
        <f>G225</f>
        <v>250</v>
      </c>
      <c r="H224" s="26">
        <f>H225</f>
        <v>250</v>
      </c>
      <c r="I224" s="3"/>
      <c r="J224" s="3"/>
      <c r="K224" s="3"/>
    </row>
    <row r="225" spans="1:11" s="50" customFormat="1" ht="31.5" customHeight="1" x14ac:dyDescent="0.2">
      <c r="A225" s="20" t="s">
        <v>28</v>
      </c>
      <c r="B225" s="21" t="s">
        <v>23</v>
      </c>
      <c r="C225" s="21" t="s">
        <v>223</v>
      </c>
      <c r="D225" s="25" t="s">
        <v>248</v>
      </c>
      <c r="E225" s="51" t="s">
        <v>29</v>
      </c>
      <c r="F225" s="26">
        <v>250</v>
      </c>
      <c r="G225" s="26">
        <v>250</v>
      </c>
      <c r="H225" s="26">
        <v>250</v>
      </c>
      <c r="I225" s="3"/>
      <c r="J225" s="3"/>
      <c r="K225" s="3"/>
    </row>
    <row r="226" spans="1:11" s="50" customFormat="1" ht="54" customHeight="1" x14ac:dyDescent="0.2">
      <c r="A226" s="20" t="s">
        <v>177</v>
      </c>
      <c r="B226" s="21" t="s">
        <v>23</v>
      </c>
      <c r="C226" s="21" t="s">
        <v>223</v>
      </c>
      <c r="D226" s="25" t="s">
        <v>178</v>
      </c>
      <c r="E226" s="21"/>
      <c r="F226" s="26">
        <f>F227+F228</f>
        <v>80</v>
      </c>
      <c r="G226" s="26">
        <f>G227+G228</f>
        <v>40</v>
      </c>
      <c r="H226" s="26">
        <f>H227+H228</f>
        <v>40</v>
      </c>
      <c r="I226" s="3"/>
      <c r="J226" s="3"/>
      <c r="K226" s="3"/>
    </row>
    <row r="227" spans="1:11" s="50" customFormat="1" ht="27" customHeight="1" x14ac:dyDescent="0.2">
      <c r="A227" s="20" t="s">
        <v>28</v>
      </c>
      <c r="B227" s="21" t="s">
        <v>23</v>
      </c>
      <c r="C227" s="21" t="s">
        <v>223</v>
      </c>
      <c r="D227" s="25" t="s">
        <v>178</v>
      </c>
      <c r="E227" s="51" t="s">
        <v>29</v>
      </c>
      <c r="F227" s="26">
        <v>55</v>
      </c>
      <c r="G227" s="26">
        <v>15</v>
      </c>
      <c r="H227" s="26">
        <v>15</v>
      </c>
      <c r="I227" s="3"/>
      <c r="J227" s="3"/>
      <c r="K227" s="3"/>
    </row>
    <row r="228" spans="1:11" s="50" customFormat="1" ht="15.75" customHeight="1" x14ac:dyDescent="0.2">
      <c r="A228" s="42" t="s">
        <v>239</v>
      </c>
      <c r="B228" s="21" t="s">
        <v>23</v>
      </c>
      <c r="C228" s="21" t="s">
        <v>223</v>
      </c>
      <c r="D228" s="25" t="s">
        <v>178</v>
      </c>
      <c r="E228" s="51" t="s">
        <v>240</v>
      </c>
      <c r="F228" s="26">
        <f>5+20</f>
        <v>25</v>
      </c>
      <c r="G228" s="26">
        <f>5+20</f>
        <v>25</v>
      </c>
      <c r="H228" s="26">
        <f>5+20</f>
        <v>25</v>
      </c>
      <c r="I228" s="3"/>
      <c r="J228" s="3"/>
      <c r="K228" s="3"/>
    </row>
    <row r="229" spans="1:11" s="19" customFormat="1" ht="15.75" customHeight="1" x14ac:dyDescent="0.2">
      <c r="A229" s="29" t="s">
        <v>249</v>
      </c>
      <c r="B229" s="17" t="s">
        <v>31</v>
      </c>
      <c r="C229" s="17"/>
      <c r="D229" s="17"/>
      <c r="E229" s="17"/>
      <c r="F229" s="18">
        <f>F230+F236+F245+F265</f>
        <v>42157.3</v>
      </c>
      <c r="G229" s="18">
        <f>G230+G236+G245+G265</f>
        <v>43037.3</v>
      </c>
      <c r="H229" s="18">
        <f>H230+H236+H245+H265</f>
        <v>33371.000000000007</v>
      </c>
    </row>
    <row r="230" spans="1:11" s="19" customFormat="1" ht="15.75" customHeight="1" x14ac:dyDescent="0.2">
      <c r="A230" s="77" t="s">
        <v>250</v>
      </c>
      <c r="B230" s="17" t="s">
        <v>31</v>
      </c>
      <c r="C230" s="17" t="s">
        <v>8</v>
      </c>
      <c r="D230" s="17"/>
      <c r="E230" s="17"/>
      <c r="F230" s="18">
        <f>F231</f>
        <v>565</v>
      </c>
      <c r="G230" s="18">
        <f>G231</f>
        <v>565</v>
      </c>
      <c r="H230" s="18">
        <f>H231</f>
        <v>565</v>
      </c>
    </row>
    <row r="231" spans="1:11" s="50" customFormat="1" ht="26.25" customHeight="1" x14ac:dyDescent="0.2">
      <c r="A231" s="59" t="s">
        <v>251</v>
      </c>
      <c r="B231" s="34" t="s">
        <v>31</v>
      </c>
      <c r="C231" s="34" t="s">
        <v>8</v>
      </c>
      <c r="D231" s="25" t="s">
        <v>252</v>
      </c>
      <c r="E231" s="21"/>
      <c r="F231" s="26">
        <f>F232</f>
        <v>565</v>
      </c>
      <c r="G231" s="26">
        <f t="shared" ref="G231:H234" si="29">G232</f>
        <v>565</v>
      </c>
      <c r="H231" s="26">
        <f t="shared" si="29"/>
        <v>565</v>
      </c>
      <c r="I231" s="3"/>
      <c r="J231" s="3"/>
      <c r="K231" s="3"/>
    </row>
    <row r="232" spans="1:11" s="50" customFormat="1" ht="15" customHeight="1" x14ac:dyDescent="0.2">
      <c r="A232" s="86" t="s">
        <v>13</v>
      </c>
      <c r="B232" s="34" t="s">
        <v>31</v>
      </c>
      <c r="C232" s="34" t="s">
        <v>8</v>
      </c>
      <c r="D232" s="25" t="s">
        <v>253</v>
      </c>
      <c r="E232" s="21"/>
      <c r="F232" s="26">
        <f>F233</f>
        <v>565</v>
      </c>
      <c r="G232" s="26">
        <f t="shared" si="29"/>
        <v>565</v>
      </c>
      <c r="H232" s="26">
        <f t="shared" si="29"/>
        <v>565</v>
      </c>
      <c r="I232" s="3"/>
      <c r="J232" s="3"/>
      <c r="K232" s="3"/>
    </row>
    <row r="233" spans="1:11" s="50" customFormat="1" ht="26.25" customHeight="1" x14ac:dyDescent="0.2">
      <c r="A233" s="87" t="s">
        <v>254</v>
      </c>
      <c r="B233" s="34" t="s">
        <v>31</v>
      </c>
      <c r="C233" s="34" t="s">
        <v>8</v>
      </c>
      <c r="D233" s="25" t="s">
        <v>255</v>
      </c>
      <c r="E233" s="21"/>
      <c r="F233" s="88">
        <f>F234</f>
        <v>565</v>
      </c>
      <c r="G233" s="88">
        <f t="shared" si="29"/>
        <v>565</v>
      </c>
      <c r="H233" s="88">
        <f t="shared" si="29"/>
        <v>565</v>
      </c>
      <c r="I233" s="3"/>
      <c r="J233" s="3"/>
      <c r="K233" s="3"/>
    </row>
    <row r="234" spans="1:11" s="50" customFormat="1" ht="17.25" customHeight="1" x14ac:dyDescent="0.2">
      <c r="A234" s="20" t="s">
        <v>256</v>
      </c>
      <c r="B234" s="34" t="s">
        <v>31</v>
      </c>
      <c r="C234" s="34" t="s">
        <v>8</v>
      </c>
      <c r="D234" s="89" t="s">
        <v>257</v>
      </c>
      <c r="E234" s="21"/>
      <c r="F234" s="88">
        <f>F235</f>
        <v>565</v>
      </c>
      <c r="G234" s="88">
        <f t="shared" si="29"/>
        <v>565</v>
      </c>
      <c r="H234" s="90">
        <f t="shared" si="29"/>
        <v>565</v>
      </c>
      <c r="I234" s="3"/>
      <c r="J234" s="3"/>
      <c r="K234" s="3"/>
    </row>
    <row r="235" spans="1:11" s="50" customFormat="1" ht="26.25" customHeight="1" x14ac:dyDescent="0.2">
      <c r="A235" s="20" t="s">
        <v>28</v>
      </c>
      <c r="B235" s="34" t="s">
        <v>31</v>
      </c>
      <c r="C235" s="34" t="s">
        <v>8</v>
      </c>
      <c r="D235" s="36" t="s">
        <v>257</v>
      </c>
      <c r="E235" s="21" t="s">
        <v>29</v>
      </c>
      <c r="F235" s="88">
        <v>565</v>
      </c>
      <c r="G235" s="88">
        <v>565</v>
      </c>
      <c r="H235" s="90">
        <v>565</v>
      </c>
      <c r="I235" s="3"/>
      <c r="J235" s="3"/>
      <c r="K235" s="3"/>
    </row>
    <row r="236" spans="1:11" s="3" customFormat="1" ht="14.25" customHeight="1" x14ac:dyDescent="0.2">
      <c r="A236" s="32" t="s">
        <v>258</v>
      </c>
      <c r="B236" s="17" t="s">
        <v>31</v>
      </c>
      <c r="C236" s="17" t="s">
        <v>259</v>
      </c>
      <c r="D236" s="25"/>
      <c r="E236" s="21"/>
      <c r="F236" s="18">
        <f t="shared" ref="F236:H240" si="30">F237</f>
        <v>20225.900000000001</v>
      </c>
      <c r="G236" s="18">
        <f t="shared" si="30"/>
        <v>20563.300000000003</v>
      </c>
      <c r="H236" s="18">
        <f t="shared" si="30"/>
        <v>10670.300000000001</v>
      </c>
    </row>
    <row r="237" spans="1:11" s="50" customFormat="1" ht="24.75" customHeight="1" x14ac:dyDescent="0.2">
      <c r="A237" s="31" t="s">
        <v>224</v>
      </c>
      <c r="B237" s="21" t="s">
        <v>31</v>
      </c>
      <c r="C237" s="21" t="s">
        <v>259</v>
      </c>
      <c r="D237" s="25" t="s">
        <v>225</v>
      </c>
      <c r="E237" s="21"/>
      <c r="F237" s="22">
        <f t="shared" si="30"/>
        <v>20225.900000000001</v>
      </c>
      <c r="G237" s="22">
        <f t="shared" si="30"/>
        <v>20563.300000000003</v>
      </c>
      <c r="H237" s="22">
        <f t="shared" si="30"/>
        <v>10670.300000000001</v>
      </c>
      <c r="I237" s="3"/>
      <c r="J237" s="3"/>
      <c r="K237" s="3"/>
    </row>
    <row r="238" spans="1:11" s="50" customFormat="1" ht="16.5" customHeight="1" x14ac:dyDescent="0.2">
      <c r="A238" s="20" t="s">
        <v>13</v>
      </c>
      <c r="B238" s="21" t="s">
        <v>31</v>
      </c>
      <c r="C238" s="21" t="s">
        <v>259</v>
      </c>
      <c r="D238" s="25" t="s">
        <v>226</v>
      </c>
      <c r="E238" s="21"/>
      <c r="F238" s="22">
        <f>F239+F242</f>
        <v>20225.900000000001</v>
      </c>
      <c r="G238" s="22">
        <f>G239+G242</f>
        <v>20563.300000000003</v>
      </c>
      <c r="H238" s="22">
        <f>H239+H242</f>
        <v>10670.300000000001</v>
      </c>
      <c r="I238" s="3"/>
      <c r="J238" s="3"/>
      <c r="K238" s="3"/>
    </row>
    <row r="239" spans="1:11" s="50" customFormat="1" ht="24.75" customHeight="1" x14ac:dyDescent="0.2">
      <c r="A239" s="20" t="s">
        <v>260</v>
      </c>
      <c r="B239" s="21" t="s">
        <v>31</v>
      </c>
      <c r="C239" s="21" t="s">
        <v>259</v>
      </c>
      <c r="D239" s="25" t="s">
        <v>261</v>
      </c>
      <c r="E239" s="21"/>
      <c r="F239" s="22">
        <f>F240</f>
        <v>4093.2</v>
      </c>
      <c r="G239" s="22">
        <f t="shared" si="30"/>
        <v>3977.9</v>
      </c>
      <c r="H239" s="22">
        <f t="shared" si="30"/>
        <v>3977.9</v>
      </c>
      <c r="I239" s="3"/>
      <c r="J239" s="3"/>
      <c r="K239" s="3"/>
    </row>
    <row r="240" spans="1:11" s="50" customFormat="1" ht="42.75" customHeight="1" x14ac:dyDescent="0.2">
      <c r="A240" s="60" t="s">
        <v>262</v>
      </c>
      <c r="B240" s="21" t="s">
        <v>31</v>
      </c>
      <c r="C240" s="21" t="s">
        <v>259</v>
      </c>
      <c r="D240" s="25" t="s">
        <v>263</v>
      </c>
      <c r="E240" s="21"/>
      <c r="F240" s="22">
        <f>F241</f>
        <v>4093.2</v>
      </c>
      <c r="G240" s="22">
        <f t="shared" si="30"/>
        <v>3977.9</v>
      </c>
      <c r="H240" s="22">
        <f t="shared" si="30"/>
        <v>3977.9</v>
      </c>
      <c r="I240" s="3"/>
      <c r="J240" s="3"/>
      <c r="K240" s="3"/>
    </row>
    <row r="241" spans="1:11" s="50" customFormat="1" ht="19.5" customHeight="1" x14ac:dyDescent="0.2">
      <c r="A241" s="91" t="s">
        <v>169</v>
      </c>
      <c r="B241" s="21" t="s">
        <v>31</v>
      </c>
      <c r="C241" s="21" t="s">
        <v>259</v>
      </c>
      <c r="D241" s="25" t="s">
        <v>263</v>
      </c>
      <c r="E241" s="21" t="s">
        <v>125</v>
      </c>
      <c r="F241" s="26">
        <f>3929.5+163.7</f>
        <v>4093.2</v>
      </c>
      <c r="G241" s="26">
        <f>3818.8+159.1</f>
        <v>3977.9</v>
      </c>
      <c r="H241" s="26">
        <f>3818.8+159.1</f>
        <v>3977.9</v>
      </c>
      <c r="I241" s="3"/>
      <c r="J241" s="3"/>
      <c r="K241" s="3"/>
    </row>
    <row r="242" spans="1:11" s="50" customFormat="1" ht="26.25" customHeight="1" x14ac:dyDescent="0.2">
      <c r="A242" s="91" t="s">
        <v>264</v>
      </c>
      <c r="B242" s="21" t="s">
        <v>31</v>
      </c>
      <c r="C242" s="21" t="s">
        <v>259</v>
      </c>
      <c r="D242" s="25" t="s">
        <v>265</v>
      </c>
      <c r="E242" s="92"/>
      <c r="F242" s="26">
        <f t="shared" ref="F242:H243" si="31">F243</f>
        <v>16132.7</v>
      </c>
      <c r="G242" s="26">
        <f t="shared" si="31"/>
        <v>16585.400000000001</v>
      </c>
      <c r="H242" s="26">
        <f t="shared" si="31"/>
        <v>6692.4000000000015</v>
      </c>
      <c r="I242" s="3"/>
      <c r="J242" s="71"/>
      <c r="K242" s="3"/>
    </row>
    <row r="243" spans="1:11" s="50" customFormat="1" ht="26.25" customHeight="1" x14ac:dyDescent="0.2">
      <c r="A243" s="91" t="s">
        <v>181</v>
      </c>
      <c r="B243" s="21" t="s">
        <v>31</v>
      </c>
      <c r="C243" s="21" t="s">
        <v>259</v>
      </c>
      <c r="D243" s="25" t="s">
        <v>266</v>
      </c>
      <c r="E243" s="92"/>
      <c r="F243" s="26">
        <f t="shared" si="31"/>
        <v>16132.7</v>
      </c>
      <c r="G243" s="26">
        <f t="shared" si="31"/>
        <v>16585.400000000001</v>
      </c>
      <c r="H243" s="26">
        <f t="shared" si="31"/>
        <v>6692.4000000000015</v>
      </c>
      <c r="I243" s="3"/>
      <c r="J243" s="3"/>
      <c r="K243" s="3"/>
    </row>
    <row r="244" spans="1:11" s="50" customFormat="1" ht="19.5" customHeight="1" x14ac:dyDescent="0.2">
      <c r="A244" s="91" t="s">
        <v>169</v>
      </c>
      <c r="B244" s="21" t="s">
        <v>31</v>
      </c>
      <c r="C244" s="21" t="s">
        <v>259</v>
      </c>
      <c r="D244" s="25" t="s">
        <v>266</v>
      </c>
      <c r="E244" s="21" t="s">
        <v>125</v>
      </c>
      <c r="F244" s="26">
        <f>20225.9-4093.2</f>
        <v>16132.7</v>
      </c>
      <c r="G244" s="26">
        <f>17938.3-3977.9+2625</f>
        <v>16585.400000000001</v>
      </c>
      <c r="H244" s="26">
        <f>18683.4-3977.9-10656.1+2643</f>
        <v>6692.4000000000015</v>
      </c>
      <c r="I244" s="3"/>
      <c r="J244" s="3"/>
      <c r="K244" s="3"/>
    </row>
    <row r="245" spans="1:11" s="19" customFormat="1" ht="12.75" customHeight="1" x14ac:dyDescent="0.2">
      <c r="A245" s="16" t="s">
        <v>267</v>
      </c>
      <c r="B245" s="17" t="s">
        <v>31</v>
      </c>
      <c r="C245" s="17" t="s">
        <v>197</v>
      </c>
      <c r="D245" s="17"/>
      <c r="E245" s="17"/>
      <c r="F245" s="18">
        <f>F246+F260</f>
        <v>15799.900000000001</v>
      </c>
      <c r="G245" s="18">
        <f>G246+G260</f>
        <v>16801.900000000001</v>
      </c>
      <c r="H245" s="18">
        <f>H246+H260</f>
        <v>17131.900000000001</v>
      </c>
    </row>
    <row r="246" spans="1:11" s="19" customFormat="1" ht="30" customHeight="1" x14ac:dyDescent="0.2">
      <c r="A246" s="57" t="s">
        <v>224</v>
      </c>
      <c r="B246" s="21" t="s">
        <v>31</v>
      </c>
      <c r="C246" s="21" t="s">
        <v>197</v>
      </c>
      <c r="D246" s="34" t="s">
        <v>225</v>
      </c>
      <c r="E246" s="17"/>
      <c r="F246" s="18">
        <f>F247+F253</f>
        <v>15799.900000000001</v>
      </c>
      <c r="G246" s="18">
        <f>G247+G253</f>
        <v>16801.900000000001</v>
      </c>
      <c r="H246" s="18">
        <f>H247+H253</f>
        <v>17131.900000000001</v>
      </c>
      <c r="I246" s="93"/>
      <c r="J246" s="93"/>
      <c r="K246" s="93"/>
    </row>
    <row r="247" spans="1:11" s="19" customFormat="1" ht="16.5" customHeight="1" x14ac:dyDescent="0.2">
      <c r="A247" s="57" t="s">
        <v>50</v>
      </c>
      <c r="B247" s="21" t="s">
        <v>31</v>
      </c>
      <c r="C247" s="21" t="s">
        <v>197</v>
      </c>
      <c r="D247" s="25" t="s">
        <v>268</v>
      </c>
      <c r="E247" s="34"/>
      <c r="F247" s="26">
        <f>F248</f>
        <v>2370.3000000000002</v>
      </c>
      <c r="G247" s="26">
        <f>G248</f>
        <v>3551.9</v>
      </c>
      <c r="H247" s="26">
        <f>H248</f>
        <v>3581.9</v>
      </c>
    </row>
    <row r="248" spans="1:11" s="19" customFormat="1" ht="27" customHeight="1" x14ac:dyDescent="0.2">
      <c r="A248" s="57" t="s">
        <v>269</v>
      </c>
      <c r="B248" s="21" t="s">
        <v>31</v>
      </c>
      <c r="C248" s="21" t="s">
        <v>197</v>
      </c>
      <c r="D248" s="25" t="s">
        <v>270</v>
      </c>
      <c r="E248" s="34"/>
      <c r="F248" s="26">
        <f>F249+F251</f>
        <v>2370.3000000000002</v>
      </c>
      <c r="G248" s="26">
        <f>G249+G251</f>
        <v>3551.9</v>
      </c>
      <c r="H248" s="26">
        <f>H249+H251</f>
        <v>3581.9</v>
      </c>
    </row>
    <row r="249" spans="1:11" s="19" customFormat="1" ht="57" customHeight="1" x14ac:dyDescent="0.2">
      <c r="A249" s="57" t="s">
        <v>271</v>
      </c>
      <c r="B249" s="21" t="s">
        <v>31</v>
      </c>
      <c r="C249" s="21" t="s">
        <v>197</v>
      </c>
      <c r="D249" s="25" t="s">
        <v>272</v>
      </c>
      <c r="E249" s="34"/>
      <c r="F249" s="26">
        <f>F250</f>
        <v>631.9</v>
      </c>
      <c r="G249" s="26">
        <f>G250</f>
        <v>631.9</v>
      </c>
      <c r="H249" s="26">
        <f>H250</f>
        <v>631.9</v>
      </c>
    </row>
    <row r="250" spans="1:11" s="19" customFormat="1" ht="27" customHeight="1" x14ac:dyDescent="0.2">
      <c r="A250" s="57" t="s">
        <v>28</v>
      </c>
      <c r="B250" s="21" t="s">
        <v>31</v>
      </c>
      <c r="C250" s="21" t="s">
        <v>197</v>
      </c>
      <c r="D250" s="25" t="s">
        <v>272</v>
      </c>
      <c r="E250" s="34" t="s">
        <v>29</v>
      </c>
      <c r="F250" s="26">
        <f>612.9+19</f>
        <v>631.9</v>
      </c>
      <c r="G250" s="26">
        <f>612.9+19</f>
        <v>631.9</v>
      </c>
      <c r="H250" s="26">
        <f>612.9+19</f>
        <v>631.9</v>
      </c>
    </row>
    <row r="251" spans="1:11" s="19" customFormat="1" ht="28.5" customHeight="1" x14ac:dyDescent="0.2">
      <c r="A251" s="57" t="s">
        <v>273</v>
      </c>
      <c r="B251" s="21" t="s">
        <v>31</v>
      </c>
      <c r="C251" s="21" t="s">
        <v>197</v>
      </c>
      <c r="D251" s="25" t="s">
        <v>274</v>
      </c>
      <c r="E251" s="34"/>
      <c r="F251" s="26">
        <f>F252</f>
        <v>1738.4</v>
      </c>
      <c r="G251" s="26">
        <f>G252</f>
        <v>2920</v>
      </c>
      <c r="H251" s="26">
        <f>H252</f>
        <v>2950</v>
      </c>
    </row>
    <row r="252" spans="1:11" s="19" customFormat="1" ht="28.5" customHeight="1" x14ac:dyDescent="0.2">
      <c r="A252" s="57" t="s">
        <v>28</v>
      </c>
      <c r="B252" s="21" t="s">
        <v>31</v>
      </c>
      <c r="C252" s="21" t="s">
        <v>197</v>
      </c>
      <c r="D252" s="25" t="s">
        <v>274</v>
      </c>
      <c r="E252" s="34" t="s">
        <v>29</v>
      </c>
      <c r="F252" s="26">
        <v>1738.4</v>
      </c>
      <c r="G252" s="26">
        <v>2920</v>
      </c>
      <c r="H252" s="26">
        <v>2950</v>
      </c>
    </row>
    <row r="253" spans="1:11" s="19" customFormat="1" ht="18" customHeight="1" x14ac:dyDescent="0.2">
      <c r="A253" s="20" t="s">
        <v>13</v>
      </c>
      <c r="B253" s="21" t="s">
        <v>31</v>
      </c>
      <c r="C253" s="21" t="s">
        <v>197</v>
      </c>
      <c r="D253" s="25" t="s">
        <v>226</v>
      </c>
      <c r="E253" s="51"/>
      <c r="F253" s="26">
        <f>F254+F257</f>
        <v>13429.6</v>
      </c>
      <c r="G253" s="26">
        <f>G254+G257</f>
        <v>13250</v>
      </c>
      <c r="H253" s="26">
        <f>H254+H257</f>
        <v>13550</v>
      </c>
    </row>
    <row r="254" spans="1:11" s="19" customFormat="1" ht="26.25" customHeight="1" x14ac:dyDescent="0.2">
      <c r="A254" s="20" t="s">
        <v>275</v>
      </c>
      <c r="B254" s="21" t="s">
        <v>31</v>
      </c>
      <c r="C254" s="21" t="s">
        <v>197</v>
      </c>
      <c r="D254" s="25" t="s">
        <v>276</v>
      </c>
      <c r="E254" s="51"/>
      <c r="F254" s="26">
        <f t="shared" ref="F254:H255" si="32">F255</f>
        <v>13050</v>
      </c>
      <c r="G254" s="26">
        <f t="shared" si="32"/>
        <v>13000</v>
      </c>
      <c r="H254" s="26">
        <f t="shared" si="32"/>
        <v>13300</v>
      </c>
    </row>
    <row r="255" spans="1:11" s="19" customFormat="1" ht="26.25" customHeight="1" x14ac:dyDescent="0.2">
      <c r="A255" s="20" t="s">
        <v>277</v>
      </c>
      <c r="B255" s="21" t="s">
        <v>31</v>
      </c>
      <c r="C255" s="21" t="s">
        <v>197</v>
      </c>
      <c r="D255" s="25" t="s">
        <v>278</v>
      </c>
      <c r="E255" s="51"/>
      <c r="F255" s="26">
        <f t="shared" si="32"/>
        <v>13050</v>
      </c>
      <c r="G255" s="26">
        <f t="shared" si="32"/>
        <v>13000</v>
      </c>
      <c r="H255" s="26">
        <f t="shared" si="32"/>
        <v>13300</v>
      </c>
    </row>
    <row r="256" spans="1:11" s="19" customFormat="1" ht="26.25" customHeight="1" x14ac:dyDescent="0.2">
      <c r="A256" s="20" t="s">
        <v>28</v>
      </c>
      <c r="B256" s="21" t="s">
        <v>31</v>
      </c>
      <c r="C256" s="21" t="s">
        <v>197</v>
      </c>
      <c r="D256" s="25" t="s">
        <v>278</v>
      </c>
      <c r="E256" s="51" t="s">
        <v>29</v>
      </c>
      <c r="F256" s="26">
        <f>12000+1050</f>
        <v>13050</v>
      </c>
      <c r="G256" s="26">
        <v>13000</v>
      </c>
      <c r="H256" s="26">
        <v>13300</v>
      </c>
    </row>
    <row r="257" spans="1:11" s="19" customFormat="1" ht="26.25" customHeight="1" x14ac:dyDescent="0.2">
      <c r="A257" s="82" t="s">
        <v>227</v>
      </c>
      <c r="B257" s="21" t="s">
        <v>31</v>
      </c>
      <c r="C257" s="21" t="s">
        <v>197</v>
      </c>
      <c r="D257" s="25" t="s">
        <v>228</v>
      </c>
      <c r="E257" s="34"/>
      <c r="F257" s="26">
        <f t="shared" ref="F257:H258" si="33">F258</f>
        <v>379.6</v>
      </c>
      <c r="G257" s="26">
        <f t="shared" si="33"/>
        <v>250</v>
      </c>
      <c r="H257" s="26">
        <f t="shared" si="33"/>
        <v>250</v>
      </c>
    </row>
    <row r="258" spans="1:11" s="19" customFormat="1" ht="17.25" customHeight="1" x14ac:dyDescent="0.2">
      <c r="A258" s="59" t="s">
        <v>279</v>
      </c>
      <c r="B258" s="21" t="s">
        <v>31</v>
      </c>
      <c r="C258" s="21" t="s">
        <v>197</v>
      </c>
      <c r="D258" s="25" t="s">
        <v>280</v>
      </c>
      <c r="E258" s="34"/>
      <c r="F258" s="26">
        <f t="shared" si="33"/>
        <v>379.6</v>
      </c>
      <c r="G258" s="26">
        <f t="shared" si="33"/>
        <v>250</v>
      </c>
      <c r="H258" s="26">
        <f t="shared" si="33"/>
        <v>250</v>
      </c>
    </row>
    <row r="259" spans="1:11" s="19" customFormat="1" ht="26.25" customHeight="1" x14ac:dyDescent="0.2">
      <c r="A259" s="20" t="s">
        <v>28</v>
      </c>
      <c r="B259" s="21" t="s">
        <v>31</v>
      </c>
      <c r="C259" s="21" t="s">
        <v>197</v>
      </c>
      <c r="D259" s="25" t="s">
        <v>280</v>
      </c>
      <c r="E259" s="34" t="s">
        <v>29</v>
      </c>
      <c r="F259" s="26">
        <v>379.6</v>
      </c>
      <c r="G259" s="26">
        <v>250</v>
      </c>
      <c r="H259" s="26">
        <v>250</v>
      </c>
      <c r="I259" s="3"/>
    </row>
    <row r="260" spans="1:11" s="19" customFormat="1" ht="41.25" hidden="1" customHeight="1" x14ac:dyDescent="0.2">
      <c r="A260" s="20" t="s">
        <v>56</v>
      </c>
      <c r="B260" s="21" t="s">
        <v>31</v>
      </c>
      <c r="C260" s="21" t="s">
        <v>197</v>
      </c>
      <c r="D260" s="25" t="s">
        <v>57</v>
      </c>
      <c r="E260" s="34"/>
      <c r="F260" s="26">
        <f>F261</f>
        <v>0</v>
      </c>
      <c r="G260" s="26">
        <f t="shared" ref="G260:H263" si="34">G261</f>
        <v>0</v>
      </c>
      <c r="H260" s="26">
        <f t="shared" si="34"/>
        <v>0</v>
      </c>
    </row>
    <row r="261" spans="1:11" s="19" customFormat="1" ht="16.5" hidden="1" customHeight="1" x14ac:dyDescent="0.2">
      <c r="A261" s="20" t="s">
        <v>13</v>
      </c>
      <c r="B261" s="21" t="s">
        <v>31</v>
      </c>
      <c r="C261" s="21" t="s">
        <v>197</v>
      </c>
      <c r="D261" s="25" t="s">
        <v>58</v>
      </c>
      <c r="E261" s="34"/>
      <c r="F261" s="26">
        <f>F262</f>
        <v>0</v>
      </c>
      <c r="G261" s="26">
        <f t="shared" si="34"/>
        <v>0</v>
      </c>
      <c r="H261" s="26">
        <f t="shared" si="34"/>
        <v>0</v>
      </c>
    </row>
    <row r="262" spans="1:11" s="19" customFormat="1" ht="26.25" hidden="1" customHeight="1" x14ac:dyDescent="0.2">
      <c r="A262" s="20" t="s">
        <v>175</v>
      </c>
      <c r="B262" s="21" t="s">
        <v>31</v>
      </c>
      <c r="C262" s="21" t="s">
        <v>197</v>
      </c>
      <c r="D262" s="25" t="s">
        <v>176</v>
      </c>
      <c r="E262" s="34"/>
      <c r="F262" s="26">
        <f>F263</f>
        <v>0</v>
      </c>
      <c r="G262" s="26">
        <f t="shared" si="34"/>
        <v>0</v>
      </c>
      <c r="H262" s="26">
        <f t="shared" si="34"/>
        <v>0</v>
      </c>
    </row>
    <row r="263" spans="1:11" s="19" customFormat="1" ht="30" hidden="1" customHeight="1" x14ac:dyDescent="0.2">
      <c r="A263" s="20" t="s">
        <v>247</v>
      </c>
      <c r="B263" s="21" t="s">
        <v>31</v>
      </c>
      <c r="C263" s="21" t="s">
        <v>197</v>
      </c>
      <c r="D263" s="25" t="s">
        <v>248</v>
      </c>
      <c r="E263" s="34"/>
      <c r="F263" s="26">
        <f>F264</f>
        <v>0</v>
      </c>
      <c r="G263" s="26">
        <f t="shared" si="34"/>
        <v>0</v>
      </c>
      <c r="H263" s="26">
        <f t="shared" si="34"/>
        <v>0</v>
      </c>
    </row>
    <row r="264" spans="1:11" s="19" customFormat="1" ht="29.25" hidden="1" customHeight="1" x14ac:dyDescent="0.2">
      <c r="A264" s="20" t="s">
        <v>28</v>
      </c>
      <c r="B264" s="21" t="s">
        <v>31</v>
      </c>
      <c r="C264" s="21" t="s">
        <v>197</v>
      </c>
      <c r="D264" s="25" t="s">
        <v>248</v>
      </c>
      <c r="E264" s="34" t="s">
        <v>29</v>
      </c>
      <c r="F264" s="26">
        <f>1050-1050</f>
        <v>0</v>
      </c>
      <c r="G264" s="26">
        <v>0</v>
      </c>
      <c r="H264" s="26">
        <v>0</v>
      </c>
      <c r="I264" s="3"/>
    </row>
    <row r="265" spans="1:11" s="19" customFormat="1" ht="12.75" customHeight="1" x14ac:dyDescent="0.2">
      <c r="A265" s="16" t="s">
        <v>281</v>
      </c>
      <c r="B265" s="17" t="s">
        <v>31</v>
      </c>
      <c r="C265" s="17" t="s">
        <v>282</v>
      </c>
      <c r="D265" s="17"/>
      <c r="E265" s="17"/>
      <c r="F265" s="53">
        <f>F271+F288+F266</f>
        <v>5566.5</v>
      </c>
      <c r="G265" s="53">
        <f>G271+G288+G266</f>
        <v>5107.1000000000004</v>
      </c>
      <c r="H265" s="53">
        <f>H271+H288+H266</f>
        <v>5003.8</v>
      </c>
    </row>
    <row r="266" spans="1:11" s="19" customFormat="1" ht="25.5" hidden="1" customHeight="1" x14ac:dyDescent="0.2">
      <c r="A266" s="28" t="s">
        <v>283</v>
      </c>
      <c r="B266" s="21" t="s">
        <v>31</v>
      </c>
      <c r="C266" s="21" t="s">
        <v>282</v>
      </c>
      <c r="D266" s="21" t="s">
        <v>163</v>
      </c>
      <c r="E266" s="21"/>
      <c r="F266" s="26">
        <f t="shared" ref="F266:H269" si="35">F267</f>
        <v>0</v>
      </c>
      <c r="G266" s="26">
        <f t="shared" si="35"/>
        <v>0</v>
      </c>
      <c r="H266" s="26">
        <f t="shared" si="35"/>
        <v>0</v>
      </c>
    </row>
    <row r="267" spans="1:11" s="19" customFormat="1" ht="38.25" hidden="1" customHeight="1" x14ac:dyDescent="0.2">
      <c r="A267" s="28" t="s">
        <v>284</v>
      </c>
      <c r="B267" s="21" t="s">
        <v>31</v>
      </c>
      <c r="C267" s="21" t="s">
        <v>282</v>
      </c>
      <c r="D267" s="21" t="s">
        <v>172</v>
      </c>
      <c r="E267" s="21"/>
      <c r="F267" s="26">
        <f t="shared" si="35"/>
        <v>0</v>
      </c>
      <c r="G267" s="26">
        <f t="shared" si="35"/>
        <v>0</v>
      </c>
      <c r="H267" s="26">
        <f t="shared" si="35"/>
        <v>0</v>
      </c>
    </row>
    <row r="268" spans="1:11" s="19" customFormat="1" ht="25.5" hidden="1" customHeight="1" x14ac:dyDescent="0.2">
      <c r="A268" s="20" t="s">
        <v>285</v>
      </c>
      <c r="B268" s="21" t="s">
        <v>31</v>
      </c>
      <c r="C268" s="21" t="s">
        <v>282</v>
      </c>
      <c r="D268" s="21" t="s">
        <v>286</v>
      </c>
      <c r="E268" s="21"/>
      <c r="F268" s="26">
        <f t="shared" si="35"/>
        <v>0</v>
      </c>
      <c r="G268" s="26">
        <f t="shared" si="35"/>
        <v>0</v>
      </c>
      <c r="H268" s="26">
        <f t="shared" si="35"/>
        <v>0</v>
      </c>
    </row>
    <row r="269" spans="1:11" s="19" customFormat="1" ht="114.75" hidden="1" customHeight="1" x14ac:dyDescent="0.2">
      <c r="A269" s="27" t="s">
        <v>287</v>
      </c>
      <c r="B269" s="21" t="s">
        <v>31</v>
      </c>
      <c r="C269" s="21" t="s">
        <v>282</v>
      </c>
      <c r="D269" s="25" t="s">
        <v>288</v>
      </c>
      <c r="E269" s="21"/>
      <c r="F269" s="26">
        <f t="shared" si="35"/>
        <v>0</v>
      </c>
      <c r="G269" s="26">
        <f t="shared" si="35"/>
        <v>0</v>
      </c>
      <c r="H269" s="26">
        <f t="shared" si="35"/>
        <v>0</v>
      </c>
    </row>
    <row r="270" spans="1:11" s="19" customFormat="1" ht="25.5" hidden="1" customHeight="1" x14ac:dyDescent="0.2">
      <c r="A270" s="27" t="s">
        <v>19</v>
      </c>
      <c r="B270" s="21" t="s">
        <v>31</v>
      </c>
      <c r="C270" s="21" t="s">
        <v>282</v>
      </c>
      <c r="D270" s="25" t="s">
        <v>288</v>
      </c>
      <c r="E270" s="21" t="s">
        <v>21</v>
      </c>
      <c r="F270" s="26"/>
      <c r="G270" s="26">
        <v>0</v>
      </c>
      <c r="H270" s="26">
        <v>0</v>
      </c>
    </row>
    <row r="271" spans="1:11" s="50" customFormat="1" ht="27.75" customHeight="1" x14ac:dyDescent="0.2">
      <c r="A271" s="31" t="s">
        <v>289</v>
      </c>
      <c r="B271" s="34" t="s">
        <v>31</v>
      </c>
      <c r="C271" s="34" t="s">
        <v>282</v>
      </c>
      <c r="D271" s="25" t="s">
        <v>290</v>
      </c>
      <c r="E271" s="34"/>
      <c r="F271" s="26">
        <f>F272+F278</f>
        <v>1187.8</v>
      </c>
      <c r="G271" s="26">
        <f>G272+G278</f>
        <v>1016.0000000000002</v>
      </c>
      <c r="H271" s="26">
        <f>H272+H278</f>
        <v>916.00000000000023</v>
      </c>
      <c r="I271" s="3"/>
      <c r="J271" s="3"/>
      <c r="K271" s="3"/>
    </row>
    <row r="272" spans="1:11" s="50" customFormat="1" ht="18" customHeight="1" x14ac:dyDescent="0.2">
      <c r="A272" s="20" t="s">
        <v>291</v>
      </c>
      <c r="B272" s="34" t="s">
        <v>31</v>
      </c>
      <c r="C272" s="34" t="s">
        <v>282</v>
      </c>
      <c r="D272" s="25" t="s">
        <v>292</v>
      </c>
      <c r="E272" s="34"/>
      <c r="F272" s="26">
        <f>F273</f>
        <v>107.5</v>
      </c>
      <c r="G272" s="26">
        <f>G273</f>
        <v>200</v>
      </c>
      <c r="H272" s="26">
        <f>H273</f>
        <v>100</v>
      </c>
      <c r="I272" s="3"/>
      <c r="J272" s="3"/>
      <c r="K272" s="3"/>
    </row>
    <row r="273" spans="1:11" s="50" customFormat="1" ht="14.25" customHeight="1" x14ac:dyDescent="0.2">
      <c r="A273" s="20" t="s">
        <v>293</v>
      </c>
      <c r="B273" s="34" t="s">
        <v>31</v>
      </c>
      <c r="C273" s="34" t="s">
        <v>282</v>
      </c>
      <c r="D273" s="25" t="s">
        <v>294</v>
      </c>
      <c r="E273" s="34"/>
      <c r="F273" s="26">
        <f>F274+F276</f>
        <v>107.5</v>
      </c>
      <c r="G273" s="26">
        <f>G274+G276</f>
        <v>200</v>
      </c>
      <c r="H273" s="26">
        <f>H274+H276</f>
        <v>100</v>
      </c>
      <c r="I273" s="3"/>
      <c r="J273" s="3"/>
      <c r="K273" s="3"/>
    </row>
    <row r="274" spans="1:11" s="50" customFormat="1" ht="18.75" customHeight="1" x14ac:dyDescent="0.2">
      <c r="A274" s="20" t="s">
        <v>295</v>
      </c>
      <c r="B274" s="34" t="s">
        <v>31</v>
      </c>
      <c r="C274" s="34" t="s">
        <v>282</v>
      </c>
      <c r="D274" s="25" t="s">
        <v>296</v>
      </c>
      <c r="E274" s="34"/>
      <c r="F274" s="26">
        <f>F275</f>
        <v>7.5</v>
      </c>
      <c r="G274" s="26">
        <f>G275</f>
        <v>100</v>
      </c>
      <c r="H274" s="26">
        <f>H275</f>
        <v>0</v>
      </c>
      <c r="I274" s="3"/>
      <c r="J274" s="3"/>
      <c r="K274" s="3"/>
    </row>
    <row r="275" spans="1:11" s="50" customFormat="1" ht="25.5" customHeight="1" x14ac:dyDescent="0.2">
      <c r="A275" s="20" t="s">
        <v>28</v>
      </c>
      <c r="B275" s="34" t="s">
        <v>31</v>
      </c>
      <c r="C275" s="34" t="s">
        <v>282</v>
      </c>
      <c r="D275" s="25" t="s">
        <v>296</v>
      </c>
      <c r="E275" s="34" t="s">
        <v>29</v>
      </c>
      <c r="F275" s="26">
        <v>7.5</v>
      </c>
      <c r="G275" s="26">
        <v>100</v>
      </c>
      <c r="H275" s="26">
        <v>0</v>
      </c>
      <c r="I275" s="3"/>
      <c r="J275" s="3"/>
      <c r="K275" s="3"/>
    </row>
    <row r="276" spans="1:11" s="50" customFormat="1" ht="25.5" customHeight="1" x14ac:dyDescent="0.2">
      <c r="A276" s="37" t="s">
        <v>297</v>
      </c>
      <c r="B276" s="34" t="s">
        <v>31</v>
      </c>
      <c r="C276" s="34" t="s">
        <v>282</v>
      </c>
      <c r="D276" s="25" t="s">
        <v>298</v>
      </c>
      <c r="E276" s="34"/>
      <c r="F276" s="26">
        <f>F277</f>
        <v>100</v>
      </c>
      <c r="G276" s="26">
        <f>G277</f>
        <v>100</v>
      </c>
      <c r="H276" s="26">
        <f>H277</f>
        <v>100</v>
      </c>
      <c r="I276" s="3"/>
      <c r="J276" s="3"/>
      <c r="K276" s="3"/>
    </row>
    <row r="277" spans="1:11" s="50" customFormat="1" ht="25.5" customHeight="1" x14ac:dyDescent="0.2">
      <c r="A277" s="37" t="s">
        <v>28</v>
      </c>
      <c r="B277" s="34" t="s">
        <v>31</v>
      </c>
      <c r="C277" s="34" t="s">
        <v>282</v>
      </c>
      <c r="D277" s="25" t="s">
        <v>298</v>
      </c>
      <c r="E277" s="34" t="s">
        <v>29</v>
      </c>
      <c r="F277" s="26">
        <v>100</v>
      </c>
      <c r="G277" s="26">
        <v>100</v>
      </c>
      <c r="H277" s="26">
        <v>100</v>
      </c>
      <c r="I277" s="3"/>
      <c r="J277" s="3"/>
      <c r="K277" s="3"/>
    </row>
    <row r="278" spans="1:11" s="50" customFormat="1" ht="15" customHeight="1" x14ac:dyDescent="0.2">
      <c r="A278" s="20" t="s">
        <v>13</v>
      </c>
      <c r="B278" s="34" t="s">
        <v>31</v>
      </c>
      <c r="C278" s="34" t="s">
        <v>282</v>
      </c>
      <c r="D278" s="25" t="s">
        <v>299</v>
      </c>
      <c r="E278" s="34"/>
      <c r="F278" s="26">
        <f>F280+F282+F284+F286</f>
        <v>1080.3</v>
      </c>
      <c r="G278" s="26">
        <f>G280+G282+G284+G286</f>
        <v>816.00000000000023</v>
      </c>
      <c r="H278" s="26">
        <f>H280+H282+H284+H286</f>
        <v>816.00000000000023</v>
      </c>
      <c r="I278" s="3"/>
      <c r="J278" s="3"/>
      <c r="K278" s="3"/>
    </row>
    <row r="279" spans="1:11" s="50" customFormat="1" ht="28.5" customHeight="1" x14ac:dyDescent="0.2">
      <c r="A279" s="20" t="s">
        <v>300</v>
      </c>
      <c r="B279" s="34" t="s">
        <v>31</v>
      </c>
      <c r="C279" s="34" t="s">
        <v>282</v>
      </c>
      <c r="D279" s="25" t="s">
        <v>301</v>
      </c>
      <c r="E279" s="34"/>
      <c r="F279" s="26">
        <f>F280+F282+F284+F286</f>
        <v>1080.3</v>
      </c>
      <c r="G279" s="26">
        <f t="shared" ref="G279:H279" si="36">G280+G282+G284+G286</f>
        <v>816.00000000000023</v>
      </c>
      <c r="H279" s="26">
        <f t="shared" si="36"/>
        <v>816.00000000000023</v>
      </c>
      <c r="I279" s="3"/>
      <c r="J279" s="3"/>
      <c r="K279" s="3"/>
    </row>
    <row r="280" spans="1:11" s="50" customFormat="1" ht="16.5" customHeight="1" x14ac:dyDescent="0.2">
      <c r="A280" s="20" t="s">
        <v>302</v>
      </c>
      <c r="B280" s="34" t="s">
        <v>31</v>
      </c>
      <c r="C280" s="34" t="s">
        <v>282</v>
      </c>
      <c r="D280" s="25" t="s">
        <v>303</v>
      </c>
      <c r="E280" s="34"/>
      <c r="F280" s="26">
        <f>F281</f>
        <v>50</v>
      </c>
      <c r="G280" s="26">
        <f>G281</f>
        <v>50</v>
      </c>
      <c r="H280" s="26">
        <f>H281</f>
        <v>50</v>
      </c>
      <c r="I280" s="3"/>
      <c r="J280" s="3"/>
      <c r="K280" s="3"/>
    </row>
    <row r="281" spans="1:11" s="50" customFormat="1" ht="25.5" customHeight="1" x14ac:dyDescent="0.2">
      <c r="A281" s="20" t="s">
        <v>28</v>
      </c>
      <c r="B281" s="34" t="s">
        <v>31</v>
      </c>
      <c r="C281" s="34" t="s">
        <v>282</v>
      </c>
      <c r="D281" s="25" t="s">
        <v>303</v>
      </c>
      <c r="E281" s="34" t="s">
        <v>29</v>
      </c>
      <c r="F281" s="26">
        <v>50</v>
      </c>
      <c r="G281" s="26">
        <v>50</v>
      </c>
      <c r="H281" s="26">
        <v>50</v>
      </c>
      <c r="I281" s="3"/>
      <c r="J281" s="3"/>
      <c r="K281" s="3"/>
    </row>
    <row r="282" spans="1:11" s="50" customFormat="1" ht="38.25" hidden="1" customHeight="1" x14ac:dyDescent="0.2">
      <c r="A282" s="20" t="s">
        <v>297</v>
      </c>
      <c r="B282" s="34" t="s">
        <v>31</v>
      </c>
      <c r="C282" s="34" t="s">
        <v>282</v>
      </c>
      <c r="D282" s="25" t="s">
        <v>304</v>
      </c>
      <c r="E282" s="34"/>
      <c r="F282" s="26">
        <f>F283</f>
        <v>0</v>
      </c>
      <c r="G282" s="26">
        <f>G283</f>
        <v>0</v>
      </c>
      <c r="H282" s="26">
        <f>H283</f>
        <v>0</v>
      </c>
      <c r="I282" s="3"/>
      <c r="J282" s="3"/>
      <c r="K282" s="3"/>
    </row>
    <row r="283" spans="1:11" s="50" customFormat="1" ht="25.5" hidden="1" x14ac:dyDescent="0.2">
      <c r="A283" s="20" t="s">
        <v>28</v>
      </c>
      <c r="B283" s="34" t="s">
        <v>31</v>
      </c>
      <c r="C283" s="34" t="s">
        <v>282</v>
      </c>
      <c r="D283" s="25" t="s">
        <v>304</v>
      </c>
      <c r="E283" s="34" t="s">
        <v>29</v>
      </c>
      <c r="F283" s="26">
        <v>0</v>
      </c>
      <c r="G283" s="26">
        <v>0</v>
      </c>
      <c r="H283" s="26">
        <v>0</v>
      </c>
      <c r="I283" s="3"/>
      <c r="J283" s="3"/>
      <c r="K283" s="3"/>
    </row>
    <row r="284" spans="1:11" s="50" customFormat="1" ht="25.5" customHeight="1" x14ac:dyDescent="0.2">
      <c r="A284" s="20" t="s">
        <v>305</v>
      </c>
      <c r="B284" s="34" t="s">
        <v>31</v>
      </c>
      <c r="C284" s="34" t="s">
        <v>282</v>
      </c>
      <c r="D284" s="25" t="s">
        <v>306</v>
      </c>
      <c r="E284" s="34"/>
      <c r="F284" s="26">
        <f>F285</f>
        <v>400.5</v>
      </c>
      <c r="G284" s="26">
        <f>G285</f>
        <v>470.30000000000013</v>
      </c>
      <c r="H284" s="26">
        <f>H285</f>
        <v>470.30000000000013</v>
      </c>
      <c r="I284" s="3"/>
      <c r="J284" s="3"/>
      <c r="K284" s="3"/>
    </row>
    <row r="285" spans="1:11" s="50" customFormat="1" ht="41.25" customHeight="1" x14ac:dyDescent="0.2">
      <c r="A285" s="20" t="s">
        <v>118</v>
      </c>
      <c r="B285" s="34" t="s">
        <v>31</v>
      </c>
      <c r="C285" s="34" t="s">
        <v>282</v>
      </c>
      <c r="D285" s="25" t="s">
        <v>306</v>
      </c>
      <c r="E285" s="34" t="s">
        <v>119</v>
      </c>
      <c r="F285" s="26">
        <f>380.5+20</f>
        <v>400.5</v>
      </c>
      <c r="G285" s="26">
        <f>1048.9+55.2-602.1-31.7</f>
        <v>470.30000000000013</v>
      </c>
      <c r="H285" s="39">
        <f>1048.9+55.2-602.1-31.7</f>
        <v>470.30000000000013</v>
      </c>
      <c r="I285" s="3"/>
      <c r="J285" s="3"/>
      <c r="K285" s="3"/>
    </row>
    <row r="286" spans="1:11" s="50" customFormat="1" ht="28.5" customHeight="1" x14ac:dyDescent="0.2">
      <c r="A286" s="20" t="s">
        <v>307</v>
      </c>
      <c r="B286" s="34" t="s">
        <v>31</v>
      </c>
      <c r="C286" s="34" t="s">
        <v>282</v>
      </c>
      <c r="D286" s="25" t="s">
        <v>308</v>
      </c>
      <c r="E286" s="34"/>
      <c r="F286" s="26">
        <f>F287</f>
        <v>629.79999999999995</v>
      </c>
      <c r="G286" s="26">
        <f>G287</f>
        <v>295.7</v>
      </c>
      <c r="H286" s="26">
        <f>H287</f>
        <v>295.7</v>
      </c>
      <c r="I286" s="3"/>
      <c r="J286" s="3"/>
      <c r="K286" s="3"/>
    </row>
    <row r="287" spans="1:11" s="50" customFormat="1" ht="39" customHeight="1" x14ac:dyDescent="0.2">
      <c r="A287" s="20" t="s">
        <v>118</v>
      </c>
      <c r="B287" s="34" t="s">
        <v>31</v>
      </c>
      <c r="C287" s="34" t="s">
        <v>282</v>
      </c>
      <c r="D287" s="25" t="s">
        <v>308</v>
      </c>
      <c r="E287" s="34" t="s">
        <v>119</v>
      </c>
      <c r="F287" s="26">
        <f>598.3+31.5</f>
        <v>629.79999999999995</v>
      </c>
      <c r="G287" s="26">
        <f>280.9+14.8</f>
        <v>295.7</v>
      </c>
      <c r="H287" s="26">
        <f>280.9+14.8</f>
        <v>295.7</v>
      </c>
      <c r="I287" s="3"/>
      <c r="J287" s="3"/>
      <c r="K287" s="3"/>
    </row>
    <row r="288" spans="1:11" s="50" customFormat="1" ht="41.25" customHeight="1" x14ac:dyDescent="0.2">
      <c r="A288" s="59" t="s">
        <v>184</v>
      </c>
      <c r="B288" s="34" t="s">
        <v>31</v>
      </c>
      <c r="C288" s="34" t="s">
        <v>282</v>
      </c>
      <c r="D288" s="25" t="s">
        <v>185</v>
      </c>
      <c r="E288" s="34"/>
      <c r="F288" s="26">
        <f>F289+F296</f>
        <v>4378.7</v>
      </c>
      <c r="G288" s="26">
        <f>G289+G296</f>
        <v>4091.1</v>
      </c>
      <c r="H288" s="26">
        <f>H289+H296</f>
        <v>4087.8</v>
      </c>
      <c r="I288" s="3"/>
      <c r="J288" s="3"/>
      <c r="K288" s="3"/>
    </row>
    <row r="289" spans="1:11" s="50" customFormat="1" ht="17.25" customHeight="1" x14ac:dyDescent="0.2">
      <c r="A289" s="20" t="s">
        <v>50</v>
      </c>
      <c r="B289" s="51" t="s">
        <v>31</v>
      </c>
      <c r="C289" s="51" t="s">
        <v>282</v>
      </c>
      <c r="D289" s="25" t="s">
        <v>309</v>
      </c>
      <c r="E289" s="51"/>
      <c r="F289" s="26">
        <f>F290</f>
        <v>508.1</v>
      </c>
      <c r="G289" s="26">
        <f>G290</f>
        <v>300</v>
      </c>
      <c r="H289" s="26">
        <f>H290</f>
        <v>300</v>
      </c>
      <c r="I289" s="3"/>
      <c r="J289" s="3"/>
      <c r="K289" s="3"/>
    </row>
    <row r="290" spans="1:11" s="50" customFormat="1" ht="28.5" customHeight="1" x14ac:dyDescent="0.2">
      <c r="A290" s="20" t="s">
        <v>310</v>
      </c>
      <c r="B290" s="51" t="s">
        <v>31</v>
      </c>
      <c r="C290" s="51" t="s">
        <v>282</v>
      </c>
      <c r="D290" s="25" t="s">
        <v>311</v>
      </c>
      <c r="E290" s="51"/>
      <c r="F290" s="26">
        <f>F291+F293</f>
        <v>508.1</v>
      </c>
      <c r="G290" s="26">
        <f>G291+G293</f>
        <v>300</v>
      </c>
      <c r="H290" s="26">
        <f>H291+H293</f>
        <v>300</v>
      </c>
      <c r="I290" s="3"/>
      <c r="J290" s="3"/>
      <c r="K290" s="3"/>
    </row>
    <row r="291" spans="1:11" s="50" customFormat="1" ht="41.25" customHeight="1" x14ac:dyDescent="0.2">
      <c r="A291" s="20" t="s">
        <v>312</v>
      </c>
      <c r="B291" s="51" t="s">
        <v>31</v>
      </c>
      <c r="C291" s="51" t="s">
        <v>282</v>
      </c>
      <c r="D291" s="25" t="s">
        <v>313</v>
      </c>
      <c r="E291" s="51"/>
      <c r="F291" s="26">
        <f>F292</f>
        <v>208.1</v>
      </c>
      <c r="G291" s="26">
        <f>G292</f>
        <v>0</v>
      </c>
      <c r="H291" s="26">
        <f>H292</f>
        <v>0</v>
      </c>
      <c r="I291" s="3"/>
      <c r="J291" s="3"/>
      <c r="K291" s="3"/>
    </row>
    <row r="292" spans="1:11" s="50" customFormat="1" ht="30.75" customHeight="1" x14ac:dyDescent="0.2">
      <c r="A292" s="20" t="s">
        <v>28</v>
      </c>
      <c r="B292" s="51" t="s">
        <v>31</v>
      </c>
      <c r="C292" s="51" t="s">
        <v>282</v>
      </c>
      <c r="D292" s="25" t="s">
        <v>313</v>
      </c>
      <c r="E292" s="51" t="s">
        <v>29</v>
      </c>
      <c r="F292" s="26">
        <f>74.1+134</f>
        <v>208.1</v>
      </c>
      <c r="G292" s="26">
        <v>0</v>
      </c>
      <c r="H292" s="26">
        <v>0</v>
      </c>
      <c r="I292" s="3"/>
      <c r="J292" s="3"/>
      <c r="K292" s="3"/>
    </row>
    <row r="293" spans="1:11" s="50" customFormat="1" ht="28.5" customHeight="1" x14ac:dyDescent="0.2">
      <c r="A293" s="20" t="s">
        <v>314</v>
      </c>
      <c r="B293" s="51" t="s">
        <v>31</v>
      </c>
      <c r="C293" s="51" t="s">
        <v>282</v>
      </c>
      <c r="D293" s="25" t="s">
        <v>315</v>
      </c>
      <c r="E293" s="51"/>
      <c r="F293" s="26">
        <f>F294+F295</f>
        <v>300</v>
      </c>
      <c r="G293" s="26">
        <f>G294+G295</f>
        <v>300</v>
      </c>
      <c r="H293" s="26">
        <f>H294+H295</f>
        <v>300</v>
      </c>
      <c r="I293" s="3"/>
      <c r="J293" s="3"/>
      <c r="K293" s="3"/>
    </row>
    <row r="294" spans="1:11" s="50" customFormat="1" ht="26.25" customHeight="1" x14ac:dyDescent="0.2">
      <c r="A294" s="20" t="s">
        <v>28</v>
      </c>
      <c r="B294" s="51" t="s">
        <v>31</v>
      </c>
      <c r="C294" s="51" t="s">
        <v>282</v>
      </c>
      <c r="D294" s="25" t="s">
        <v>315</v>
      </c>
      <c r="E294" s="51" t="s">
        <v>29</v>
      </c>
      <c r="F294" s="26">
        <v>300</v>
      </c>
      <c r="G294" s="26">
        <v>300</v>
      </c>
      <c r="H294" s="26">
        <v>300</v>
      </c>
      <c r="I294" s="3"/>
      <c r="J294" s="3"/>
      <c r="K294" s="3"/>
    </row>
    <row r="295" spans="1:11" s="50" customFormat="1" ht="19.5" hidden="1" customHeight="1" x14ac:dyDescent="0.2">
      <c r="A295" s="20" t="s">
        <v>40</v>
      </c>
      <c r="B295" s="51" t="s">
        <v>31</v>
      </c>
      <c r="C295" s="51" t="s">
        <v>282</v>
      </c>
      <c r="D295" s="25" t="s">
        <v>315</v>
      </c>
      <c r="E295" s="51" t="s">
        <v>41</v>
      </c>
      <c r="F295" s="26">
        <v>0</v>
      </c>
      <c r="G295" s="26"/>
      <c r="H295" s="26">
        <v>0</v>
      </c>
      <c r="I295" s="3"/>
      <c r="J295" s="3"/>
      <c r="K295" s="3"/>
    </row>
    <row r="296" spans="1:11" s="50" customFormat="1" ht="18.75" customHeight="1" x14ac:dyDescent="0.2">
      <c r="A296" s="20" t="s">
        <v>13</v>
      </c>
      <c r="B296" s="34" t="s">
        <v>31</v>
      </c>
      <c r="C296" s="34" t="s">
        <v>282</v>
      </c>
      <c r="D296" s="25" t="s">
        <v>186</v>
      </c>
      <c r="E296" s="51"/>
      <c r="F296" s="26">
        <f>F297+F300</f>
        <v>3870.6</v>
      </c>
      <c r="G296" s="26">
        <f>G297+G300</f>
        <v>3791.1</v>
      </c>
      <c r="H296" s="26">
        <f>H297+H300</f>
        <v>3787.8</v>
      </c>
      <c r="I296" s="3"/>
      <c r="J296" s="3"/>
      <c r="K296" s="3"/>
    </row>
    <row r="297" spans="1:11" s="50" customFormat="1" ht="54" customHeight="1" x14ac:dyDescent="0.2">
      <c r="A297" s="20" t="s">
        <v>316</v>
      </c>
      <c r="B297" s="34" t="s">
        <v>31</v>
      </c>
      <c r="C297" s="34" t="s">
        <v>282</v>
      </c>
      <c r="D297" s="25" t="s">
        <v>317</v>
      </c>
      <c r="E297" s="51"/>
      <c r="F297" s="26">
        <f t="shared" ref="F297:H298" si="37">F298</f>
        <v>44.6</v>
      </c>
      <c r="G297" s="26">
        <f t="shared" si="37"/>
        <v>17</v>
      </c>
      <c r="H297" s="26">
        <f t="shared" si="37"/>
        <v>17</v>
      </c>
      <c r="I297" s="3"/>
      <c r="J297" s="3"/>
      <c r="K297" s="3"/>
    </row>
    <row r="298" spans="1:11" s="50" customFormat="1" ht="66.75" customHeight="1" x14ac:dyDescent="0.2">
      <c r="A298" s="20" t="s">
        <v>318</v>
      </c>
      <c r="B298" s="51" t="s">
        <v>31</v>
      </c>
      <c r="C298" s="51" t="s">
        <v>282</v>
      </c>
      <c r="D298" s="25" t="s">
        <v>319</v>
      </c>
      <c r="E298" s="51"/>
      <c r="F298" s="26">
        <f t="shared" si="37"/>
        <v>44.6</v>
      </c>
      <c r="G298" s="26">
        <f t="shared" si="37"/>
        <v>17</v>
      </c>
      <c r="H298" s="26">
        <f t="shared" si="37"/>
        <v>17</v>
      </c>
      <c r="I298" s="3"/>
      <c r="J298" s="3"/>
      <c r="K298" s="3"/>
    </row>
    <row r="299" spans="1:11" s="50" customFormat="1" ht="27.75" customHeight="1" x14ac:dyDescent="0.2">
      <c r="A299" s="20" t="s">
        <v>28</v>
      </c>
      <c r="B299" s="51" t="s">
        <v>31</v>
      </c>
      <c r="C299" s="51" t="s">
        <v>282</v>
      </c>
      <c r="D299" s="25" t="s">
        <v>319</v>
      </c>
      <c r="E299" s="51" t="s">
        <v>29</v>
      </c>
      <c r="F299" s="26">
        <v>44.6</v>
      </c>
      <c r="G299" s="26">
        <v>17</v>
      </c>
      <c r="H299" s="26">
        <v>17</v>
      </c>
      <c r="I299" s="3"/>
      <c r="J299" s="3"/>
      <c r="K299" s="3"/>
    </row>
    <row r="300" spans="1:11" s="50" customFormat="1" ht="41.25" customHeight="1" x14ac:dyDescent="0.2">
      <c r="A300" s="20" t="s">
        <v>320</v>
      </c>
      <c r="B300" s="51" t="s">
        <v>31</v>
      </c>
      <c r="C300" s="51" t="s">
        <v>282</v>
      </c>
      <c r="D300" s="25" t="s">
        <v>321</v>
      </c>
      <c r="E300" s="51"/>
      <c r="F300" s="26">
        <f>F301</f>
        <v>3826</v>
      </c>
      <c r="G300" s="26">
        <f>G301</f>
        <v>3774.1</v>
      </c>
      <c r="H300" s="26">
        <f>H301</f>
        <v>3770.8</v>
      </c>
      <c r="I300" s="3"/>
      <c r="J300" s="3"/>
      <c r="K300" s="3"/>
    </row>
    <row r="301" spans="1:11" s="50" customFormat="1" ht="18" customHeight="1" x14ac:dyDescent="0.2">
      <c r="A301" s="44" t="s">
        <v>26</v>
      </c>
      <c r="B301" s="34" t="s">
        <v>31</v>
      </c>
      <c r="C301" s="34" t="s">
        <v>282</v>
      </c>
      <c r="D301" s="25" t="s">
        <v>322</v>
      </c>
      <c r="E301" s="51"/>
      <c r="F301" s="26">
        <f>F302+F303+F304</f>
        <v>3826</v>
      </c>
      <c r="G301" s="26">
        <f>G302+G303+G304</f>
        <v>3774.1</v>
      </c>
      <c r="H301" s="26">
        <f>H302+H303+H304</f>
        <v>3770.8</v>
      </c>
      <c r="I301" s="3"/>
      <c r="J301" s="3"/>
      <c r="K301" s="3"/>
    </row>
    <row r="302" spans="1:11" s="50" customFormat="1" ht="27.75" customHeight="1" x14ac:dyDescent="0.2">
      <c r="A302" s="20" t="s">
        <v>19</v>
      </c>
      <c r="B302" s="34" t="s">
        <v>31</v>
      </c>
      <c r="C302" s="34" t="s">
        <v>282</v>
      </c>
      <c r="D302" s="25" t="s">
        <v>322</v>
      </c>
      <c r="E302" s="51" t="s">
        <v>21</v>
      </c>
      <c r="F302" s="26">
        <f>2300.4+1031.4+19.1+51.9</f>
        <v>3402.8</v>
      </c>
      <c r="G302" s="26">
        <f>2300.4+1031.4+19.1</f>
        <v>3350.9</v>
      </c>
      <c r="H302" s="26">
        <f>2300.4+1031.4+15.8</f>
        <v>3347.6000000000004</v>
      </c>
      <c r="I302" s="94"/>
      <c r="J302" s="3"/>
      <c r="K302" s="3"/>
    </row>
    <row r="303" spans="1:11" s="50" customFormat="1" ht="29.25" customHeight="1" x14ac:dyDescent="0.2">
      <c r="A303" s="20" t="s">
        <v>28</v>
      </c>
      <c r="B303" s="51" t="s">
        <v>31</v>
      </c>
      <c r="C303" s="51" t="s">
        <v>282</v>
      </c>
      <c r="D303" s="25" t="s">
        <v>322</v>
      </c>
      <c r="E303" s="51" t="s">
        <v>29</v>
      </c>
      <c r="F303" s="26">
        <f>362.2+60</f>
        <v>422.2</v>
      </c>
      <c r="G303" s="26">
        <v>422.2</v>
      </c>
      <c r="H303" s="26">
        <v>422.2</v>
      </c>
      <c r="I303" s="3"/>
      <c r="J303" s="3"/>
      <c r="K303" s="3"/>
    </row>
    <row r="304" spans="1:11" s="50" customFormat="1" ht="18" customHeight="1" x14ac:dyDescent="0.2">
      <c r="A304" s="20" t="s">
        <v>40</v>
      </c>
      <c r="B304" s="51" t="s">
        <v>31</v>
      </c>
      <c r="C304" s="51" t="s">
        <v>282</v>
      </c>
      <c r="D304" s="25" t="s">
        <v>322</v>
      </c>
      <c r="E304" s="51" t="s">
        <v>41</v>
      </c>
      <c r="F304" s="26">
        <v>1</v>
      </c>
      <c r="G304" s="26">
        <v>1</v>
      </c>
      <c r="H304" s="26">
        <v>1</v>
      </c>
      <c r="I304" s="3"/>
      <c r="J304" s="3"/>
      <c r="K304" s="3"/>
    </row>
    <row r="305" spans="1:11" s="19" customFormat="1" ht="12.75" customHeight="1" x14ac:dyDescent="0.2">
      <c r="A305" s="29" t="s">
        <v>323</v>
      </c>
      <c r="B305" s="17" t="s">
        <v>71</v>
      </c>
      <c r="C305" s="17"/>
      <c r="D305" s="17"/>
      <c r="E305" s="17"/>
      <c r="F305" s="53">
        <f>F306+F331+F364</f>
        <v>168676.09999999998</v>
      </c>
      <c r="G305" s="53">
        <f>G306+G331+G364</f>
        <v>48464</v>
      </c>
      <c r="H305" s="53">
        <f>H306+H331+H364</f>
        <v>49129.2</v>
      </c>
    </row>
    <row r="306" spans="1:11" s="19" customFormat="1" ht="12.75" customHeight="1" x14ac:dyDescent="0.2">
      <c r="A306" s="32" t="s">
        <v>324</v>
      </c>
      <c r="B306" s="17" t="s">
        <v>71</v>
      </c>
      <c r="C306" s="17" t="s">
        <v>8</v>
      </c>
      <c r="D306" s="17"/>
      <c r="E306" s="17"/>
      <c r="F306" s="53">
        <f>F312+F317+F307</f>
        <v>9883.7999999999993</v>
      </c>
      <c r="G306" s="53">
        <f>G312+G317+G307</f>
        <v>14807</v>
      </c>
      <c r="H306" s="53">
        <f>H312+H317+H307</f>
        <v>14007</v>
      </c>
    </row>
    <row r="307" spans="1:11" s="19" customFormat="1" ht="38.25" hidden="1" customHeight="1" x14ac:dyDescent="0.2">
      <c r="A307" s="20" t="s">
        <v>325</v>
      </c>
      <c r="B307" s="21" t="s">
        <v>71</v>
      </c>
      <c r="C307" s="21" t="s">
        <v>8</v>
      </c>
      <c r="D307" s="34" t="s">
        <v>185</v>
      </c>
      <c r="E307" s="34"/>
      <c r="F307" s="26">
        <f t="shared" ref="F307:H310" si="38">F308</f>
        <v>0</v>
      </c>
      <c r="G307" s="26">
        <f t="shared" si="38"/>
        <v>0</v>
      </c>
      <c r="H307" s="26">
        <f t="shared" si="38"/>
        <v>0</v>
      </c>
    </row>
    <row r="308" spans="1:11" s="19" customFormat="1" ht="25.5" hidden="1" customHeight="1" x14ac:dyDescent="0.2">
      <c r="A308" s="20" t="s">
        <v>326</v>
      </c>
      <c r="B308" s="21" t="s">
        <v>71</v>
      </c>
      <c r="C308" s="21" t="s">
        <v>8</v>
      </c>
      <c r="D308" s="25" t="s">
        <v>327</v>
      </c>
      <c r="E308" s="34"/>
      <c r="F308" s="26">
        <f t="shared" si="38"/>
        <v>0</v>
      </c>
      <c r="G308" s="26">
        <f t="shared" si="38"/>
        <v>0</v>
      </c>
      <c r="H308" s="26">
        <f t="shared" si="38"/>
        <v>0</v>
      </c>
    </row>
    <row r="309" spans="1:11" s="19" customFormat="1" ht="25.5" hidden="1" customHeight="1" x14ac:dyDescent="0.2">
      <c r="A309" s="20" t="s">
        <v>328</v>
      </c>
      <c r="B309" s="21" t="s">
        <v>71</v>
      </c>
      <c r="C309" s="21" t="s">
        <v>8</v>
      </c>
      <c r="D309" s="25" t="s">
        <v>329</v>
      </c>
      <c r="E309" s="34"/>
      <c r="F309" s="26">
        <f t="shared" si="38"/>
        <v>0</v>
      </c>
      <c r="G309" s="26">
        <f t="shared" si="38"/>
        <v>0</v>
      </c>
      <c r="H309" s="26">
        <f t="shared" si="38"/>
        <v>0</v>
      </c>
    </row>
    <row r="310" spans="1:11" s="19" customFormat="1" ht="12.75" hidden="1" customHeight="1" x14ac:dyDescent="0.2">
      <c r="A310" s="20" t="s">
        <v>330</v>
      </c>
      <c r="B310" s="21" t="s">
        <v>71</v>
      </c>
      <c r="C310" s="21" t="s">
        <v>8</v>
      </c>
      <c r="D310" s="25" t="s">
        <v>331</v>
      </c>
      <c r="E310" s="34"/>
      <c r="F310" s="26">
        <f t="shared" si="38"/>
        <v>0</v>
      </c>
      <c r="G310" s="26">
        <f t="shared" si="38"/>
        <v>0</v>
      </c>
      <c r="H310" s="26">
        <f t="shared" si="38"/>
        <v>0</v>
      </c>
    </row>
    <row r="311" spans="1:11" s="19" customFormat="1" ht="25.5" hidden="1" customHeight="1" x14ac:dyDescent="0.2">
      <c r="A311" s="20" t="s">
        <v>28</v>
      </c>
      <c r="B311" s="21" t="s">
        <v>71</v>
      </c>
      <c r="C311" s="21" t="s">
        <v>8</v>
      </c>
      <c r="D311" s="25" t="s">
        <v>331</v>
      </c>
      <c r="E311" s="34" t="s">
        <v>29</v>
      </c>
      <c r="F311" s="26">
        <v>0</v>
      </c>
      <c r="G311" s="26">
        <v>0</v>
      </c>
      <c r="H311" s="26">
        <v>0</v>
      </c>
    </row>
    <row r="312" spans="1:11" s="50" customFormat="1" ht="38.25" customHeight="1" x14ac:dyDescent="0.2">
      <c r="A312" s="59" t="s">
        <v>184</v>
      </c>
      <c r="B312" s="21" t="s">
        <v>71</v>
      </c>
      <c r="C312" s="21" t="s">
        <v>8</v>
      </c>
      <c r="D312" s="25" t="s">
        <v>185</v>
      </c>
      <c r="E312" s="21"/>
      <c r="F312" s="26">
        <f t="shared" ref="F312:H315" si="39">F313</f>
        <v>1080</v>
      </c>
      <c r="G312" s="26">
        <f t="shared" si="39"/>
        <v>1080</v>
      </c>
      <c r="H312" s="26">
        <f t="shared" si="39"/>
        <v>1080</v>
      </c>
      <c r="I312" s="3"/>
      <c r="J312" s="3"/>
      <c r="K312" s="3"/>
    </row>
    <row r="313" spans="1:11" s="50" customFormat="1" ht="14.25" customHeight="1" x14ac:dyDescent="0.2">
      <c r="A313" s="59" t="s">
        <v>13</v>
      </c>
      <c r="B313" s="21" t="s">
        <v>71</v>
      </c>
      <c r="C313" s="21" t="s">
        <v>8</v>
      </c>
      <c r="D313" s="25" t="s">
        <v>186</v>
      </c>
      <c r="E313" s="21"/>
      <c r="F313" s="26">
        <f t="shared" si="39"/>
        <v>1080</v>
      </c>
      <c r="G313" s="26">
        <f t="shared" si="39"/>
        <v>1080</v>
      </c>
      <c r="H313" s="26">
        <f t="shared" si="39"/>
        <v>1080</v>
      </c>
      <c r="I313" s="3"/>
      <c r="J313" s="3"/>
      <c r="K313" s="3"/>
    </row>
    <row r="314" spans="1:11" s="50" customFormat="1" ht="43.5" customHeight="1" x14ac:dyDescent="0.2">
      <c r="A314" s="20" t="s">
        <v>187</v>
      </c>
      <c r="B314" s="21" t="s">
        <v>71</v>
      </c>
      <c r="C314" s="21" t="s">
        <v>8</v>
      </c>
      <c r="D314" s="25" t="s">
        <v>188</v>
      </c>
      <c r="E314" s="21"/>
      <c r="F314" s="26">
        <f t="shared" si="39"/>
        <v>1080</v>
      </c>
      <c r="G314" s="26">
        <f t="shared" si="39"/>
        <v>1080</v>
      </c>
      <c r="H314" s="26">
        <f t="shared" si="39"/>
        <v>1080</v>
      </c>
      <c r="I314" s="3"/>
      <c r="J314" s="3"/>
      <c r="K314" s="3"/>
    </row>
    <row r="315" spans="1:11" s="50" customFormat="1" ht="25.5" customHeight="1" x14ac:dyDescent="0.2">
      <c r="A315" s="73" t="s">
        <v>189</v>
      </c>
      <c r="B315" s="21" t="s">
        <v>71</v>
      </c>
      <c r="C315" s="21" t="s">
        <v>8</v>
      </c>
      <c r="D315" s="36" t="s">
        <v>190</v>
      </c>
      <c r="E315" s="21"/>
      <c r="F315" s="26">
        <f t="shared" si="39"/>
        <v>1080</v>
      </c>
      <c r="G315" s="26">
        <f t="shared" si="39"/>
        <v>1080</v>
      </c>
      <c r="H315" s="26">
        <f t="shared" si="39"/>
        <v>1080</v>
      </c>
      <c r="I315" s="3"/>
      <c r="J315" s="3"/>
      <c r="K315" s="3"/>
    </row>
    <row r="316" spans="1:11" s="50" customFormat="1" ht="27" customHeight="1" x14ac:dyDescent="0.2">
      <c r="A316" s="43" t="s">
        <v>28</v>
      </c>
      <c r="B316" s="21" t="s">
        <v>71</v>
      </c>
      <c r="C316" s="21" t="s">
        <v>8</v>
      </c>
      <c r="D316" s="36" t="s">
        <v>190</v>
      </c>
      <c r="E316" s="21" t="s">
        <v>29</v>
      </c>
      <c r="F316" s="26">
        <v>1080</v>
      </c>
      <c r="G316" s="26">
        <v>1080</v>
      </c>
      <c r="H316" s="26">
        <v>1080</v>
      </c>
      <c r="I316" s="3"/>
      <c r="J316" s="3"/>
      <c r="K316" s="3"/>
    </row>
    <row r="317" spans="1:11" s="50" customFormat="1" ht="38.25" customHeight="1" x14ac:dyDescent="0.2">
      <c r="A317" s="31" t="s">
        <v>332</v>
      </c>
      <c r="B317" s="21" t="s">
        <v>71</v>
      </c>
      <c r="C317" s="21" t="s">
        <v>8</v>
      </c>
      <c r="D317" s="25" t="s">
        <v>333</v>
      </c>
      <c r="E317" s="21"/>
      <c r="F317" s="26">
        <f>F324+F318</f>
        <v>8803.7999999999993</v>
      </c>
      <c r="G317" s="26">
        <f t="shared" ref="G317:H317" si="40">G324+G318</f>
        <v>13727</v>
      </c>
      <c r="H317" s="26">
        <f t="shared" si="40"/>
        <v>12927</v>
      </c>
      <c r="I317" s="3"/>
      <c r="J317" s="3"/>
      <c r="K317" s="3"/>
    </row>
    <row r="318" spans="1:11" s="50" customFormat="1" ht="15" customHeight="1" x14ac:dyDescent="0.2">
      <c r="A318" s="20" t="s">
        <v>334</v>
      </c>
      <c r="B318" s="34" t="s">
        <v>71</v>
      </c>
      <c r="C318" s="34" t="s">
        <v>8</v>
      </c>
      <c r="D318" s="76" t="s">
        <v>335</v>
      </c>
      <c r="E318" s="95"/>
      <c r="F318" s="96">
        <f>F319</f>
        <v>8435.4</v>
      </c>
      <c r="G318" s="96">
        <f t="shared" ref="G318:H320" si="41">G319</f>
        <v>12295.8</v>
      </c>
      <c r="H318" s="96">
        <f t="shared" si="41"/>
        <v>12295.8</v>
      </c>
      <c r="I318" s="3"/>
      <c r="J318" s="3"/>
      <c r="K318" s="3"/>
    </row>
    <row r="319" spans="1:11" s="50" customFormat="1" ht="15" customHeight="1" x14ac:dyDescent="0.2">
      <c r="A319" s="97" t="s">
        <v>336</v>
      </c>
      <c r="B319" s="34" t="s">
        <v>71</v>
      </c>
      <c r="C319" s="34" t="s">
        <v>8</v>
      </c>
      <c r="D319" s="76" t="s">
        <v>337</v>
      </c>
      <c r="E319" s="95"/>
      <c r="F319" s="96">
        <f>F320+F322</f>
        <v>8435.4</v>
      </c>
      <c r="G319" s="96">
        <f t="shared" ref="G319:H319" si="42">G320+G322</f>
        <v>12295.8</v>
      </c>
      <c r="H319" s="96">
        <f t="shared" si="42"/>
        <v>12295.8</v>
      </c>
      <c r="I319" s="3"/>
      <c r="J319" s="3"/>
      <c r="K319" s="3"/>
    </row>
    <row r="320" spans="1:11" s="50" customFormat="1" ht="42" customHeight="1" x14ac:dyDescent="0.2">
      <c r="A320" s="97" t="s">
        <v>338</v>
      </c>
      <c r="B320" s="34" t="s">
        <v>71</v>
      </c>
      <c r="C320" s="34" t="s">
        <v>8</v>
      </c>
      <c r="D320" s="25" t="s">
        <v>339</v>
      </c>
      <c r="E320" s="95"/>
      <c r="F320" s="26">
        <f>F321</f>
        <v>3454.2999999999997</v>
      </c>
      <c r="G320" s="26">
        <f t="shared" si="41"/>
        <v>5035.1000000000004</v>
      </c>
      <c r="H320" s="26">
        <f t="shared" si="41"/>
        <v>5035.1000000000004</v>
      </c>
      <c r="I320" s="3"/>
      <c r="J320" s="3"/>
      <c r="K320" s="3"/>
    </row>
    <row r="321" spans="1:11" s="50" customFormat="1" ht="14.25" customHeight="1" x14ac:dyDescent="0.2">
      <c r="A321" s="64" t="s">
        <v>340</v>
      </c>
      <c r="B321" s="34" t="s">
        <v>71</v>
      </c>
      <c r="C321" s="34" t="s">
        <v>8</v>
      </c>
      <c r="D321" s="25" t="s">
        <v>339</v>
      </c>
      <c r="E321" s="51" t="s">
        <v>341</v>
      </c>
      <c r="F321" s="26">
        <f>3350.6+103.7</f>
        <v>3454.2999999999997</v>
      </c>
      <c r="G321" s="26">
        <f>4884.1+151</f>
        <v>5035.1000000000004</v>
      </c>
      <c r="H321" s="26">
        <f>4884.1+151</f>
        <v>5035.1000000000004</v>
      </c>
      <c r="I321" s="3"/>
      <c r="J321" s="3"/>
      <c r="K321" s="3"/>
    </row>
    <row r="322" spans="1:11" s="50" customFormat="1" ht="27" customHeight="1" x14ac:dyDescent="0.2">
      <c r="A322" s="98" t="s">
        <v>342</v>
      </c>
      <c r="B322" s="34" t="s">
        <v>71</v>
      </c>
      <c r="C322" s="34" t="s">
        <v>8</v>
      </c>
      <c r="D322" s="76" t="s">
        <v>343</v>
      </c>
      <c r="E322" s="95"/>
      <c r="F322" s="26">
        <f>F323</f>
        <v>4981.1000000000004</v>
      </c>
      <c r="G322" s="26">
        <f t="shared" ref="G322:H322" si="43">G323</f>
        <v>7260.7</v>
      </c>
      <c r="H322" s="26">
        <f t="shared" si="43"/>
        <v>7260.7</v>
      </c>
      <c r="I322" s="3"/>
      <c r="J322" s="3"/>
      <c r="K322" s="3"/>
    </row>
    <row r="323" spans="1:11" s="50" customFormat="1" ht="13.5" customHeight="1" x14ac:dyDescent="0.2">
      <c r="A323" s="64" t="s">
        <v>340</v>
      </c>
      <c r="B323" s="34" t="s">
        <v>71</v>
      </c>
      <c r="C323" s="34" t="s">
        <v>8</v>
      </c>
      <c r="D323" s="76" t="s">
        <v>343</v>
      </c>
      <c r="E323" s="95" t="s">
        <v>341</v>
      </c>
      <c r="F323" s="26">
        <f>4831.6+149.5</f>
        <v>4981.1000000000004</v>
      </c>
      <c r="G323" s="26">
        <f>7042.9+217.8</f>
        <v>7260.7</v>
      </c>
      <c r="H323" s="26">
        <f>7042.9+217.8</f>
        <v>7260.7</v>
      </c>
      <c r="I323" s="3"/>
      <c r="J323" s="3"/>
      <c r="K323" s="3"/>
    </row>
    <row r="324" spans="1:11" s="50" customFormat="1" ht="17.25" customHeight="1" x14ac:dyDescent="0.2">
      <c r="A324" s="20" t="s">
        <v>50</v>
      </c>
      <c r="B324" s="51" t="s">
        <v>71</v>
      </c>
      <c r="C324" s="51" t="s">
        <v>8</v>
      </c>
      <c r="D324" s="25" t="s">
        <v>344</v>
      </c>
      <c r="E324" s="99"/>
      <c r="F324" s="26">
        <f>F325+F328</f>
        <v>368.4</v>
      </c>
      <c r="G324" s="26">
        <f>G325+G328</f>
        <v>1431.2</v>
      </c>
      <c r="H324" s="26">
        <f>H325+H328</f>
        <v>631.20000000000005</v>
      </c>
      <c r="I324" s="3"/>
      <c r="J324" s="3"/>
      <c r="K324" s="3"/>
    </row>
    <row r="325" spans="1:11" s="50" customFormat="1" ht="27.75" customHeight="1" x14ac:dyDescent="0.2">
      <c r="A325" s="20" t="s">
        <v>345</v>
      </c>
      <c r="B325" s="51" t="s">
        <v>71</v>
      </c>
      <c r="C325" s="51" t="s">
        <v>8</v>
      </c>
      <c r="D325" s="25" t="s">
        <v>346</v>
      </c>
      <c r="E325" s="51"/>
      <c r="F325" s="26">
        <f t="shared" ref="F325:H326" si="44">F326</f>
        <v>368.4</v>
      </c>
      <c r="G325" s="26">
        <f t="shared" si="44"/>
        <v>631.20000000000005</v>
      </c>
      <c r="H325" s="26">
        <f t="shared" si="44"/>
        <v>631.20000000000005</v>
      </c>
      <c r="I325" s="3"/>
      <c r="J325" s="3"/>
      <c r="K325" s="3"/>
    </row>
    <row r="326" spans="1:11" s="50" customFormat="1" ht="29.25" customHeight="1" x14ac:dyDescent="0.2">
      <c r="A326" s="20" t="s">
        <v>347</v>
      </c>
      <c r="B326" s="51" t="s">
        <v>71</v>
      </c>
      <c r="C326" s="51" t="s">
        <v>8</v>
      </c>
      <c r="D326" s="25" t="s">
        <v>348</v>
      </c>
      <c r="E326" s="51"/>
      <c r="F326" s="26">
        <f t="shared" si="44"/>
        <v>368.4</v>
      </c>
      <c r="G326" s="26">
        <f t="shared" si="44"/>
        <v>631.20000000000005</v>
      </c>
      <c r="H326" s="26">
        <f t="shared" si="44"/>
        <v>631.20000000000005</v>
      </c>
      <c r="I326" s="3"/>
      <c r="J326" s="3"/>
      <c r="K326" s="3"/>
    </row>
    <row r="327" spans="1:11" s="50" customFormat="1" ht="24.75" customHeight="1" x14ac:dyDescent="0.2">
      <c r="A327" s="20" t="s">
        <v>28</v>
      </c>
      <c r="B327" s="51" t="s">
        <v>71</v>
      </c>
      <c r="C327" s="51" t="s">
        <v>8</v>
      </c>
      <c r="D327" s="25" t="s">
        <v>348</v>
      </c>
      <c r="E327" s="51" t="s">
        <v>29</v>
      </c>
      <c r="F327" s="26">
        <f>710.1+368.4-710.1</f>
        <v>368.4</v>
      </c>
      <c r="G327" s="26">
        <f>1000-368.8</f>
        <v>631.20000000000005</v>
      </c>
      <c r="H327" s="39">
        <f>1000-368.8</f>
        <v>631.20000000000005</v>
      </c>
      <c r="I327" s="3"/>
      <c r="J327" s="3"/>
      <c r="K327" s="3"/>
    </row>
    <row r="328" spans="1:11" s="50" customFormat="1" ht="27" customHeight="1" x14ac:dyDescent="0.2">
      <c r="A328" s="40" t="s">
        <v>349</v>
      </c>
      <c r="B328" s="51" t="s">
        <v>71</v>
      </c>
      <c r="C328" s="51" t="s">
        <v>8</v>
      </c>
      <c r="D328" s="25" t="s">
        <v>350</v>
      </c>
      <c r="E328" s="51"/>
      <c r="F328" s="26">
        <f t="shared" ref="F328:H329" si="45">F329</f>
        <v>0</v>
      </c>
      <c r="G328" s="26">
        <f t="shared" si="45"/>
        <v>800</v>
      </c>
      <c r="H328" s="26">
        <f t="shared" si="45"/>
        <v>0</v>
      </c>
      <c r="I328" s="3"/>
      <c r="J328" s="3"/>
      <c r="K328" s="3"/>
    </row>
    <row r="329" spans="1:11" s="50" customFormat="1" ht="30.75" customHeight="1" x14ac:dyDescent="0.2">
      <c r="A329" s="40" t="s">
        <v>351</v>
      </c>
      <c r="B329" s="51" t="s">
        <v>71</v>
      </c>
      <c r="C329" s="51" t="s">
        <v>8</v>
      </c>
      <c r="D329" s="25" t="s">
        <v>352</v>
      </c>
      <c r="E329" s="51"/>
      <c r="F329" s="26">
        <f t="shared" si="45"/>
        <v>0</v>
      </c>
      <c r="G329" s="26">
        <f t="shared" si="45"/>
        <v>800</v>
      </c>
      <c r="H329" s="26">
        <f t="shared" si="45"/>
        <v>0</v>
      </c>
      <c r="I329" s="3"/>
      <c r="J329" s="3"/>
      <c r="K329" s="3"/>
    </row>
    <row r="330" spans="1:11" s="50" customFormat="1" ht="29.25" customHeight="1" x14ac:dyDescent="0.2">
      <c r="A330" s="20" t="s">
        <v>28</v>
      </c>
      <c r="B330" s="51" t="s">
        <v>71</v>
      </c>
      <c r="C330" s="51" t="s">
        <v>8</v>
      </c>
      <c r="D330" s="25" t="s">
        <v>352</v>
      </c>
      <c r="E330" s="51" t="s">
        <v>29</v>
      </c>
      <c r="F330" s="26">
        <f>1500-1500</f>
        <v>0</v>
      </c>
      <c r="G330" s="26">
        <v>800</v>
      </c>
      <c r="H330" s="26">
        <v>0</v>
      </c>
      <c r="I330" s="3"/>
      <c r="J330" s="3"/>
      <c r="K330" s="3"/>
    </row>
    <row r="331" spans="1:11" s="48" customFormat="1" ht="12.75" customHeight="1" x14ac:dyDescent="0.2">
      <c r="A331" s="32" t="s">
        <v>353</v>
      </c>
      <c r="B331" s="17" t="s">
        <v>71</v>
      </c>
      <c r="C331" s="17" t="s">
        <v>10</v>
      </c>
      <c r="D331" s="81"/>
      <c r="E331" s="17"/>
      <c r="F331" s="53">
        <f>F332+F359</f>
        <v>124174.09999999999</v>
      </c>
      <c r="G331" s="53">
        <f>G332+G359</f>
        <v>7915.1</v>
      </c>
      <c r="H331" s="53">
        <f>H332+H359</f>
        <v>9450</v>
      </c>
      <c r="I331" s="19"/>
      <c r="J331" s="19"/>
      <c r="K331" s="19"/>
    </row>
    <row r="332" spans="1:11" s="50" customFormat="1" ht="38.25" customHeight="1" x14ac:dyDescent="0.2">
      <c r="A332" s="31" t="s">
        <v>354</v>
      </c>
      <c r="B332" s="21" t="s">
        <v>71</v>
      </c>
      <c r="C332" s="21" t="s">
        <v>10</v>
      </c>
      <c r="D332" s="25" t="s">
        <v>355</v>
      </c>
      <c r="E332" s="34"/>
      <c r="F332" s="26">
        <f>F333+F350</f>
        <v>124174.09999999999</v>
      </c>
      <c r="G332" s="26">
        <f>G333+G350</f>
        <v>7815.1</v>
      </c>
      <c r="H332" s="26">
        <f>H333+H350</f>
        <v>9050</v>
      </c>
      <c r="I332" s="3"/>
      <c r="J332" s="3"/>
      <c r="K332" s="3"/>
    </row>
    <row r="333" spans="1:11" s="50" customFormat="1" x14ac:dyDescent="0.2">
      <c r="A333" s="20" t="s">
        <v>50</v>
      </c>
      <c r="B333" s="21" t="s">
        <v>71</v>
      </c>
      <c r="C333" s="21" t="s">
        <v>10</v>
      </c>
      <c r="D333" s="25" t="s">
        <v>356</v>
      </c>
      <c r="E333" s="51"/>
      <c r="F333" s="26">
        <f>F334+F341+F344+F347</f>
        <v>118454.9</v>
      </c>
      <c r="G333" s="26">
        <f>G334+G341+G344+G347</f>
        <v>5000</v>
      </c>
      <c r="H333" s="26">
        <f>H334+H341+H344+H347</f>
        <v>6700</v>
      </c>
      <c r="I333" s="3"/>
      <c r="J333" s="3"/>
      <c r="K333" s="3"/>
    </row>
    <row r="334" spans="1:11" s="50" customFormat="1" ht="38.25" customHeight="1" x14ac:dyDescent="0.2">
      <c r="A334" s="20" t="s">
        <v>357</v>
      </c>
      <c r="B334" s="21" t="s">
        <v>71</v>
      </c>
      <c r="C334" s="21" t="s">
        <v>10</v>
      </c>
      <c r="D334" s="25" t="s">
        <v>358</v>
      </c>
      <c r="E334" s="51"/>
      <c r="F334" s="26">
        <f>F335+F338</f>
        <v>111902</v>
      </c>
      <c r="G334" s="26">
        <f>G335+G338</f>
        <v>0</v>
      </c>
      <c r="H334" s="26">
        <f>H335+H338</f>
        <v>0</v>
      </c>
      <c r="I334" s="3"/>
      <c r="J334" s="3"/>
      <c r="K334" s="3"/>
    </row>
    <row r="335" spans="1:11" s="50" customFormat="1" ht="25.5" customHeight="1" x14ac:dyDescent="0.2">
      <c r="A335" s="20" t="s">
        <v>359</v>
      </c>
      <c r="B335" s="21" t="s">
        <v>71</v>
      </c>
      <c r="C335" s="21" t="s">
        <v>10</v>
      </c>
      <c r="D335" s="25" t="s">
        <v>360</v>
      </c>
      <c r="E335" s="51"/>
      <c r="F335" s="26">
        <f>F336+F337</f>
        <v>18396.2</v>
      </c>
      <c r="G335" s="26">
        <f>G336+G337</f>
        <v>0</v>
      </c>
      <c r="H335" s="26">
        <f>H336+H337</f>
        <v>0</v>
      </c>
      <c r="I335" s="3"/>
      <c r="J335" s="3"/>
      <c r="K335" s="3"/>
    </row>
    <row r="336" spans="1:11" s="50" customFormat="1" ht="27.75" hidden="1" customHeight="1" x14ac:dyDescent="0.2">
      <c r="A336" s="20" t="s">
        <v>28</v>
      </c>
      <c r="B336" s="21" t="s">
        <v>71</v>
      </c>
      <c r="C336" s="21" t="s">
        <v>10</v>
      </c>
      <c r="D336" s="25" t="s">
        <v>360</v>
      </c>
      <c r="E336" s="51" t="s">
        <v>29</v>
      </c>
      <c r="F336" s="26"/>
      <c r="G336" s="26"/>
      <c r="H336" s="26"/>
      <c r="I336" s="3"/>
      <c r="J336" s="3"/>
      <c r="K336" s="3"/>
    </row>
    <row r="337" spans="1:11" s="50" customFormat="1" ht="18" customHeight="1" x14ac:dyDescent="0.2">
      <c r="A337" s="59" t="s">
        <v>340</v>
      </c>
      <c r="B337" s="21" t="s">
        <v>71</v>
      </c>
      <c r="C337" s="21" t="s">
        <v>10</v>
      </c>
      <c r="D337" s="25" t="s">
        <v>360</v>
      </c>
      <c r="E337" s="51" t="s">
        <v>341</v>
      </c>
      <c r="F337" s="26">
        <f>17844.3+551.9</f>
        <v>18396.2</v>
      </c>
      <c r="G337" s="26">
        <v>0</v>
      </c>
      <c r="H337" s="26">
        <v>0</v>
      </c>
      <c r="I337" s="3"/>
      <c r="J337" s="3"/>
      <c r="K337" s="3"/>
    </row>
    <row r="338" spans="1:11" s="50" customFormat="1" ht="37.5" customHeight="1" x14ac:dyDescent="0.2">
      <c r="A338" s="59" t="s">
        <v>361</v>
      </c>
      <c r="B338" s="21" t="s">
        <v>71</v>
      </c>
      <c r="C338" s="21" t="s">
        <v>10</v>
      </c>
      <c r="D338" s="25" t="s">
        <v>362</v>
      </c>
      <c r="E338" s="51"/>
      <c r="F338" s="26">
        <f>F339+F340</f>
        <v>93505.8</v>
      </c>
      <c r="G338" s="26">
        <f>G339+G340</f>
        <v>0</v>
      </c>
      <c r="H338" s="26">
        <f>H339+H340</f>
        <v>0</v>
      </c>
      <c r="I338" s="3"/>
      <c r="J338" s="3"/>
      <c r="K338" s="3"/>
    </row>
    <row r="339" spans="1:11" s="50" customFormat="1" ht="26.25" hidden="1" customHeight="1" x14ac:dyDescent="0.2">
      <c r="A339" s="20" t="s">
        <v>28</v>
      </c>
      <c r="B339" s="21" t="s">
        <v>71</v>
      </c>
      <c r="C339" s="21" t="s">
        <v>10</v>
      </c>
      <c r="D339" s="25" t="s">
        <v>362</v>
      </c>
      <c r="E339" s="51" t="s">
        <v>29</v>
      </c>
      <c r="F339" s="26"/>
      <c r="G339" s="26"/>
      <c r="H339" s="26"/>
      <c r="I339" s="3"/>
      <c r="J339" s="3"/>
      <c r="K339" s="3"/>
    </row>
    <row r="340" spans="1:11" s="50" customFormat="1" ht="18" customHeight="1" x14ac:dyDescent="0.2">
      <c r="A340" s="59" t="s">
        <v>340</v>
      </c>
      <c r="B340" s="21" t="s">
        <v>71</v>
      </c>
      <c r="C340" s="21" t="s">
        <v>10</v>
      </c>
      <c r="D340" s="25" t="s">
        <v>362</v>
      </c>
      <c r="E340" s="51" t="s">
        <v>341</v>
      </c>
      <c r="F340" s="26">
        <f>109124.6+3375-18424-569.8</f>
        <v>93505.8</v>
      </c>
      <c r="G340" s="26">
        <v>0</v>
      </c>
      <c r="H340" s="26">
        <v>0</v>
      </c>
      <c r="I340" s="3"/>
      <c r="J340" s="3"/>
      <c r="K340" s="3"/>
    </row>
    <row r="341" spans="1:11" s="50" customFormat="1" ht="29.25" customHeight="1" x14ac:dyDescent="0.2">
      <c r="A341" s="31" t="s">
        <v>363</v>
      </c>
      <c r="B341" s="21" t="s">
        <v>71</v>
      </c>
      <c r="C341" s="21" t="s">
        <v>10</v>
      </c>
      <c r="D341" s="25" t="s">
        <v>364</v>
      </c>
      <c r="E341" s="21"/>
      <c r="F341" s="26">
        <f t="shared" ref="F341:H342" si="46">F342</f>
        <v>1000</v>
      </c>
      <c r="G341" s="26">
        <f t="shared" si="46"/>
        <v>1000</v>
      </c>
      <c r="H341" s="26">
        <f t="shared" si="46"/>
        <v>1000</v>
      </c>
      <c r="I341" s="3"/>
      <c r="J341" s="3"/>
      <c r="K341" s="3"/>
    </row>
    <row r="342" spans="1:11" s="50" customFormat="1" ht="18" customHeight="1" x14ac:dyDescent="0.2">
      <c r="A342" s="31" t="s">
        <v>330</v>
      </c>
      <c r="B342" s="21" t="s">
        <v>71</v>
      </c>
      <c r="C342" s="21" t="s">
        <v>10</v>
      </c>
      <c r="D342" s="25" t="s">
        <v>365</v>
      </c>
      <c r="E342" s="21"/>
      <c r="F342" s="26">
        <f t="shared" si="46"/>
        <v>1000</v>
      </c>
      <c r="G342" s="26">
        <f t="shared" si="46"/>
        <v>1000</v>
      </c>
      <c r="H342" s="26">
        <f t="shared" si="46"/>
        <v>1000</v>
      </c>
      <c r="I342" s="3"/>
      <c r="J342" s="3"/>
      <c r="K342" s="3"/>
    </row>
    <row r="343" spans="1:11" s="50" customFormat="1" ht="27.75" customHeight="1" x14ac:dyDescent="0.2">
      <c r="A343" s="31" t="s">
        <v>28</v>
      </c>
      <c r="B343" s="21" t="s">
        <v>71</v>
      </c>
      <c r="C343" s="21" t="s">
        <v>10</v>
      </c>
      <c r="D343" s="25" t="s">
        <v>365</v>
      </c>
      <c r="E343" s="21" t="s">
        <v>29</v>
      </c>
      <c r="F343" s="26">
        <v>1000</v>
      </c>
      <c r="G343" s="26">
        <v>1000</v>
      </c>
      <c r="H343" s="39">
        <v>1000</v>
      </c>
      <c r="I343" s="69"/>
      <c r="J343" s="3"/>
      <c r="K343" s="3"/>
    </row>
    <row r="344" spans="1:11" s="50" customFormat="1" ht="27.75" customHeight="1" x14ac:dyDescent="0.2">
      <c r="A344" s="31" t="s">
        <v>366</v>
      </c>
      <c r="B344" s="21" t="s">
        <v>71</v>
      </c>
      <c r="C344" s="21" t="s">
        <v>10</v>
      </c>
      <c r="D344" s="25" t="s">
        <v>367</v>
      </c>
      <c r="E344" s="21"/>
      <c r="F344" s="26">
        <f t="shared" ref="F344:H345" si="47">F345</f>
        <v>3000</v>
      </c>
      <c r="G344" s="26">
        <f t="shared" si="47"/>
        <v>1000</v>
      </c>
      <c r="H344" s="26">
        <f t="shared" si="47"/>
        <v>1000</v>
      </c>
      <c r="I344" s="3"/>
      <c r="J344" s="3"/>
      <c r="K344" s="3"/>
    </row>
    <row r="345" spans="1:11" s="50" customFormat="1" ht="17.25" customHeight="1" x14ac:dyDescent="0.2">
      <c r="A345" s="31" t="s">
        <v>330</v>
      </c>
      <c r="B345" s="21" t="s">
        <v>71</v>
      </c>
      <c r="C345" s="21" t="s">
        <v>10</v>
      </c>
      <c r="D345" s="25" t="s">
        <v>368</v>
      </c>
      <c r="E345" s="21"/>
      <c r="F345" s="26">
        <f t="shared" si="47"/>
        <v>3000</v>
      </c>
      <c r="G345" s="26">
        <f t="shared" si="47"/>
        <v>1000</v>
      </c>
      <c r="H345" s="26">
        <f t="shared" si="47"/>
        <v>1000</v>
      </c>
      <c r="I345" s="3"/>
      <c r="J345" s="3"/>
      <c r="K345" s="3"/>
    </row>
    <row r="346" spans="1:11" s="50" customFormat="1" ht="28.5" customHeight="1" x14ac:dyDescent="0.2">
      <c r="A346" s="20" t="s">
        <v>28</v>
      </c>
      <c r="B346" s="21" t="s">
        <v>71</v>
      </c>
      <c r="C346" s="21" t="s">
        <v>10</v>
      </c>
      <c r="D346" s="25" t="s">
        <v>368</v>
      </c>
      <c r="E346" s="21" t="s">
        <v>29</v>
      </c>
      <c r="F346" s="26">
        <v>3000</v>
      </c>
      <c r="G346" s="26">
        <v>1000</v>
      </c>
      <c r="H346" s="39">
        <v>1000</v>
      </c>
      <c r="I346" s="69"/>
      <c r="J346" s="3"/>
      <c r="K346" s="3"/>
    </row>
    <row r="347" spans="1:11" s="50" customFormat="1" ht="18.75" customHeight="1" x14ac:dyDescent="0.2">
      <c r="A347" s="20" t="s">
        <v>369</v>
      </c>
      <c r="B347" s="21" t="s">
        <v>71</v>
      </c>
      <c r="C347" s="21" t="s">
        <v>10</v>
      </c>
      <c r="D347" s="25" t="s">
        <v>370</v>
      </c>
      <c r="E347" s="21"/>
      <c r="F347" s="26">
        <f t="shared" ref="F347:H348" si="48">F348</f>
        <v>2552.9</v>
      </c>
      <c r="G347" s="26">
        <f t="shared" si="48"/>
        <v>3000</v>
      </c>
      <c r="H347" s="26">
        <f t="shared" si="48"/>
        <v>4700</v>
      </c>
      <c r="I347" s="3"/>
      <c r="J347" s="3"/>
      <c r="K347" s="3"/>
    </row>
    <row r="348" spans="1:11" s="50" customFormat="1" ht="28.5" customHeight="1" x14ac:dyDescent="0.2">
      <c r="A348" s="31" t="s">
        <v>371</v>
      </c>
      <c r="B348" s="21" t="s">
        <v>71</v>
      </c>
      <c r="C348" s="21" t="s">
        <v>10</v>
      </c>
      <c r="D348" s="25" t="s">
        <v>372</v>
      </c>
      <c r="E348" s="51"/>
      <c r="F348" s="26">
        <f t="shared" si="48"/>
        <v>2552.9</v>
      </c>
      <c r="G348" s="26">
        <f t="shared" si="48"/>
        <v>3000</v>
      </c>
      <c r="H348" s="26">
        <f t="shared" si="48"/>
        <v>4700</v>
      </c>
      <c r="I348" s="3"/>
      <c r="J348" s="3"/>
      <c r="K348" s="3"/>
    </row>
    <row r="349" spans="1:11" s="50" customFormat="1" ht="40.5" customHeight="1" x14ac:dyDescent="0.2">
      <c r="A349" s="100" t="s">
        <v>373</v>
      </c>
      <c r="B349" s="21" t="s">
        <v>71</v>
      </c>
      <c r="C349" s="21" t="s">
        <v>10</v>
      </c>
      <c r="D349" s="25" t="s">
        <v>372</v>
      </c>
      <c r="E349" s="51" t="s">
        <v>374</v>
      </c>
      <c r="F349" s="26">
        <f>5000-2447.1</f>
        <v>2552.9</v>
      </c>
      <c r="G349" s="26">
        <f>5000-2000</f>
        <v>3000</v>
      </c>
      <c r="H349" s="39">
        <f>5000-300</f>
        <v>4700</v>
      </c>
      <c r="I349" s="69"/>
      <c r="J349" s="3"/>
      <c r="K349" s="3"/>
    </row>
    <row r="350" spans="1:11" s="50" customFormat="1" ht="15.75" customHeight="1" x14ac:dyDescent="0.2">
      <c r="A350" s="20" t="s">
        <v>13</v>
      </c>
      <c r="B350" s="21" t="s">
        <v>71</v>
      </c>
      <c r="C350" s="21" t="s">
        <v>10</v>
      </c>
      <c r="D350" s="25" t="s">
        <v>375</v>
      </c>
      <c r="E350" s="51"/>
      <c r="F350" s="26">
        <f>F351</f>
        <v>5719.2</v>
      </c>
      <c r="G350" s="26">
        <f>G351</f>
        <v>2815.1</v>
      </c>
      <c r="H350" s="26">
        <f>H351</f>
        <v>2350</v>
      </c>
      <c r="I350" s="3"/>
      <c r="J350" s="3"/>
      <c r="K350" s="3"/>
    </row>
    <row r="351" spans="1:11" s="50" customFormat="1" ht="42" customHeight="1" x14ac:dyDescent="0.2">
      <c r="A351" s="20" t="s">
        <v>376</v>
      </c>
      <c r="B351" s="21" t="s">
        <v>71</v>
      </c>
      <c r="C351" s="21" t="s">
        <v>10</v>
      </c>
      <c r="D351" s="25" t="s">
        <v>377</v>
      </c>
      <c r="E351" s="51"/>
      <c r="F351" s="26">
        <f>F352+F355+F357</f>
        <v>5719.2</v>
      </c>
      <c r="G351" s="26">
        <f>G352+G355+G357</f>
        <v>2815.1</v>
      </c>
      <c r="H351" s="26">
        <f>H352+H355+H357</f>
        <v>2350</v>
      </c>
      <c r="I351" s="3"/>
      <c r="J351" s="3"/>
      <c r="K351" s="3"/>
    </row>
    <row r="352" spans="1:11" s="50" customFormat="1" ht="28.5" customHeight="1" x14ac:dyDescent="0.2">
      <c r="A352" s="20" t="s">
        <v>378</v>
      </c>
      <c r="B352" s="21" t="s">
        <v>71</v>
      </c>
      <c r="C352" s="21" t="s">
        <v>10</v>
      </c>
      <c r="D352" s="25" t="s">
        <v>379</v>
      </c>
      <c r="E352" s="21"/>
      <c r="F352" s="26">
        <f>F353+F354</f>
        <v>3369.2</v>
      </c>
      <c r="G352" s="26">
        <f>G353+G354</f>
        <v>2815.1</v>
      </c>
      <c r="H352" s="26">
        <f>H353+H354</f>
        <v>2350</v>
      </c>
      <c r="I352" s="3"/>
      <c r="J352" s="3"/>
      <c r="K352" s="3"/>
    </row>
    <row r="353" spans="1:11" s="50" customFormat="1" ht="30" customHeight="1" x14ac:dyDescent="0.2">
      <c r="A353" s="20" t="s">
        <v>28</v>
      </c>
      <c r="B353" s="21" t="s">
        <v>71</v>
      </c>
      <c r="C353" s="21" t="s">
        <v>10</v>
      </c>
      <c r="D353" s="25" t="s">
        <v>379</v>
      </c>
      <c r="E353" s="21" t="s">
        <v>29</v>
      </c>
      <c r="F353" s="26">
        <f>1404.1+1500</f>
        <v>2904.1</v>
      </c>
      <c r="G353" s="26">
        <f>1500+465.1+850</f>
        <v>2815.1</v>
      </c>
      <c r="H353" s="39">
        <f>1500+850</f>
        <v>2350</v>
      </c>
      <c r="I353" s="69"/>
      <c r="J353" s="3"/>
      <c r="K353" s="3"/>
    </row>
    <row r="354" spans="1:11" s="50" customFormat="1" ht="25.5" customHeight="1" x14ac:dyDescent="0.2">
      <c r="A354" s="101" t="s">
        <v>380</v>
      </c>
      <c r="B354" s="21" t="s">
        <v>71</v>
      </c>
      <c r="C354" s="21" t="s">
        <v>10</v>
      </c>
      <c r="D354" s="25" t="s">
        <v>379</v>
      </c>
      <c r="E354" s="51" t="s">
        <v>381</v>
      </c>
      <c r="F354" s="26">
        <v>465.1</v>
      </c>
      <c r="G354" s="26">
        <v>0</v>
      </c>
      <c r="H354" s="39">
        <v>0</v>
      </c>
      <c r="I354" s="69"/>
      <c r="J354" s="3"/>
      <c r="K354" s="3"/>
    </row>
    <row r="355" spans="1:11" s="50" customFormat="1" ht="28.5" customHeight="1" x14ac:dyDescent="0.2">
      <c r="A355" s="20" t="s">
        <v>382</v>
      </c>
      <c r="B355" s="21" t="s">
        <v>71</v>
      </c>
      <c r="C355" s="21" t="s">
        <v>10</v>
      </c>
      <c r="D355" s="25" t="s">
        <v>383</v>
      </c>
      <c r="E355" s="21"/>
      <c r="F355" s="26">
        <f>F356</f>
        <v>2000</v>
      </c>
      <c r="G355" s="26">
        <f>G356</f>
        <v>0</v>
      </c>
      <c r="H355" s="26">
        <f>H356</f>
        <v>0</v>
      </c>
      <c r="I355" s="3"/>
      <c r="J355" s="3"/>
      <c r="K355" s="3"/>
    </row>
    <row r="356" spans="1:11" s="50" customFormat="1" ht="28.5" customHeight="1" x14ac:dyDescent="0.2">
      <c r="A356" s="20" t="s">
        <v>28</v>
      </c>
      <c r="B356" s="21" t="s">
        <v>71</v>
      </c>
      <c r="C356" s="21" t="s">
        <v>10</v>
      </c>
      <c r="D356" s="25" t="s">
        <v>383</v>
      </c>
      <c r="E356" s="21" t="s">
        <v>29</v>
      </c>
      <c r="F356" s="26">
        <f>4000-2000</f>
        <v>2000</v>
      </c>
      <c r="G356" s="26">
        <v>0</v>
      </c>
      <c r="H356" s="26">
        <v>0</v>
      </c>
      <c r="I356" s="3"/>
      <c r="J356" s="3"/>
      <c r="K356" s="3"/>
    </row>
    <row r="357" spans="1:11" s="50" customFormat="1" ht="28.5" customHeight="1" x14ac:dyDescent="0.2">
      <c r="A357" s="23" t="s">
        <v>384</v>
      </c>
      <c r="B357" s="21" t="s">
        <v>71</v>
      </c>
      <c r="C357" s="21" t="s">
        <v>10</v>
      </c>
      <c r="D357" s="25" t="s">
        <v>385</v>
      </c>
      <c r="E357" s="51"/>
      <c r="F357" s="26">
        <f>F358</f>
        <v>350</v>
      </c>
      <c r="G357" s="26">
        <f>G358</f>
        <v>0</v>
      </c>
      <c r="H357" s="26">
        <f>H358</f>
        <v>0</v>
      </c>
      <c r="I357" s="3"/>
      <c r="J357" s="3"/>
      <c r="K357" s="3"/>
    </row>
    <row r="358" spans="1:11" s="50" customFormat="1" ht="28.5" customHeight="1" x14ac:dyDescent="0.2">
      <c r="A358" s="20" t="s">
        <v>28</v>
      </c>
      <c r="B358" s="21" t="s">
        <v>71</v>
      </c>
      <c r="C358" s="21" t="s">
        <v>10</v>
      </c>
      <c r="D358" s="25" t="s">
        <v>385</v>
      </c>
      <c r="E358" s="51" t="s">
        <v>29</v>
      </c>
      <c r="F358" s="26">
        <v>350</v>
      </c>
      <c r="G358" s="26">
        <v>0</v>
      </c>
      <c r="H358" s="39">
        <v>0</v>
      </c>
      <c r="I358" s="69"/>
      <c r="J358" s="3"/>
      <c r="K358" s="3"/>
    </row>
    <row r="359" spans="1:11" s="50" customFormat="1" ht="42" customHeight="1" x14ac:dyDescent="0.2">
      <c r="A359" s="59" t="s">
        <v>184</v>
      </c>
      <c r="B359" s="21" t="s">
        <v>71</v>
      </c>
      <c r="C359" s="21" t="s">
        <v>10</v>
      </c>
      <c r="D359" s="25" t="s">
        <v>185</v>
      </c>
      <c r="E359" s="34"/>
      <c r="F359" s="26">
        <f t="shared" ref="F359:H362" si="49">F360</f>
        <v>0</v>
      </c>
      <c r="G359" s="26">
        <f t="shared" si="49"/>
        <v>100</v>
      </c>
      <c r="H359" s="26">
        <f t="shared" si="49"/>
        <v>400</v>
      </c>
      <c r="I359" s="3"/>
      <c r="J359" s="3"/>
      <c r="K359" s="3"/>
    </row>
    <row r="360" spans="1:11" s="50" customFormat="1" ht="18" customHeight="1" x14ac:dyDescent="0.2">
      <c r="A360" s="20" t="s">
        <v>13</v>
      </c>
      <c r="B360" s="21" t="s">
        <v>71</v>
      </c>
      <c r="C360" s="21" t="s">
        <v>10</v>
      </c>
      <c r="D360" s="25" t="s">
        <v>186</v>
      </c>
      <c r="E360" s="34"/>
      <c r="F360" s="26">
        <f t="shared" si="49"/>
        <v>0</v>
      </c>
      <c r="G360" s="26">
        <f t="shared" si="49"/>
        <v>100</v>
      </c>
      <c r="H360" s="26">
        <f t="shared" si="49"/>
        <v>400</v>
      </c>
      <c r="I360" s="3"/>
      <c r="J360" s="3"/>
      <c r="K360" s="3"/>
    </row>
    <row r="361" spans="1:11" s="50" customFormat="1" ht="38.25" customHeight="1" x14ac:dyDescent="0.2">
      <c r="A361" s="20" t="s">
        <v>187</v>
      </c>
      <c r="B361" s="21" t="s">
        <v>71</v>
      </c>
      <c r="C361" s="21" t="s">
        <v>10</v>
      </c>
      <c r="D361" s="25" t="s">
        <v>188</v>
      </c>
      <c r="E361" s="34"/>
      <c r="F361" s="26">
        <f t="shared" si="49"/>
        <v>0</v>
      </c>
      <c r="G361" s="26">
        <f t="shared" si="49"/>
        <v>100</v>
      </c>
      <c r="H361" s="26">
        <f t="shared" si="49"/>
        <v>400</v>
      </c>
      <c r="I361" s="3"/>
      <c r="J361" s="3"/>
      <c r="K361" s="3"/>
    </row>
    <row r="362" spans="1:11" s="50" customFormat="1" ht="30" customHeight="1" x14ac:dyDescent="0.2">
      <c r="A362" s="73" t="s">
        <v>189</v>
      </c>
      <c r="B362" s="21" t="s">
        <v>71</v>
      </c>
      <c r="C362" s="21" t="s">
        <v>10</v>
      </c>
      <c r="D362" s="36" t="s">
        <v>190</v>
      </c>
      <c r="E362" s="34"/>
      <c r="F362" s="26">
        <f t="shared" si="49"/>
        <v>0</v>
      </c>
      <c r="G362" s="26">
        <f t="shared" si="49"/>
        <v>100</v>
      </c>
      <c r="H362" s="26">
        <f t="shared" si="49"/>
        <v>400</v>
      </c>
      <c r="I362" s="3"/>
      <c r="J362" s="3"/>
      <c r="K362" s="3"/>
    </row>
    <row r="363" spans="1:11" s="50" customFormat="1" ht="25.5" customHeight="1" x14ac:dyDescent="0.2">
      <c r="A363" s="43" t="s">
        <v>28</v>
      </c>
      <c r="B363" s="21" t="s">
        <v>71</v>
      </c>
      <c r="C363" s="21" t="s">
        <v>10</v>
      </c>
      <c r="D363" s="36" t="s">
        <v>190</v>
      </c>
      <c r="E363" s="34" t="s">
        <v>29</v>
      </c>
      <c r="F363" s="26">
        <f>1898.9-1898.9</f>
        <v>0</v>
      </c>
      <c r="G363" s="26">
        <v>100</v>
      </c>
      <c r="H363" s="39">
        <v>400</v>
      </c>
      <c r="I363" s="69"/>
      <c r="J363" s="3"/>
      <c r="K363" s="3"/>
    </row>
    <row r="364" spans="1:11" s="48" customFormat="1" ht="12.75" customHeight="1" x14ac:dyDescent="0.2">
      <c r="A364" s="32" t="s">
        <v>386</v>
      </c>
      <c r="B364" s="17" t="s">
        <v>71</v>
      </c>
      <c r="C364" s="17" t="s">
        <v>23</v>
      </c>
      <c r="D364" s="81"/>
      <c r="E364" s="17"/>
      <c r="F364" s="53">
        <f>F365+F399</f>
        <v>34618.199999999997</v>
      </c>
      <c r="G364" s="53">
        <f>G365+G399</f>
        <v>25741.9</v>
      </c>
      <c r="H364" s="53">
        <f>H365+H399</f>
        <v>25672.2</v>
      </c>
      <c r="I364" s="19"/>
      <c r="J364" s="19"/>
      <c r="K364" s="19"/>
    </row>
    <row r="365" spans="1:11" s="50" customFormat="1" ht="26.25" customHeight="1" x14ac:dyDescent="0.2">
      <c r="A365" s="20" t="s">
        <v>387</v>
      </c>
      <c r="B365" s="21" t="s">
        <v>71</v>
      </c>
      <c r="C365" s="21" t="s">
        <v>23</v>
      </c>
      <c r="D365" s="25" t="s">
        <v>388</v>
      </c>
      <c r="E365" s="21"/>
      <c r="F365" s="26">
        <f>F372+F386+F366</f>
        <v>25691.1</v>
      </c>
      <c r="G365" s="26">
        <f t="shared" ref="G365:H365" si="50">G372+G386+G366</f>
        <v>14814.8</v>
      </c>
      <c r="H365" s="26">
        <f t="shared" si="50"/>
        <v>13934.2</v>
      </c>
      <c r="I365" s="3"/>
      <c r="J365" s="3"/>
      <c r="K365" s="3"/>
    </row>
    <row r="366" spans="1:11" s="50" customFormat="1" ht="15" customHeight="1" x14ac:dyDescent="0.2">
      <c r="A366" s="97" t="s">
        <v>334</v>
      </c>
      <c r="B366" s="21" t="s">
        <v>71</v>
      </c>
      <c r="C366" s="21" t="s">
        <v>23</v>
      </c>
      <c r="D366" s="25" t="s">
        <v>389</v>
      </c>
      <c r="E366" s="51"/>
      <c r="F366" s="26">
        <f>F367</f>
        <v>3152</v>
      </c>
      <c r="G366" s="26">
        <f t="shared" ref="G366:H366" si="51">G367</f>
        <v>1384</v>
      </c>
      <c r="H366" s="26">
        <f t="shared" si="51"/>
        <v>1328.8000000000002</v>
      </c>
      <c r="I366" s="3"/>
      <c r="J366" s="3"/>
      <c r="K366" s="3"/>
    </row>
    <row r="367" spans="1:11" s="50" customFormat="1" ht="15" customHeight="1" x14ac:dyDescent="0.2">
      <c r="A367" s="97" t="s">
        <v>390</v>
      </c>
      <c r="B367" s="21" t="s">
        <v>71</v>
      </c>
      <c r="C367" s="21" t="s">
        <v>23</v>
      </c>
      <c r="D367" s="25" t="s">
        <v>391</v>
      </c>
      <c r="E367" s="51"/>
      <c r="F367" s="26">
        <f>F368+F370</f>
        <v>3152</v>
      </c>
      <c r="G367" s="26">
        <f t="shared" ref="G367:H367" si="52">G368+G370</f>
        <v>1384</v>
      </c>
      <c r="H367" s="26">
        <f t="shared" si="52"/>
        <v>1328.8000000000002</v>
      </c>
      <c r="I367" s="3"/>
      <c r="J367" s="3"/>
      <c r="K367" s="3"/>
    </row>
    <row r="368" spans="1:11" s="50" customFormat="1" ht="24" customHeight="1" x14ac:dyDescent="0.2">
      <c r="A368" s="102" t="s">
        <v>392</v>
      </c>
      <c r="B368" s="21" t="s">
        <v>71</v>
      </c>
      <c r="C368" s="21" t="s">
        <v>23</v>
      </c>
      <c r="D368" s="25" t="s">
        <v>393</v>
      </c>
      <c r="E368" s="51"/>
      <c r="F368" s="26">
        <f>F369</f>
        <v>1440.3</v>
      </c>
      <c r="G368" s="26">
        <f t="shared" ref="G368:H368" si="53">G369</f>
        <v>1384</v>
      </c>
      <c r="H368" s="26">
        <f t="shared" si="53"/>
        <v>1328.8000000000002</v>
      </c>
      <c r="I368" s="3"/>
      <c r="J368" s="3"/>
      <c r="K368" s="3"/>
    </row>
    <row r="369" spans="1:11" s="50" customFormat="1" ht="26.25" customHeight="1" x14ac:dyDescent="0.2">
      <c r="A369" s="20" t="s">
        <v>28</v>
      </c>
      <c r="B369" s="21" t="s">
        <v>71</v>
      </c>
      <c r="C369" s="21" t="s">
        <v>23</v>
      </c>
      <c r="D369" s="25" t="s">
        <v>393</v>
      </c>
      <c r="E369" s="51" t="s">
        <v>29</v>
      </c>
      <c r="F369" s="26">
        <f>1296.3+144</f>
        <v>1440.3</v>
      </c>
      <c r="G369" s="26">
        <f>1245.6+138.4</f>
        <v>1384</v>
      </c>
      <c r="H369" s="39">
        <f>1195.9+132.9</f>
        <v>1328.8000000000002</v>
      </c>
      <c r="I369" s="3"/>
      <c r="J369" s="3"/>
      <c r="K369" s="3"/>
    </row>
    <row r="370" spans="1:11" s="50" customFormat="1" ht="26.25" customHeight="1" x14ac:dyDescent="0.2">
      <c r="A370" s="59" t="s">
        <v>394</v>
      </c>
      <c r="B370" s="21" t="s">
        <v>71</v>
      </c>
      <c r="C370" s="21" t="s">
        <v>23</v>
      </c>
      <c r="D370" s="25" t="s">
        <v>395</v>
      </c>
      <c r="E370" s="51"/>
      <c r="F370" s="26">
        <f>F371</f>
        <v>1711.7</v>
      </c>
      <c r="G370" s="26">
        <f t="shared" ref="G370:H370" si="54">G371</f>
        <v>0</v>
      </c>
      <c r="H370" s="26">
        <f t="shared" si="54"/>
        <v>0</v>
      </c>
      <c r="I370" s="3"/>
      <c r="J370" s="3"/>
      <c r="K370" s="3"/>
    </row>
    <row r="371" spans="1:11" s="50" customFormat="1" ht="26.25" customHeight="1" x14ac:dyDescent="0.2">
      <c r="A371" s="20" t="s">
        <v>28</v>
      </c>
      <c r="B371" s="21" t="s">
        <v>71</v>
      </c>
      <c r="C371" s="21" t="s">
        <v>23</v>
      </c>
      <c r="D371" s="25" t="s">
        <v>395</v>
      </c>
      <c r="E371" s="51" t="s">
        <v>29</v>
      </c>
      <c r="F371" s="26">
        <f>1540.5+171.2</f>
        <v>1711.7</v>
      </c>
      <c r="G371" s="26">
        <v>0</v>
      </c>
      <c r="H371" s="39">
        <v>0</v>
      </c>
      <c r="I371" s="3"/>
      <c r="J371" s="3"/>
      <c r="K371" s="3"/>
    </row>
    <row r="372" spans="1:11" s="50" customFormat="1" ht="12.75" customHeight="1" x14ac:dyDescent="0.2">
      <c r="A372" s="59" t="s">
        <v>50</v>
      </c>
      <c r="B372" s="21" t="s">
        <v>71</v>
      </c>
      <c r="C372" s="21" t="s">
        <v>23</v>
      </c>
      <c r="D372" s="25" t="s">
        <v>396</v>
      </c>
      <c r="E372" s="51"/>
      <c r="F372" s="26">
        <f>F373+F378+F381</f>
        <v>11557.8</v>
      </c>
      <c r="G372" s="26">
        <f t="shared" ref="G372:H372" si="55">G373+G378+G381+G374</f>
        <v>2587.9</v>
      </c>
      <c r="H372" s="26">
        <f t="shared" si="55"/>
        <v>1725.3</v>
      </c>
      <c r="I372" s="3"/>
      <c r="J372" s="3"/>
      <c r="K372" s="3"/>
    </row>
    <row r="373" spans="1:11" s="50" customFormat="1" ht="26.25" customHeight="1" x14ac:dyDescent="0.2">
      <c r="A373" s="59" t="s">
        <v>397</v>
      </c>
      <c r="B373" s="21" t="s">
        <v>71</v>
      </c>
      <c r="C373" s="21" t="s">
        <v>23</v>
      </c>
      <c r="D373" s="25" t="s">
        <v>398</v>
      </c>
      <c r="E373" s="99"/>
      <c r="F373" s="26">
        <f>F376+F374</f>
        <v>6551.9</v>
      </c>
      <c r="G373" s="26">
        <f t="shared" ref="G373:H373" si="56">G376+G374</f>
        <v>0</v>
      </c>
      <c r="H373" s="26">
        <f t="shared" si="56"/>
        <v>0</v>
      </c>
      <c r="I373" s="3"/>
      <c r="J373" s="3"/>
      <c r="K373" s="3"/>
    </row>
    <row r="374" spans="1:11" s="50" customFormat="1" ht="26.25" customHeight="1" x14ac:dyDescent="0.2">
      <c r="A374" s="59" t="s">
        <v>399</v>
      </c>
      <c r="B374" s="34" t="s">
        <v>71</v>
      </c>
      <c r="C374" s="34" t="s">
        <v>23</v>
      </c>
      <c r="D374" s="25" t="s">
        <v>400</v>
      </c>
      <c r="E374" s="34"/>
      <c r="F374" s="26">
        <f>F375</f>
        <v>3286.2999999999997</v>
      </c>
      <c r="G374" s="26">
        <f t="shared" ref="G374:H374" si="57">G375</f>
        <v>0</v>
      </c>
      <c r="H374" s="26">
        <f t="shared" si="57"/>
        <v>0</v>
      </c>
      <c r="I374" s="94"/>
      <c r="J374" s="3"/>
      <c r="K374" s="3"/>
    </row>
    <row r="375" spans="1:11" s="50" customFormat="1" ht="26.25" customHeight="1" x14ac:dyDescent="0.2">
      <c r="A375" s="20" t="s">
        <v>28</v>
      </c>
      <c r="B375" s="34" t="s">
        <v>71</v>
      </c>
      <c r="C375" s="34" t="s">
        <v>23</v>
      </c>
      <c r="D375" s="25" t="s">
        <v>400</v>
      </c>
      <c r="E375" s="34" t="s">
        <v>29</v>
      </c>
      <c r="F375" s="26">
        <f>3889-931.3+328.6</f>
        <v>3286.2999999999997</v>
      </c>
      <c r="G375" s="26">
        <v>0</v>
      </c>
      <c r="H375" s="39">
        <v>0</v>
      </c>
      <c r="I375" s="94"/>
      <c r="J375" s="3"/>
      <c r="K375" s="3"/>
    </row>
    <row r="376" spans="1:11" s="50" customFormat="1" ht="17.25" customHeight="1" x14ac:dyDescent="0.2">
      <c r="A376" s="59" t="s">
        <v>401</v>
      </c>
      <c r="B376" s="21" t="s">
        <v>71</v>
      </c>
      <c r="C376" s="21" t="s">
        <v>23</v>
      </c>
      <c r="D376" s="25" t="s">
        <v>402</v>
      </c>
      <c r="E376" s="51"/>
      <c r="F376" s="26">
        <f t="shared" ref="F376:H376" si="58">F377</f>
        <v>3265.6000000000004</v>
      </c>
      <c r="G376" s="26">
        <f t="shared" si="58"/>
        <v>0</v>
      </c>
      <c r="H376" s="26">
        <f t="shared" si="58"/>
        <v>0</v>
      </c>
      <c r="I376" s="3"/>
      <c r="J376" s="3"/>
      <c r="K376" s="3"/>
    </row>
    <row r="377" spans="1:11" s="50" customFormat="1" ht="25.5" x14ac:dyDescent="0.2">
      <c r="A377" s="20" t="s">
        <v>28</v>
      </c>
      <c r="B377" s="21" t="s">
        <v>71</v>
      </c>
      <c r="C377" s="21" t="s">
        <v>23</v>
      </c>
      <c r="D377" s="25" t="s">
        <v>402</v>
      </c>
      <c r="E377" s="51" t="s">
        <v>29</v>
      </c>
      <c r="F377" s="26">
        <f>745+82.8+2194+243.8</f>
        <v>3265.6000000000004</v>
      </c>
      <c r="G377" s="26">
        <v>0</v>
      </c>
      <c r="H377" s="26">
        <v>0</v>
      </c>
      <c r="I377" s="3"/>
      <c r="J377" s="3"/>
      <c r="K377" s="3"/>
    </row>
    <row r="378" spans="1:11" s="50" customFormat="1" ht="25.5" customHeight="1" x14ac:dyDescent="0.2">
      <c r="A378" s="64" t="s">
        <v>403</v>
      </c>
      <c r="B378" s="21" t="s">
        <v>71</v>
      </c>
      <c r="C378" s="21" t="s">
        <v>23</v>
      </c>
      <c r="D378" s="25" t="s">
        <v>404</v>
      </c>
      <c r="E378" s="51"/>
      <c r="F378" s="26">
        <f t="shared" ref="F378:H379" si="59">F379</f>
        <v>4143.2</v>
      </c>
      <c r="G378" s="26">
        <f t="shared" si="59"/>
        <v>0</v>
      </c>
      <c r="H378" s="26">
        <f t="shared" si="59"/>
        <v>0</v>
      </c>
      <c r="I378" s="3"/>
      <c r="J378" s="3"/>
      <c r="K378" s="3"/>
    </row>
    <row r="379" spans="1:11" s="50" customFormat="1" ht="25.5" customHeight="1" x14ac:dyDescent="0.2">
      <c r="A379" s="64" t="s">
        <v>405</v>
      </c>
      <c r="B379" s="34" t="s">
        <v>71</v>
      </c>
      <c r="C379" s="34" t="s">
        <v>23</v>
      </c>
      <c r="D379" s="25" t="s">
        <v>406</v>
      </c>
      <c r="E379" s="51"/>
      <c r="F379" s="26">
        <f t="shared" si="59"/>
        <v>4143.2</v>
      </c>
      <c r="G379" s="26">
        <f t="shared" si="59"/>
        <v>0</v>
      </c>
      <c r="H379" s="26">
        <f t="shared" si="59"/>
        <v>0</v>
      </c>
      <c r="I379" s="3"/>
      <c r="J379" s="3"/>
      <c r="K379" s="3"/>
    </row>
    <row r="380" spans="1:11" s="50" customFormat="1" ht="25.5" x14ac:dyDescent="0.2">
      <c r="A380" s="37" t="s">
        <v>28</v>
      </c>
      <c r="B380" s="34" t="s">
        <v>71</v>
      </c>
      <c r="C380" s="34" t="s">
        <v>23</v>
      </c>
      <c r="D380" s="25" t="s">
        <v>406</v>
      </c>
      <c r="E380" s="51" t="s">
        <v>29</v>
      </c>
      <c r="F380" s="26">
        <f>4101.8+41.4</f>
        <v>4143.2</v>
      </c>
      <c r="G380" s="26">
        <v>0</v>
      </c>
      <c r="H380" s="26">
        <v>0</v>
      </c>
      <c r="I380" s="3"/>
      <c r="J380" s="3"/>
      <c r="K380" s="3"/>
    </row>
    <row r="381" spans="1:11" s="50" customFormat="1" ht="25.5" customHeight="1" x14ac:dyDescent="0.2">
      <c r="A381" s="59" t="s">
        <v>407</v>
      </c>
      <c r="B381" s="21" t="s">
        <v>71</v>
      </c>
      <c r="C381" s="21" t="s">
        <v>23</v>
      </c>
      <c r="D381" s="25" t="s">
        <v>408</v>
      </c>
      <c r="E381" s="99"/>
      <c r="F381" s="26">
        <f>F382+F384</f>
        <v>862.69999999999993</v>
      </c>
      <c r="G381" s="26">
        <f>G382+G384</f>
        <v>2587.9</v>
      </c>
      <c r="H381" s="26">
        <f>H382+H384</f>
        <v>1725.3</v>
      </c>
      <c r="I381" s="3"/>
      <c r="J381" s="3"/>
      <c r="K381" s="3"/>
    </row>
    <row r="382" spans="1:11" s="50" customFormat="1" ht="17.25" hidden="1" customHeight="1" x14ac:dyDescent="0.2">
      <c r="A382" s="59" t="s">
        <v>409</v>
      </c>
      <c r="B382" s="21" t="s">
        <v>71</v>
      </c>
      <c r="C382" s="21" t="s">
        <v>23</v>
      </c>
      <c r="D382" s="25" t="s">
        <v>410</v>
      </c>
      <c r="E382" s="51"/>
      <c r="F382" s="26">
        <f>F383</f>
        <v>0</v>
      </c>
      <c r="G382" s="26">
        <f>G383</f>
        <v>0</v>
      </c>
      <c r="H382" s="26">
        <f>H383</f>
        <v>0</v>
      </c>
      <c r="I382" s="3"/>
      <c r="J382" s="3"/>
      <c r="K382" s="3"/>
    </row>
    <row r="383" spans="1:11" s="50" customFormat="1" ht="25.5" hidden="1" customHeight="1" x14ac:dyDescent="0.2">
      <c r="A383" s="20" t="s">
        <v>28</v>
      </c>
      <c r="B383" s="21" t="s">
        <v>71</v>
      </c>
      <c r="C383" s="21" t="s">
        <v>23</v>
      </c>
      <c r="D383" s="25" t="s">
        <v>410</v>
      </c>
      <c r="E383" s="51" t="s">
        <v>29</v>
      </c>
      <c r="F383" s="26"/>
      <c r="G383" s="26"/>
      <c r="H383" s="26"/>
      <c r="I383" s="3"/>
      <c r="J383" s="3"/>
      <c r="K383" s="3"/>
    </row>
    <row r="384" spans="1:11" s="50" customFormat="1" ht="25.5" customHeight="1" x14ac:dyDescent="0.2">
      <c r="A384" s="103" t="s">
        <v>411</v>
      </c>
      <c r="B384" s="21" t="s">
        <v>71</v>
      </c>
      <c r="C384" s="21" t="s">
        <v>23</v>
      </c>
      <c r="D384" s="25" t="s">
        <v>412</v>
      </c>
      <c r="E384" s="51"/>
      <c r="F384" s="26">
        <f>F385</f>
        <v>862.69999999999993</v>
      </c>
      <c r="G384" s="26">
        <f>G385</f>
        <v>2587.9</v>
      </c>
      <c r="H384" s="26">
        <f>H385</f>
        <v>1725.3</v>
      </c>
      <c r="I384" s="3"/>
      <c r="J384" s="3"/>
      <c r="K384" s="3"/>
    </row>
    <row r="385" spans="1:11" s="50" customFormat="1" ht="25.5" customHeight="1" x14ac:dyDescent="0.2">
      <c r="A385" s="102" t="s">
        <v>28</v>
      </c>
      <c r="B385" s="21" t="s">
        <v>71</v>
      </c>
      <c r="C385" s="21" t="s">
        <v>23</v>
      </c>
      <c r="D385" s="25" t="s">
        <v>412</v>
      </c>
      <c r="E385" s="51" t="s">
        <v>29</v>
      </c>
      <c r="F385" s="26">
        <f>836.8+25.9</f>
        <v>862.69999999999993</v>
      </c>
      <c r="G385" s="26">
        <f>2510.3+77.6</f>
        <v>2587.9</v>
      </c>
      <c r="H385" s="26">
        <f>1673.5+51.8</f>
        <v>1725.3</v>
      </c>
      <c r="I385" s="3"/>
      <c r="J385" s="3"/>
      <c r="K385" s="3"/>
    </row>
    <row r="386" spans="1:11" s="50" customFormat="1" ht="16.5" customHeight="1" x14ac:dyDescent="0.2">
      <c r="A386" s="40" t="s">
        <v>13</v>
      </c>
      <c r="B386" s="34" t="s">
        <v>71</v>
      </c>
      <c r="C386" s="34" t="s">
        <v>23</v>
      </c>
      <c r="D386" s="25" t="s">
        <v>413</v>
      </c>
      <c r="E386" s="51"/>
      <c r="F386" s="26">
        <f>F387+F393+F396</f>
        <v>10981.3</v>
      </c>
      <c r="G386" s="26">
        <f>G387+G393+G396</f>
        <v>10842.9</v>
      </c>
      <c r="H386" s="26">
        <f>H387+H393+H396</f>
        <v>10880.1</v>
      </c>
      <c r="I386" s="104"/>
      <c r="J386" s="3"/>
      <c r="K386" s="3"/>
    </row>
    <row r="387" spans="1:11" s="50" customFormat="1" ht="26.25" customHeight="1" x14ac:dyDescent="0.2">
      <c r="A387" s="59" t="s">
        <v>414</v>
      </c>
      <c r="B387" s="34" t="s">
        <v>71</v>
      </c>
      <c r="C387" s="34" t="s">
        <v>23</v>
      </c>
      <c r="D387" s="25" t="s">
        <v>415</v>
      </c>
      <c r="E387" s="51"/>
      <c r="F387" s="26">
        <f>F388+F391</f>
        <v>7889.3</v>
      </c>
      <c r="G387" s="26">
        <f>G388+G391</f>
        <v>7889.3</v>
      </c>
      <c r="H387" s="26">
        <f>H388+H391</f>
        <v>7889.3</v>
      </c>
      <c r="I387" s="3"/>
      <c r="J387" s="3"/>
      <c r="K387" s="3"/>
    </row>
    <row r="388" spans="1:11" s="50" customFormat="1" ht="12.75" customHeight="1" x14ac:dyDescent="0.2">
      <c r="A388" s="59" t="s">
        <v>416</v>
      </c>
      <c r="B388" s="34" t="s">
        <v>71</v>
      </c>
      <c r="C388" s="34" t="s">
        <v>23</v>
      </c>
      <c r="D388" s="25" t="s">
        <v>417</v>
      </c>
      <c r="E388" s="51"/>
      <c r="F388" s="26">
        <f>F389+F390</f>
        <v>7639.3</v>
      </c>
      <c r="G388" s="26">
        <f>G389+G390</f>
        <v>7639.3</v>
      </c>
      <c r="H388" s="26">
        <f>H389+H390</f>
        <v>7639.3</v>
      </c>
      <c r="I388" s="3"/>
      <c r="J388" s="3"/>
      <c r="K388" s="3"/>
    </row>
    <row r="389" spans="1:11" s="50" customFormat="1" ht="25.5" customHeight="1" x14ac:dyDescent="0.2">
      <c r="A389" s="20" t="s">
        <v>28</v>
      </c>
      <c r="B389" s="34" t="s">
        <v>71</v>
      </c>
      <c r="C389" s="34" t="s">
        <v>23</v>
      </c>
      <c r="D389" s="25" t="s">
        <v>417</v>
      </c>
      <c r="E389" s="51" t="s">
        <v>29</v>
      </c>
      <c r="F389" s="26">
        <f>5729.5+1909.8</f>
        <v>7639.3</v>
      </c>
      <c r="G389" s="26">
        <f>5729.5+1909.8</f>
        <v>7639.3</v>
      </c>
      <c r="H389" s="26">
        <f>5729.5+1909.8</f>
        <v>7639.3</v>
      </c>
      <c r="I389" s="3"/>
      <c r="J389" s="3"/>
      <c r="K389" s="3"/>
    </row>
    <row r="390" spans="1:11" s="50" customFormat="1" ht="15" hidden="1" customHeight="1" x14ac:dyDescent="0.2">
      <c r="A390" s="38" t="s">
        <v>418</v>
      </c>
      <c r="B390" s="34" t="s">
        <v>71</v>
      </c>
      <c r="C390" s="34" t="s">
        <v>23</v>
      </c>
      <c r="D390" s="25" t="s">
        <v>417</v>
      </c>
      <c r="E390" s="51" t="s">
        <v>41</v>
      </c>
      <c r="F390" s="26">
        <v>0</v>
      </c>
      <c r="G390" s="26">
        <v>0</v>
      </c>
      <c r="H390" s="26">
        <v>0</v>
      </c>
      <c r="I390" s="3"/>
      <c r="J390" s="3"/>
      <c r="K390" s="3"/>
    </row>
    <row r="391" spans="1:11" s="50" customFormat="1" ht="15" customHeight="1" x14ac:dyDescent="0.2">
      <c r="A391" s="37" t="s">
        <v>419</v>
      </c>
      <c r="B391" s="34" t="s">
        <v>71</v>
      </c>
      <c r="C391" s="34" t="s">
        <v>23</v>
      </c>
      <c r="D391" s="25" t="s">
        <v>420</v>
      </c>
      <c r="E391" s="34"/>
      <c r="F391" s="26">
        <f>F392</f>
        <v>250</v>
      </c>
      <c r="G391" s="26">
        <f>G392</f>
        <v>250</v>
      </c>
      <c r="H391" s="26">
        <f>H392</f>
        <v>250</v>
      </c>
      <c r="I391" s="3"/>
      <c r="J391" s="3"/>
      <c r="K391" s="3"/>
    </row>
    <row r="392" spans="1:11" s="50" customFormat="1" ht="25.5" x14ac:dyDescent="0.2">
      <c r="A392" s="37" t="s">
        <v>28</v>
      </c>
      <c r="B392" s="34" t="s">
        <v>71</v>
      </c>
      <c r="C392" s="34" t="s">
        <v>23</v>
      </c>
      <c r="D392" s="25" t="s">
        <v>420</v>
      </c>
      <c r="E392" s="34" t="s">
        <v>29</v>
      </c>
      <c r="F392" s="26">
        <v>250</v>
      </c>
      <c r="G392" s="26">
        <v>250</v>
      </c>
      <c r="H392" s="26">
        <v>250</v>
      </c>
      <c r="I392" s="3"/>
      <c r="J392" s="3"/>
      <c r="K392" s="3"/>
    </row>
    <row r="393" spans="1:11" s="50" customFormat="1" ht="25.5" customHeight="1" x14ac:dyDescent="0.2">
      <c r="A393" s="103" t="s">
        <v>421</v>
      </c>
      <c r="B393" s="34" t="s">
        <v>71</v>
      </c>
      <c r="C393" s="34" t="s">
        <v>23</v>
      </c>
      <c r="D393" s="25" t="s">
        <v>422</v>
      </c>
      <c r="E393" s="51"/>
      <c r="F393" s="26">
        <f t="shared" ref="F393:H394" si="60">F394</f>
        <v>2332</v>
      </c>
      <c r="G393" s="26">
        <f t="shared" si="60"/>
        <v>2193.6</v>
      </c>
      <c r="H393" s="26">
        <f t="shared" si="60"/>
        <v>2230.8000000000002</v>
      </c>
      <c r="I393" s="3"/>
      <c r="J393" s="3"/>
      <c r="K393" s="3"/>
    </row>
    <row r="394" spans="1:11" s="50" customFormat="1" ht="18" customHeight="1" x14ac:dyDescent="0.2">
      <c r="A394" s="20" t="s">
        <v>423</v>
      </c>
      <c r="B394" s="34" t="s">
        <v>71</v>
      </c>
      <c r="C394" s="34" t="s">
        <v>23</v>
      </c>
      <c r="D394" s="25" t="s">
        <v>424</v>
      </c>
      <c r="E394" s="51"/>
      <c r="F394" s="26">
        <f t="shared" si="60"/>
        <v>2332</v>
      </c>
      <c r="G394" s="26">
        <f t="shared" si="60"/>
        <v>2193.6</v>
      </c>
      <c r="H394" s="26">
        <f t="shared" si="60"/>
        <v>2230.8000000000002</v>
      </c>
      <c r="I394" s="3"/>
      <c r="J394" s="3"/>
      <c r="K394" s="3"/>
    </row>
    <row r="395" spans="1:11" s="50" customFormat="1" ht="25.5" customHeight="1" x14ac:dyDescent="0.2">
      <c r="A395" s="20" t="s">
        <v>28</v>
      </c>
      <c r="B395" s="34" t="s">
        <v>71</v>
      </c>
      <c r="C395" s="34" t="s">
        <v>23</v>
      </c>
      <c r="D395" s="25" t="s">
        <v>424</v>
      </c>
      <c r="E395" s="51" t="s">
        <v>29</v>
      </c>
      <c r="F395" s="26">
        <f>2332</f>
        <v>2332</v>
      </c>
      <c r="G395" s="26">
        <f>2332-138.4</f>
        <v>2193.6</v>
      </c>
      <c r="H395" s="26">
        <f>2332-101.2</f>
        <v>2230.8000000000002</v>
      </c>
      <c r="I395" s="3"/>
      <c r="J395" s="3"/>
      <c r="K395" s="3"/>
    </row>
    <row r="396" spans="1:11" s="50" customFormat="1" ht="25.5" customHeight="1" x14ac:dyDescent="0.2">
      <c r="A396" s="20" t="s">
        <v>425</v>
      </c>
      <c r="B396" s="34" t="s">
        <v>71</v>
      </c>
      <c r="C396" s="34" t="s">
        <v>23</v>
      </c>
      <c r="D396" s="25" t="s">
        <v>426</v>
      </c>
      <c r="E396" s="51"/>
      <c r="F396" s="26">
        <f t="shared" ref="F396:H397" si="61">F397</f>
        <v>760</v>
      </c>
      <c r="G396" s="26">
        <f t="shared" si="61"/>
        <v>760</v>
      </c>
      <c r="H396" s="26">
        <f t="shared" si="61"/>
        <v>760</v>
      </c>
      <c r="I396" s="3"/>
      <c r="J396" s="3"/>
      <c r="K396" s="3"/>
    </row>
    <row r="397" spans="1:11" s="50" customFormat="1" ht="17.25" customHeight="1" x14ac:dyDescent="0.2">
      <c r="A397" s="57" t="s">
        <v>427</v>
      </c>
      <c r="B397" s="34" t="s">
        <v>71</v>
      </c>
      <c r="C397" s="34" t="s">
        <v>23</v>
      </c>
      <c r="D397" s="25" t="s">
        <v>428</v>
      </c>
      <c r="E397" s="51"/>
      <c r="F397" s="26">
        <f t="shared" si="61"/>
        <v>760</v>
      </c>
      <c r="G397" s="26">
        <f t="shared" si="61"/>
        <v>760</v>
      </c>
      <c r="H397" s="26">
        <f t="shared" si="61"/>
        <v>760</v>
      </c>
      <c r="I397" s="3"/>
      <c r="J397" s="3"/>
      <c r="K397" s="3"/>
    </row>
    <row r="398" spans="1:11" s="50" customFormat="1" ht="25.5" customHeight="1" x14ac:dyDescent="0.2">
      <c r="A398" s="57" t="s">
        <v>28</v>
      </c>
      <c r="B398" s="34" t="s">
        <v>71</v>
      </c>
      <c r="C398" s="34" t="s">
        <v>23</v>
      </c>
      <c r="D398" s="25" t="s">
        <v>428</v>
      </c>
      <c r="E398" s="51" t="s">
        <v>29</v>
      </c>
      <c r="F398" s="26">
        <v>760</v>
      </c>
      <c r="G398" s="26">
        <v>760</v>
      </c>
      <c r="H398" s="26">
        <v>760</v>
      </c>
      <c r="I398" s="3"/>
      <c r="J398" s="3"/>
      <c r="K398" s="3"/>
    </row>
    <row r="399" spans="1:11" s="50" customFormat="1" ht="40.5" customHeight="1" x14ac:dyDescent="0.2">
      <c r="A399" s="59" t="s">
        <v>354</v>
      </c>
      <c r="B399" s="34" t="s">
        <v>71</v>
      </c>
      <c r="C399" s="34" t="s">
        <v>23</v>
      </c>
      <c r="D399" s="25" t="s">
        <v>355</v>
      </c>
      <c r="E399" s="51"/>
      <c r="F399" s="26">
        <f>F400</f>
        <v>8927.1</v>
      </c>
      <c r="G399" s="26">
        <f t="shared" ref="G399:H402" si="62">G400</f>
        <v>10927.1</v>
      </c>
      <c r="H399" s="26">
        <f t="shared" si="62"/>
        <v>11738</v>
      </c>
      <c r="I399" s="3"/>
      <c r="J399" s="3"/>
      <c r="K399" s="3"/>
    </row>
    <row r="400" spans="1:11" s="50" customFormat="1" ht="16.5" customHeight="1" x14ac:dyDescent="0.2">
      <c r="A400" s="59" t="s">
        <v>13</v>
      </c>
      <c r="B400" s="34" t="s">
        <v>71</v>
      </c>
      <c r="C400" s="34" t="s">
        <v>23</v>
      </c>
      <c r="D400" s="25" t="s">
        <v>375</v>
      </c>
      <c r="E400" s="51"/>
      <c r="F400" s="26">
        <f>F401</f>
        <v>8927.1</v>
      </c>
      <c r="G400" s="26">
        <f t="shared" si="62"/>
        <v>10927.1</v>
      </c>
      <c r="H400" s="26">
        <f t="shared" si="62"/>
        <v>11738</v>
      </c>
      <c r="I400" s="3"/>
      <c r="J400" s="3"/>
      <c r="K400" s="3"/>
    </row>
    <row r="401" spans="1:11" s="50" customFormat="1" ht="25.5" customHeight="1" x14ac:dyDescent="0.2">
      <c r="A401" s="20" t="s">
        <v>429</v>
      </c>
      <c r="B401" s="34" t="s">
        <v>71</v>
      </c>
      <c r="C401" s="34" t="s">
        <v>23</v>
      </c>
      <c r="D401" s="25" t="s">
        <v>430</v>
      </c>
      <c r="E401" s="51"/>
      <c r="F401" s="26">
        <f>F402+F404</f>
        <v>8927.1</v>
      </c>
      <c r="G401" s="26">
        <f>G402+G404</f>
        <v>10927.1</v>
      </c>
      <c r="H401" s="26">
        <f>H402+H404</f>
        <v>11738</v>
      </c>
      <c r="I401" s="3"/>
      <c r="J401" s="3"/>
      <c r="K401" s="3"/>
    </row>
    <row r="402" spans="1:11" s="50" customFormat="1" ht="25.5" customHeight="1" x14ac:dyDescent="0.2">
      <c r="A402" s="91" t="s">
        <v>181</v>
      </c>
      <c r="B402" s="34" t="s">
        <v>71</v>
      </c>
      <c r="C402" s="34" t="s">
        <v>23</v>
      </c>
      <c r="D402" s="25" t="s">
        <v>431</v>
      </c>
      <c r="E402" s="92"/>
      <c r="F402" s="26">
        <f>F403</f>
        <v>1000</v>
      </c>
      <c r="G402" s="26">
        <f t="shared" si="62"/>
        <v>3000</v>
      </c>
      <c r="H402" s="26">
        <f t="shared" si="62"/>
        <v>3810.9</v>
      </c>
      <c r="I402" s="3"/>
      <c r="J402" s="3"/>
      <c r="K402" s="3"/>
    </row>
    <row r="403" spans="1:11" s="50" customFormat="1" ht="15.75" customHeight="1" x14ac:dyDescent="0.2">
      <c r="A403" s="91" t="s">
        <v>169</v>
      </c>
      <c r="B403" s="34" t="s">
        <v>71</v>
      </c>
      <c r="C403" s="34" t="s">
        <v>23</v>
      </c>
      <c r="D403" s="25" t="s">
        <v>431</v>
      </c>
      <c r="E403" s="21" t="s">
        <v>125</v>
      </c>
      <c r="F403" s="26">
        <v>1000</v>
      </c>
      <c r="G403" s="26">
        <v>3000</v>
      </c>
      <c r="H403" s="26">
        <f>3000+810.9</f>
        <v>3810.9</v>
      </c>
      <c r="I403" s="3"/>
      <c r="J403" s="19"/>
      <c r="K403" s="3"/>
    </row>
    <row r="404" spans="1:11" s="50" customFormat="1" ht="25.5" customHeight="1" x14ac:dyDescent="0.2">
      <c r="A404" s="59" t="s">
        <v>42</v>
      </c>
      <c r="B404" s="34" t="s">
        <v>71</v>
      </c>
      <c r="C404" s="34" t="s">
        <v>23</v>
      </c>
      <c r="D404" s="25" t="s">
        <v>432</v>
      </c>
      <c r="E404" s="34"/>
      <c r="F404" s="26">
        <f>F405</f>
        <v>7927.1</v>
      </c>
      <c r="G404" s="26">
        <f>G405</f>
        <v>7927.1</v>
      </c>
      <c r="H404" s="26">
        <f>H405</f>
        <v>7927.1</v>
      </c>
      <c r="I404" s="3"/>
      <c r="J404" s="3"/>
      <c r="K404" s="3"/>
    </row>
    <row r="405" spans="1:11" s="50" customFormat="1" ht="18" customHeight="1" x14ac:dyDescent="0.2">
      <c r="A405" s="59" t="s">
        <v>169</v>
      </c>
      <c r="B405" s="34" t="s">
        <v>71</v>
      </c>
      <c r="C405" s="34" t="s">
        <v>23</v>
      </c>
      <c r="D405" s="25" t="s">
        <v>432</v>
      </c>
      <c r="E405" s="34" t="s">
        <v>125</v>
      </c>
      <c r="F405" s="26">
        <v>7927.1</v>
      </c>
      <c r="G405" s="26">
        <v>7927.1</v>
      </c>
      <c r="H405" s="26">
        <v>7927.1</v>
      </c>
      <c r="I405" s="3"/>
      <c r="J405" s="19"/>
      <c r="K405" s="3"/>
    </row>
    <row r="406" spans="1:11" s="19" customFormat="1" ht="12.75" customHeight="1" x14ac:dyDescent="0.2">
      <c r="A406" s="29" t="s">
        <v>433</v>
      </c>
      <c r="B406" s="105" t="s">
        <v>77</v>
      </c>
      <c r="C406" s="105"/>
      <c r="D406" s="106"/>
      <c r="E406" s="106"/>
      <c r="F406" s="53">
        <f t="shared" ref="F406:H407" si="63">F407</f>
        <v>7044.9</v>
      </c>
      <c r="G406" s="53">
        <f t="shared" si="63"/>
        <v>4732.8999999999996</v>
      </c>
      <c r="H406" s="53">
        <f t="shared" si="63"/>
        <v>4366</v>
      </c>
    </row>
    <row r="407" spans="1:11" s="19" customFormat="1" ht="17.25" customHeight="1" x14ac:dyDescent="0.2">
      <c r="A407" s="77" t="s">
        <v>434</v>
      </c>
      <c r="B407" s="105" t="s">
        <v>77</v>
      </c>
      <c r="C407" s="105" t="s">
        <v>71</v>
      </c>
      <c r="D407" s="106"/>
      <c r="E407" s="106"/>
      <c r="F407" s="53">
        <f t="shared" si="63"/>
        <v>7044.9</v>
      </c>
      <c r="G407" s="53">
        <f t="shared" si="63"/>
        <v>4732.8999999999996</v>
      </c>
      <c r="H407" s="53">
        <f t="shared" si="63"/>
        <v>4366</v>
      </c>
    </row>
    <row r="408" spans="1:11" s="50" customFormat="1" ht="38.25" customHeight="1" x14ac:dyDescent="0.2">
      <c r="A408" s="31" t="s">
        <v>435</v>
      </c>
      <c r="B408" s="107" t="s">
        <v>77</v>
      </c>
      <c r="C408" s="107" t="s">
        <v>71</v>
      </c>
      <c r="D408" s="25" t="s">
        <v>64</v>
      </c>
      <c r="E408" s="34"/>
      <c r="F408" s="26">
        <f>F409+F420</f>
        <v>7044.9</v>
      </c>
      <c r="G408" s="26">
        <f>G409+G420</f>
        <v>4732.8999999999996</v>
      </c>
      <c r="H408" s="26">
        <f>H409+H420</f>
        <v>4366</v>
      </c>
      <c r="I408" s="3"/>
      <c r="J408" s="3"/>
      <c r="K408" s="3"/>
    </row>
    <row r="409" spans="1:11" s="50" customFormat="1" ht="18" customHeight="1" x14ac:dyDescent="0.2">
      <c r="A409" s="44" t="s">
        <v>50</v>
      </c>
      <c r="B409" s="107" t="s">
        <v>77</v>
      </c>
      <c r="C409" s="107" t="s">
        <v>71</v>
      </c>
      <c r="D409" s="25" t="s">
        <v>436</v>
      </c>
      <c r="E409" s="51"/>
      <c r="F409" s="26">
        <f>F410+F413</f>
        <v>4828.8999999999996</v>
      </c>
      <c r="G409" s="26">
        <f>G410+G413</f>
        <v>2516.9</v>
      </c>
      <c r="H409" s="26">
        <f>H410+H413</f>
        <v>2150</v>
      </c>
      <c r="I409" s="3"/>
      <c r="J409" s="3"/>
      <c r="K409" s="3"/>
    </row>
    <row r="410" spans="1:11" s="50" customFormat="1" ht="24.75" customHeight="1" x14ac:dyDescent="0.2">
      <c r="A410" s="20" t="s">
        <v>437</v>
      </c>
      <c r="B410" s="107" t="s">
        <v>77</v>
      </c>
      <c r="C410" s="107" t="s">
        <v>71</v>
      </c>
      <c r="D410" s="25" t="s">
        <v>438</v>
      </c>
      <c r="E410" s="51"/>
      <c r="F410" s="26">
        <f t="shared" ref="F410:H411" si="64">F411</f>
        <v>549</v>
      </c>
      <c r="G410" s="26">
        <f t="shared" si="64"/>
        <v>150</v>
      </c>
      <c r="H410" s="26">
        <f t="shared" si="64"/>
        <v>150</v>
      </c>
      <c r="I410" s="3"/>
      <c r="J410" s="3"/>
      <c r="K410" s="3"/>
    </row>
    <row r="411" spans="1:11" s="50" customFormat="1" ht="18.75" customHeight="1" x14ac:dyDescent="0.2">
      <c r="A411" s="20" t="s">
        <v>439</v>
      </c>
      <c r="B411" s="107" t="s">
        <v>77</v>
      </c>
      <c r="C411" s="107" t="s">
        <v>71</v>
      </c>
      <c r="D411" s="25" t="s">
        <v>440</v>
      </c>
      <c r="E411" s="51"/>
      <c r="F411" s="26">
        <f t="shared" si="64"/>
        <v>549</v>
      </c>
      <c r="G411" s="26">
        <f t="shared" si="64"/>
        <v>150</v>
      </c>
      <c r="H411" s="26">
        <f t="shared" si="64"/>
        <v>150</v>
      </c>
      <c r="I411" s="3"/>
      <c r="J411" s="3"/>
      <c r="K411" s="3"/>
    </row>
    <row r="412" spans="1:11" s="50" customFormat="1" ht="25.5" customHeight="1" x14ac:dyDescent="0.2">
      <c r="A412" s="20" t="s">
        <v>28</v>
      </c>
      <c r="B412" s="107" t="s">
        <v>77</v>
      </c>
      <c r="C412" s="107" t="s">
        <v>71</v>
      </c>
      <c r="D412" s="25" t="s">
        <v>440</v>
      </c>
      <c r="E412" s="51" t="s">
        <v>29</v>
      </c>
      <c r="F412" s="26">
        <f>249+300</f>
        <v>549</v>
      </c>
      <c r="G412" s="26">
        <v>150</v>
      </c>
      <c r="H412" s="26">
        <v>150</v>
      </c>
      <c r="I412" s="3"/>
      <c r="J412" s="3"/>
      <c r="K412" s="3"/>
    </row>
    <row r="413" spans="1:11" s="50" customFormat="1" ht="25.5" customHeight="1" x14ac:dyDescent="0.2">
      <c r="A413" s="20" t="s">
        <v>441</v>
      </c>
      <c r="B413" s="107" t="s">
        <v>77</v>
      </c>
      <c r="C413" s="107" t="s">
        <v>71</v>
      </c>
      <c r="D413" s="25" t="s">
        <v>442</v>
      </c>
      <c r="E413" s="51"/>
      <c r="F413" s="26">
        <f>F416+F414+F418</f>
        <v>4279.8999999999996</v>
      </c>
      <c r="G413" s="26">
        <f>G416+G414+G418</f>
        <v>2366.9</v>
      </c>
      <c r="H413" s="26">
        <f>H416+H414+H418</f>
        <v>2000</v>
      </c>
      <c r="I413" s="3"/>
      <c r="J413" s="3"/>
      <c r="K413" s="3"/>
    </row>
    <row r="414" spans="1:11" s="50" customFormat="1" ht="17.25" customHeight="1" x14ac:dyDescent="0.2">
      <c r="A414" s="20" t="s">
        <v>443</v>
      </c>
      <c r="B414" s="107" t="s">
        <v>77</v>
      </c>
      <c r="C414" s="107" t="s">
        <v>71</v>
      </c>
      <c r="D414" s="25" t="s">
        <v>444</v>
      </c>
      <c r="E414" s="51"/>
      <c r="F414" s="26">
        <f>F415</f>
        <v>2164.9</v>
      </c>
      <c r="G414" s="26">
        <f>G415</f>
        <v>1030.9000000000001</v>
      </c>
      <c r="H414" s="26">
        <f>H415</f>
        <v>0</v>
      </c>
      <c r="I414" s="3"/>
      <c r="J414" s="3"/>
      <c r="K414" s="3"/>
    </row>
    <row r="415" spans="1:11" s="50" customFormat="1" ht="27.75" customHeight="1" x14ac:dyDescent="0.2">
      <c r="A415" s="20" t="s">
        <v>28</v>
      </c>
      <c r="B415" s="107" t="s">
        <v>77</v>
      </c>
      <c r="C415" s="107" t="s">
        <v>71</v>
      </c>
      <c r="D415" s="25" t="s">
        <v>444</v>
      </c>
      <c r="E415" s="51" t="s">
        <v>29</v>
      </c>
      <c r="F415" s="26">
        <f>2100+64.9</f>
        <v>2164.9</v>
      </c>
      <c r="G415" s="26">
        <f>1000+30.9</f>
        <v>1030.9000000000001</v>
      </c>
      <c r="H415" s="26">
        <v>0</v>
      </c>
      <c r="I415" s="3"/>
      <c r="J415" s="3"/>
      <c r="K415" s="3"/>
    </row>
    <row r="416" spans="1:11" s="50" customFormat="1" ht="26.25" customHeight="1" x14ac:dyDescent="0.2">
      <c r="A416" s="20" t="s">
        <v>445</v>
      </c>
      <c r="B416" s="107" t="s">
        <v>77</v>
      </c>
      <c r="C416" s="107" t="s">
        <v>71</v>
      </c>
      <c r="D416" s="25" t="s">
        <v>446</v>
      </c>
      <c r="E416" s="51"/>
      <c r="F416" s="26">
        <f>F417</f>
        <v>1632</v>
      </c>
      <c r="G416" s="26">
        <f>G417</f>
        <v>336</v>
      </c>
      <c r="H416" s="26">
        <f>H417</f>
        <v>1000</v>
      </c>
      <c r="I416" s="3"/>
      <c r="J416" s="3"/>
      <c r="K416" s="3"/>
    </row>
    <row r="417" spans="1:11" s="50" customFormat="1" ht="28.5" customHeight="1" x14ac:dyDescent="0.2">
      <c r="A417" s="20" t="s">
        <v>28</v>
      </c>
      <c r="B417" s="107" t="s">
        <v>77</v>
      </c>
      <c r="C417" s="107" t="s">
        <v>71</v>
      </c>
      <c r="D417" s="25" t="s">
        <v>446</v>
      </c>
      <c r="E417" s="51" t="s">
        <v>29</v>
      </c>
      <c r="F417" s="26">
        <f>2300+100+4082+800+650-2300-4000</f>
        <v>1632</v>
      </c>
      <c r="G417" s="26">
        <f>1000-664</f>
        <v>336</v>
      </c>
      <c r="H417" s="26">
        <v>1000</v>
      </c>
      <c r="I417" s="3"/>
      <c r="J417" s="3"/>
      <c r="K417" s="3"/>
    </row>
    <row r="418" spans="1:11" s="50" customFormat="1" ht="28.5" customHeight="1" x14ac:dyDescent="0.2">
      <c r="A418" s="20" t="s">
        <v>447</v>
      </c>
      <c r="B418" s="107" t="s">
        <v>77</v>
      </c>
      <c r="C418" s="107" t="s">
        <v>71</v>
      </c>
      <c r="D418" s="25" t="s">
        <v>448</v>
      </c>
      <c r="E418" s="34"/>
      <c r="F418" s="26">
        <f>F419</f>
        <v>483</v>
      </c>
      <c r="G418" s="26">
        <f>G419</f>
        <v>1000</v>
      </c>
      <c r="H418" s="26">
        <f>H419</f>
        <v>1000</v>
      </c>
      <c r="I418" s="3"/>
      <c r="J418" s="3"/>
      <c r="K418" s="3"/>
    </row>
    <row r="419" spans="1:11" s="50" customFormat="1" ht="28.5" customHeight="1" x14ac:dyDescent="0.2">
      <c r="A419" s="20" t="s">
        <v>28</v>
      </c>
      <c r="B419" s="107" t="s">
        <v>77</v>
      </c>
      <c r="C419" s="107" t="s">
        <v>71</v>
      </c>
      <c r="D419" s="25" t="s">
        <v>448</v>
      </c>
      <c r="E419" s="34" t="s">
        <v>29</v>
      </c>
      <c r="F419" s="26">
        <f>3483-3000</f>
        <v>483</v>
      </c>
      <c r="G419" s="26">
        <v>1000</v>
      </c>
      <c r="H419" s="26">
        <v>1000</v>
      </c>
      <c r="I419" s="3"/>
      <c r="J419" s="3"/>
      <c r="K419" s="3"/>
    </row>
    <row r="420" spans="1:11" s="50" customFormat="1" ht="19.5" customHeight="1" x14ac:dyDescent="0.2">
      <c r="A420" s="40" t="s">
        <v>13</v>
      </c>
      <c r="B420" s="107" t="s">
        <v>77</v>
      </c>
      <c r="C420" s="107" t="s">
        <v>71</v>
      </c>
      <c r="D420" s="25" t="s">
        <v>65</v>
      </c>
      <c r="E420" s="34"/>
      <c r="F420" s="26">
        <f>F421+F424</f>
        <v>2216</v>
      </c>
      <c r="G420" s="26">
        <f>G421+G424</f>
        <v>2216</v>
      </c>
      <c r="H420" s="26">
        <f>H421+H424</f>
        <v>2216</v>
      </c>
      <c r="I420" s="3"/>
      <c r="J420" s="3"/>
      <c r="K420" s="3"/>
    </row>
    <row r="421" spans="1:11" s="50" customFormat="1" ht="40.5" customHeight="1" x14ac:dyDescent="0.2">
      <c r="A421" s="20" t="s">
        <v>449</v>
      </c>
      <c r="B421" s="107" t="s">
        <v>77</v>
      </c>
      <c r="C421" s="107" t="s">
        <v>71</v>
      </c>
      <c r="D421" s="25" t="s">
        <v>450</v>
      </c>
      <c r="E421" s="34"/>
      <c r="F421" s="26">
        <f t="shared" ref="F421:H422" si="65">F422</f>
        <v>2160</v>
      </c>
      <c r="G421" s="26">
        <f t="shared" si="65"/>
        <v>2160</v>
      </c>
      <c r="H421" s="26">
        <f t="shared" si="65"/>
        <v>2160</v>
      </c>
      <c r="I421" s="3"/>
      <c r="J421" s="3"/>
      <c r="K421" s="3"/>
    </row>
    <row r="422" spans="1:11" s="50" customFormat="1" ht="25.5" customHeight="1" x14ac:dyDescent="0.2">
      <c r="A422" s="20" t="s">
        <v>451</v>
      </c>
      <c r="B422" s="107" t="s">
        <v>77</v>
      </c>
      <c r="C422" s="107" t="s">
        <v>71</v>
      </c>
      <c r="D422" s="25" t="s">
        <v>452</v>
      </c>
      <c r="E422" s="34"/>
      <c r="F422" s="26">
        <f t="shared" si="65"/>
        <v>2160</v>
      </c>
      <c r="G422" s="26">
        <f t="shared" si="65"/>
        <v>2160</v>
      </c>
      <c r="H422" s="26">
        <f t="shared" si="65"/>
        <v>2160</v>
      </c>
      <c r="I422" s="3"/>
      <c r="J422" s="3"/>
      <c r="K422" s="3"/>
    </row>
    <row r="423" spans="1:11" s="50" customFormat="1" ht="27.75" customHeight="1" x14ac:dyDescent="0.2">
      <c r="A423" s="20" t="s">
        <v>28</v>
      </c>
      <c r="B423" s="107" t="s">
        <v>77</v>
      </c>
      <c r="C423" s="107" t="s">
        <v>71</v>
      </c>
      <c r="D423" s="25" t="s">
        <v>452</v>
      </c>
      <c r="E423" s="34" t="s">
        <v>29</v>
      </c>
      <c r="F423" s="26">
        <v>2160</v>
      </c>
      <c r="G423" s="26">
        <v>2160</v>
      </c>
      <c r="H423" s="26">
        <v>2160</v>
      </c>
      <c r="I423" s="3"/>
      <c r="J423" s="3"/>
      <c r="K423" s="3"/>
    </row>
    <row r="424" spans="1:11" s="50" customFormat="1" ht="25.5" customHeight="1" x14ac:dyDescent="0.2">
      <c r="A424" s="20" t="s">
        <v>453</v>
      </c>
      <c r="B424" s="107" t="s">
        <v>77</v>
      </c>
      <c r="C424" s="107" t="s">
        <v>71</v>
      </c>
      <c r="D424" s="25" t="s">
        <v>454</v>
      </c>
      <c r="E424" s="34"/>
      <c r="F424" s="26">
        <f>F425</f>
        <v>56</v>
      </c>
      <c r="G424" s="26">
        <f>G425</f>
        <v>56</v>
      </c>
      <c r="H424" s="26">
        <f>H425</f>
        <v>56</v>
      </c>
      <c r="I424" s="3"/>
      <c r="J424" s="3"/>
      <c r="K424" s="3"/>
    </row>
    <row r="425" spans="1:11" s="50" customFormat="1" ht="12.75" customHeight="1" x14ac:dyDescent="0.2">
      <c r="A425" s="44" t="s">
        <v>455</v>
      </c>
      <c r="B425" s="107" t="s">
        <v>77</v>
      </c>
      <c r="C425" s="107" t="s">
        <v>71</v>
      </c>
      <c r="D425" s="25" t="s">
        <v>456</v>
      </c>
      <c r="E425" s="34"/>
      <c r="F425" s="26">
        <f>F426+F427+F428</f>
        <v>56</v>
      </c>
      <c r="G425" s="26">
        <f>G426+G427+G428</f>
        <v>56</v>
      </c>
      <c r="H425" s="26">
        <f>H426+H427+H428</f>
        <v>56</v>
      </c>
      <c r="I425" s="3"/>
      <c r="J425" s="3"/>
      <c r="K425" s="3"/>
    </row>
    <row r="426" spans="1:11" s="50" customFormat="1" ht="25.5" customHeight="1" x14ac:dyDescent="0.2">
      <c r="A426" s="20" t="s">
        <v>28</v>
      </c>
      <c r="B426" s="107" t="s">
        <v>77</v>
      </c>
      <c r="C426" s="107" t="s">
        <v>71</v>
      </c>
      <c r="D426" s="25" t="s">
        <v>456</v>
      </c>
      <c r="E426" s="34" t="s">
        <v>29</v>
      </c>
      <c r="F426" s="26">
        <v>6</v>
      </c>
      <c r="G426" s="26">
        <v>6</v>
      </c>
      <c r="H426" s="26">
        <v>6</v>
      </c>
      <c r="I426" s="3"/>
      <c r="J426" s="3"/>
      <c r="K426" s="3"/>
    </row>
    <row r="427" spans="1:11" s="50" customFormat="1" ht="15.75" customHeight="1" x14ac:dyDescent="0.2">
      <c r="A427" s="59" t="s">
        <v>124</v>
      </c>
      <c r="B427" s="107" t="s">
        <v>77</v>
      </c>
      <c r="C427" s="107" t="s">
        <v>71</v>
      </c>
      <c r="D427" s="25" t="s">
        <v>456</v>
      </c>
      <c r="E427" s="34" t="s">
        <v>125</v>
      </c>
      <c r="F427" s="26">
        <f>10+30</f>
        <v>40</v>
      </c>
      <c r="G427" s="26">
        <f>10+30</f>
        <v>40</v>
      </c>
      <c r="H427" s="26">
        <f>10+30</f>
        <v>40</v>
      </c>
      <c r="I427" s="3"/>
      <c r="J427" s="3"/>
      <c r="K427" s="3"/>
    </row>
    <row r="428" spans="1:11" s="50" customFormat="1" ht="20.25" customHeight="1" x14ac:dyDescent="0.2">
      <c r="A428" s="59" t="s">
        <v>457</v>
      </c>
      <c r="B428" s="107" t="s">
        <v>77</v>
      </c>
      <c r="C428" s="107" t="s">
        <v>71</v>
      </c>
      <c r="D428" s="25" t="s">
        <v>456</v>
      </c>
      <c r="E428" s="34" t="s">
        <v>171</v>
      </c>
      <c r="F428" s="26">
        <v>10</v>
      </c>
      <c r="G428" s="26">
        <v>10</v>
      </c>
      <c r="H428" s="26">
        <v>10</v>
      </c>
      <c r="I428" s="3"/>
      <c r="J428" s="3"/>
      <c r="K428" s="3"/>
    </row>
    <row r="429" spans="1:11" s="19" customFormat="1" ht="13.5" customHeight="1" x14ac:dyDescent="0.2">
      <c r="A429" s="29" t="s">
        <v>458</v>
      </c>
      <c r="B429" s="105" t="s">
        <v>91</v>
      </c>
      <c r="C429" s="105"/>
      <c r="D429" s="106"/>
      <c r="E429" s="106"/>
      <c r="F429" s="53">
        <f>F430+F447+F520+F531+F500</f>
        <v>443539.50000000006</v>
      </c>
      <c r="G429" s="53">
        <f>G430+G447+G520+G531+G500</f>
        <v>368444.4</v>
      </c>
      <c r="H429" s="53">
        <f>H430+H447+H520+H531+H500</f>
        <v>439982.2</v>
      </c>
    </row>
    <row r="430" spans="1:11" s="19" customFormat="1" ht="13.5" customHeight="1" x14ac:dyDescent="0.2">
      <c r="A430" s="29" t="s">
        <v>459</v>
      </c>
      <c r="B430" s="105" t="s">
        <v>91</v>
      </c>
      <c r="C430" s="105" t="s">
        <v>8</v>
      </c>
      <c r="D430" s="106"/>
      <c r="E430" s="106"/>
      <c r="F430" s="53">
        <f>F431</f>
        <v>92664.4</v>
      </c>
      <c r="G430" s="53">
        <f>G431</f>
        <v>93179.199999999997</v>
      </c>
      <c r="H430" s="53">
        <f>H431</f>
        <v>93179.199999999997</v>
      </c>
    </row>
    <row r="431" spans="1:11" s="50" customFormat="1" ht="27.75" customHeight="1" x14ac:dyDescent="0.2">
      <c r="A431" s="59" t="s">
        <v>251</v>
      </c>
      <c r="B431" s="34" t="s">
        <v>91</v>
      </c>
      <c r="C431" s="34" t="s">
        <v>8</v>
      </c>
      <c r="D431" s="25" t="s">
        <v>252</v>
      </c>
      <c r="E431" s="34"/>
      <c r="F431" s="26">
        <f>F432+F438</f>
        <v>92664.4</v>
      </c>
      <c r="G431" s="26">
        <f>G432+G438</f>
        <v>93179.199999999997</v>
      </c>
      <c r="H431" s="26">
        <f>H432+H438</f>
        <v>93179.199999999997</v>
      </c>
      <c r="I431" s="3"/>
      <c r="J431" s="3"/>
      <c r="K431" s="3"/>
    </row>
    <row r="432" spans="1:11" s="50" customFormat="1" ht="16.5" customHeight="1" x14ac:dyDescent="0.2">
      <c r="A432" s="108" t="s">
        <v>50</v>
      </c>
      <c r="B432" s="34" t="s">
        <v>91</v>
      </c>
      <c r="C432" s="34" t="s">
        <v>8</v>
      </c>
      <c r="D432" s="36" t="s">
        <v>460</v>
      </c>
      <c r="E432" s="34"/>
      <c r="F432" s="26">
        <f>F433</f>
        <v>348.9</v>
      </c>
      <c r="G432" s="26">
        <f>G433</f>
        <v>96.3</v>
      </c>
      <c r="H432" s="26">
        <f>H433</f>
        <v>96.3</v>
      </c>
      <c r="I432" s="3"/>
      <c r="J432" s="3"/>
      <c r="K432" s="3"/>
    </row>
    <row r="433" spans="1:11" s="50" customFormat="1" ht="27.75" customHeight="1" x14ac:dyDescent="0.2">
      <c r="A433" s="43" t="s">
        <v>461</v>
      </c>
      <c r="B433" s="34" t="s">
        <v>91</v>
      </c>
      <c r="C433" s="34" t="s">
        <v>8</v>
      </c>
      <c r="D433" s="36" t="s">
        <v>462</v>
      </c>
      <c r="E433" s="34"/>
      <c r="F433" s="26">
        <f>F434+F436</f>
        <v>348.9</v>
      </c>
      <c r="G433" s="26">
        <f>G434+G436</f>
        <v>96.3</v>
      </c>
      <c r="H433" s="26">
        <f>H434+H436</f>
        <v>96.3</v>
      </c>
      <c r="I433" s="3"/>
      <c r="J433" s="3"/>
      <c r="K433" s="3"/>
    </row>
    <row r="434" spans="1:11" s="50" customFormat="1" ht="54" customHeight="1" x14ac:dyDescent="0.2">
      <c r="A434" s="91" t="s">
        <v>463</v>
      </c>
      <c r="B434" s="34" t="s">
        <v>91</v>
      </c>
      <c r="C434" s="34" t="s">
        <v>8</v>
      </c>
      <c r="D434" s="109" t="s">
        <v>464</v>
      </c>
      <c r="E434" s="34"/>
      <c r="F434" s="110">
        <f>F435</f>
        <v>252.6</v>
      </c>
      <c r="G434" s="110">
        <f>G435</f>
        <v>0</v>
      </c>
      <c r="H434" s="110">
        <f>H435</f>
        <v>0</v>
      </c>
      <c r="I434" s="3"/>
      <c r="J434" s="3"/>
      <c r="K434" s="3"/>
    </row>
    <row r="435" spans="1:11" s="50" customFormat="1" ht="18" customHeight="1" x14ac:dyDescent="0.2">
      <c r="A435" s="86" t="s">
        <v>124</v>
      </c>
      <c r="B435" s="34" t="s">
        <v>91</v>
      </c>
      <c r="C435" s="34" t="s">
        <v>8</v>
      </c>
      <c r="D435" s="109" t="s">
        <v>464</v>
      </c>
      <c r="E435" s="34" t="s">
        <v>125</v>
      </c>
      <c r="F435" s="110">
        <f>245+7.6</f>
        <v>252.6</v>
      </c>
      <c r="G435" s="110">
        <v>0</v>
      </c>
      <c r="H435" s="110">
        <v>0</v>
      </c>
      <c r="I435" s="3"/>
      <c r="J435" s="3"/>
      <c r="K435" s="3"/>
    </row>
    <row r="436" spans="1:11" s="50" customFormat="1" ht="57.75" customHeight="1" x14ac:dyDescent="0.2">
      <c r="A436" s="91" t="s">
        <v>465</v>
      </c>
      <c r="B436" s="34" t="s">
        <v>91</v>
      </c>
      <c r="C436" s="34" t="s">
        <v>8</v>
      </c>
      <c r="D436" s="109" t="s">
        <v>466</v>
      </c>
      <c r="E436" s="34"/>
      <c r="F436" s="110">
        <f>F437</f>
        <v>96.3</v>
      </c>
      <c r="G436" s="110">
        <f>G437</f>
        <v>96.3</v>
      </c>
      <c r="H436" s="110">
        <f>H437</f>
        <v>96.3</v>
      </c>
      <c r="I436" s="3"/>
      <c r="J436" s="3"/>
      <c r="K436" s="3"/>
    </row>
    <row r="437" spans="1:11" s="50" customFormat="1" ht="14.25" customHeight="1" x14ac:dyDescent="0.2">
      <c r="A437" s="86" t="s">
        <v>124</v>
      </c>
      <c r="B437" s="34" t="s">
        <v>91</v>
      </c>
      <c r="C437" s="34" t="s">
        <v>8</v>
      </c>
      <c r="D437" s="109" t="s">
        <v>466</v>
      </c>
      <c r="E437" s="34" t="s">
        <v>125</v>
      </c>
      <c r="F437" s="110">
        <f>77+19.3</f>
        <v>96.3</v>
      </c>
      <c r="G437" s="110">
        <f>77+19.3</f>
        <v>96.3</v>
      </c>
      <c r="H437" s="110">
        <f>77+19.3</f>
        <v>96.3</v>
      </c>
      <c r="I437" s="3"/>
      <c r="J437" s="3"/>
      <c r="K437" s="3"/>
    </row>
    <row r="438" spans="1:11" s="50" customFormat="1" ht="18" customHeight="1" x14ac:dyDescent="0.2">
      <c r="A438" s="20" t="s">
        <v>13</v>
      </c>
      <c r="B438" s="34" t="s">
        <v>91</v>
      </c>
      <c r="C438" s="34" t="s">
        <v>8</v>
      </c>
      <c r="D438" s="25" t="s">
        <v>253</v>
      </c>
      <c r="E438" s="34"/>
      <c r="F438" s="26">
        <f>F439+F444</f>
        <v>92315.5</v>
      </c>
      <c r="G438" s="26">
        <f>G439+G444</f>
        <v>93082.9</v>
      </c>
      <c r="H438" s="26">
        <f>H439+H444</f>
        <v>93082.9</v>
      </c>
      <c r="I438" s="3"/>
      <c r="J438" s="3"/>
      <c r="K438" s="3"/>
    </row>
    <row r="439" spans="1:11" s="50" customFormat="1" ht="26.25" customHeight="1" x14ac:dyDescent="0.2">
      <c r="A439" s="20" t="s">
        <v>467</v>
      </c>
      <c r="B439" s="34" t="s">
        <v>91</v>
      </c>
      <c r="C439" s="34" t="s">
        <v>8</v>
      </c>
      <c r="D439" s="25" t="s">
        <v>468</v>
      </c>
      <c r="E439" s="34"/>
      <c r="F439" s="26">
        <f>F440+F442</f>
        <v>92315.5</v>
      </c>
      <c r="G439" s="26">
        <f>G440+G442</f>
        <v>93082.9</v>
      </c>
      <c r="H439" s="26">
        <f>H440+H442</f>
        <v>93082.9</v>
      </c>
      <c r="I439" s="3"/>
      <c r="J439" s="3"/>
      <c r="K439" s="3"/>
    </row>
    <row r="440" spans="1:11" s="50" customFormat="1" ht="25.5" customHeight="1" x14ac:dyDescent="0.2">
      <c r="A440" s="108" t="s">
        <v>469</v>
      </c>
      <c r="B440" s="34" t="s">
        <v>91</v>
      </c>
      <c r="C440" s="34" t="s">
        <v>8</v>
      </c>
      <c r="D440" s="25" t="s">
        <v>470</v>
      </c>
      <c r="E440" s="34"/>
      <c r="F440" s="26">
        <f>F441</f>
        <v>67305.2</v>
      </c>
      <c r="G440" s="26">
        <f>G441</f>
        <v>67305.2</v>
      </c>
      <c r="H440" s="26">
        <f>H441</f>
        <v>67305.2</v>
      </c>
      <c r="I440" s="3"/>
      <c r="J440" s="3"/>
      <c r="K440" s="3"/>
    </row>
    <row r="441" spans="1:11" s="50" customFormat="1" ht="12.75" customHeight="1" x14ac:dyDescent="0.2">
      <c r="A441" s="111" t="s">
        <v>124</v>
      </c>
      <c r="B441" s="34" t="s">
        <v>91</v>
      </c>
      <c r="C441" s="34" t="s">
        <v>8</v>
      </c>
      <c r="D441" s="25" t="s">
        <v>470</v>
      </c>
      <c r="E441" s="34" t="s">
        <v>125</v>
      </c>
      <c r="F441" s="26">
        <f>66981.8+323.4</f>
        <v>67305.2</v>
      </c>
      <c r="G441" s="26">
        <f>66981.8+323.4</f>
        <v>67305.2</v>
      </c>
      <c r="H441" s="39">
        <f>66981.8+323.4</f>
        <v>67305.2</v>
      </c>
      <c r="I441" s="3"/>
      <c r="J441" s="3"/>
      <c r="K441" s="3"/>
    </row>
    <row r="442" spans="1:11" s="50" customFormat="1" ht="12.75" customHeight="1" x14ac:dyDescent="0.2">
      <c r="A442" s="108" t="s">
        <v>471</v>
      </c>
      <c r="B442" s="34" t="s">
        <v>91</v>
      </c>
      <c r="C442" s="34" t="s">
        <v>8</v>
      </c>
      <c r="D442" s="25" t="s">
        <v>472</v>
      </c>
      <c r="E442" s="34"/>
      <c r="F442" s="26">
        <f>F443</f>
        <v>25010.300000000003</v>
      </c>
      <c r="G442" s="26">
        <f>G443</f>
        <v>25777.7</v>
      </c>
      <c r="H442" s="26">
        <f>H443</f>
        <v>25777.7</v>
      </c>
      <c r="I442" s="3"/>
      <c r="J442" s="3"/>
      <c r="K442" s="3"/>
    </row>
    <row r="443" spans="1:11" s="50" customFormat="1" ht="12.75" customHeight="1" x14ac:dyDescent="0.2">
      <c r="A443" s="111" t="s">
        <v>124</v>
      </c>
      <c r="B443" s="34" t="s">
        <v>91</v>
      </c>
      <c r="C443" s="34" t="s">
        <v>8</v>
      </c>
      <c r="D443" s="25" t="s">
        <v>472</v>
      </c>
      <c r="E443" s="34" t="s">
        <v>125</v>
      </c>
      <c r="F443" s="26">
        <f>27912.4-243-2659.1</f>
        <v>25010.300000000003</v>
      </c>
      <c r="G443" s="26">
        <f>27912.4-2134.7</f>
        <v>25777.7</v>
      </c>
      <c r="H443" s="26">
        <f>27912.4-2134.7</f>
        <v>25777.7</v>
      </c>
      <c r="I443" s="94"/>
      <c r="J443" s="3"/>
      <c r="K443" s="3"/>
    </row>
    <row r="444" spans="1:11" s="50" customFormat="1" ht="39" hidden="1" customHeight="1" x14ac:dyDescent="0.2">
      <c r="A444" s="91" t="s">
        <v>473</v>
      </c>
      <c r="B444" s="34" t="s">
        <v>91</v>
      </c>
      <c r="C444" s="34" t="s">
        <v>8</v>
      </c>
      <c r="D444" s="25" t="s">
        <v>474</v>
      </c>
      <c r="E444" s="34"/>
      <c r="F444" s="26">
        <f t="shared" ref="F444:H445" si="66">F445</f>
        <v>0</v>
      </c>
      <c r="G444" s="26">
        <f t="shared" si="66"/>
        <v>0</v>
      </c>
      <c r="H444" s="26">
        <f t="shared" si="66"/>
        <v>0</v>
      </c>
      <c r="I444" s="3"/>
      <c r="J444" s="3"/>
      <c r="K444" s="3"/>
    </row>
    <row r="445" spans="1:11" s="50" customFormat="1" ht="12.75" hidden="1" customHeight="1" x14ac:dyDescent="0.2">
      <c r="A445" s="82" t="s">
        <v>471</v>
      </c>
      <c r="B445" s="34" t="s">
        <v>91</v>
      </c>
      <c r="C445" s="34" t="s">
        <v>8</v>
      </c>
      <c r="D445" s="25" t="s">
        <v>475</v>
      </c>
      <c r="E445" s="34"/>
      <c r="F445" s="26">
        <f t="shared" si="66"/>
        <v>0</v>
      </c>
      <c r="G445" s="26">
        <f t="shared" si="66"/>
        <v>0</v>
      </c>
      <c r="H445" s="26">
        <f t="shared" si="66"/>
        <v>0</v>
      </c>
      <c r="I445" s="3"/>
      <c r="J445" s="3"/>
      <c r="K445" s="3"/>
    </row>
    <row r="446" spans="1:11" s="50" customFormat="1" ht="12.75" hidden="1" customHeight="1" x14ac:dyDescent="0.2">
      <c r="A446" s="91" t="s">
        <v>124</v>
      </c>
      <c r="B446" s="34" t="s">
        <v>91</v>
      </c>
      <c r="C446" s="34" t="s">
        <v>8</v>
      </c>
      <c r="D446" s="25" t="s">
        <v>475</v>
      </c>
      <c r="E446" s="34" t="s">
        <v>125</v>
      </c>
      <c r="F446" s="26">
        <v>0</v>
      </c>
      <c r="G446" s="26">
        <v>0</v>
      </c>
      <c r="H446" s="26">
        <v>0</v>
      </c>
      <c r="I446" s="3"/>
      <c r="J446" s="3"/>
      <c r="K446" s="3"/>
    </row>
    <row r="447" spans="1:11" s="19" customFormat="1" ht="13.5" customHeight="1" x14ac:dyDescent="0.2">
      <c r="A447" s="16" t="s">
        <v>476</v>
      </c>
      <c r="B447" s="105" t="s">
        <v>91</v>
      </c>
      <c r="C447" s="105" t="s">
        <v>10</v>
      </c>
      <c r="D447" s="106"/>
      <c r="E447" s="106"/>
      <c r="F447" s="53">
        <f>F448</f>
        <v>315827.30000000005</v>
      </c>
      <c r="G447" s="53">
        <f>G448</f>
        <v>242793.40000000002</v>
      </c>
      <c r="H447" s="53">
        <f>H448</f>
        <v>314331.2</v>
      </c>
    </row>
    <row r="448" spans="1:11" s="50" customFormat="1" ht="25.5" customHeight="1" x14ac:dyDescent="0.2">
      <c r="A448" s="59" t="s">
        <v>251</v>
      </c>
      <c r="B448" s="34" t="s">
        <v>91</v>
      </c>
      <c r="C448" s="34" t="s">
        <v>10</v>
      </c>
      <c r="D448" s="25" t="s">
        <v>252</v>
      </c>
      <c r="E448" s="34"/>
      <c r="F448" s="26">
        <f>F449+F468+F486</f>
        <v>315827.30000000005</v>
      </c>
      <c r="G448" s="26">
        <f>G449+G468+G486</f>
        <v>242793.40000000002</v>
      </c>
      <c r="H448" s="26">
        <f>H449+H468+H486</f>
        <v>314331.2</v>
      </c>
      <c r="I448" s="3"/>
      <c r="J448" s="3"/>
      <c r="K448" s="3"/>
    </row>
    <row r="449" spans="1:11" s="50" customFormat="1" ht="12.75" customHeight="1" x14ac:dyDescent="0.2">
      <c r="A449" s="108" t="s">
        <v>334</v>
      </c>
      <c r="B449" s="34" t="s">
        <v>91</v>
      </c>
      <c r="C449" s="34" t="s">
        <v>10</v>
      </c>
      <c r="D449" s="25" t="s">
        <v>477</v>
      </c>
      <c r="E449" s="34"/>
      <c r="F449" s="26">
        <f>F450+F461</f>
        <v>77104.600000000006</v>
      </c>
      <c r="G449" s="26">
        <f>G450+G461</f>
        <v>41772.300000000003</v>
      </c>
      <c r="H449" s="26">
        <f>H450+H461</f>
        <v>115598.70000000001</v>
      </c>
      <c r="I449" s="3"/>
      <c r="J449" s="3"/>
      <c r="K449" s="3"/>
    </row>
    <row r="450" spans="1:11" s="50" customFormat="1" ht="40.5" customHeight="1" x14ac:dyDescent="0.2">
      <c r="A450" s="108" t="s">
        <v>478</v>
      </c>
      <c r="B450" s="34" t="s">
        <v>91</v>
      </c>
      <c r="C450" s="34" t="s">
        <v>10</v>
      </c>
      <c r="D450" s="36" t="s">
        <v>479</v>
      </c>
      <c r="E450" s="34"/>
      <c r="F450" s="26">
        <f>F453+F455+F459+F451+F457</f>
        <v>60720.1</v>
      </c>
      <c r="G450" s="26">
        <f t="shared" ref="G450:H450" si="67">G453+G455+G459+G451+G457</f>
        <v>25376.3</v>
      </c>
      <c r="H450" s="26">
        <f t="shared" si="67"/>
        <v>98711.3</v>
      </c>
      <c r="I450" s="3"/>
      <c r="J450" s="3"/>
      <c r="K450" s="3"/>
    </row>
    <row r="451" spans="1:11" s="50" customFormat="1" ht="43.5" customHeight="1" x14ac:dyDescent="0.2">
      <c r="A451" s="108" t="s">
        <v>480</v>
      </c>
      <c r="B451" s="34" t="s">
        <v>91</v>
      </c>
      <c r="C451" s="34" t="s">
        <v>10</v>
      </c>
      <c r="D451" s="36" t="s">
        <v>481</v>
      </c>
      <c r="E451" s="34"/>
      <c r="F451" s="26">
        <f>F452</f>
        <v>196.60000000000002</v>
      </c>
      <c r="G451" s="26">
        <f t="shared" ref="G451:H451" si="68">G452</f>
        <v>0</v>
      </c>
      <c r="H451" s="26">
        <f t="shared" si="68"/>
        <v>0</v>
      </c>
      <c r="I451" s="3"/>
      <c r="J451" s="3"/>
      <c r="K451" s="3"/>
    </row>
    <row r="452" spans="1:11" s="50" customFormat="1" ht="17.25" customHeight="1" x14ac:dyDescent="0.2">
      <c r="A452" s="111" t="s">
        <v>124</v>
      </c>
      <c r="B452" s="34" t="s">
        <v>91</v>
      </c>
      <c r="C452" s="34" t="s">
        <v>10</v>
      </c>
      <c r="D452" s="36" t="s">
        <v>481</v>
      </c>
      <c r="E452" s="34" t="s">
        <v>125</v>
      </c>
      <c r="F452" s="26">
        <f>184.8+11.8</f>
        <v>196.60000000000002</v>
      </c>
      <c r="G452" s="26">
        <v>0</v>
      </c>
      <c r="H452" s="39">
        <v>0</v>
      </c>
      <c r="I452" s="3"/>
      <c r="J452" s="3"/>
      <c r="K452" s="3"/>
    </row>
    <row r="453" spans="1:11" s="50" customFormat="1" ht="16.5" customHeight="1" x14ac:dyDescent="0.2">
      <c r="A453" s="108" t="s">
        <v>482</v>
      </c>
      <c r="B453" s="34" t="s">
        <v>91</v>
      </c>
      <c r="C453" s="34" t="s">
        <v>10</v>
      </c>
      <c r="D453" s="36" t="s">
        <v>483</v>
      </c>
      <c r="E453" s="34"/>
      <c r="F453" s="26">
        <f>F454</f>
        <v>49187.8</v>
      </c>
      <c r="G453" s="26">
        <f>G454</f>
        <v>-3.638200851696638E-13</v>
      </c>
      <c r="H453" s="26">
        <f>H454</f>
        <v>0</v>
      </c>
      <c r="I453" s="3"/>
      <c r="J453" s="3"/>
      <c r="K453" s="3"/>
    </row>
    <row r="454" spans="1:11" s="50" customFormat="1" ht="16.5" customHeight="1" x14ac:dyDescent="0.2">
      <c r="A454" s="111" t="s">
        <v>124</v>
      </c>
      <c r="B454" s="34" t="s">
        <v>91</v>
      </c>
      <c r="C454" s="34" t="s">
        <v>10</v>
      </c>
      <c r="D454" s="36" t="s">
        <v>483</v>
      </c>
      <c r="E454" s="34" t="s">
        <v>125</v>
      </c>
      <c r="F454" s="26">
        <f>12294.5+2.5+36883.4+7.4</f>
        <v>49187.8</v>
      </c>
      <c r="G454" s="26">
        <f>4303+0.9-4303-0.9</f>
        <v>-3.638200851696638E-13</v>
      </c>
      <c r="H454" s="26">
        <v>0</v>
      </c>
      <c r="I454" s="3"/>
      <c r="J454" s="3"/>
      <c r="K454" s="3"/>
    </row>
    <row r="455" spans="1:11" s="50" customFormat="1" ht="58.5" customHeight="1" x14ac:dyDescent="0.2">
      <c r="A455" s="108" t="s">
        <v>484</v>
      </c>
      <c r="B455" s="34" t="s">
        <v>91</v>
      </c>
      <c r="C455" s="34" t="s">
        <v>10</v>
      </c>
      <c r="D455" s="36" t="s">
        <v>485</v>
      </c>
      <c r="E455" s="34"/>
      <c r="F455" s="26">
        <f>F456</f>
        <v>11335.7</v>
      </c>
      <c r="G455" s="26">
        <f>G456</f>
        <v>13079.5</v>
      </c>
      <c r="H455" s="26">
        <f>H456</f>
        <v>13284</v>
      </c>
      <c r="I455" s="3"/>
      <c r="J455" s="3"/>
      <c r="K455" s="3"/>
    </row>
    <row r="456" spans="1:11" s="50" customFormat="1" ht="15.75" customHeight="1" x14ac:dyDescent="0.2">
      <c r="A456" s="111" t="s">
        <v>124</v>
      </c>
      <c r="B456" s="34" t="s">
        <v>91</v>
      </c>
      <c r="C456" s="34" t="s">
        <v>10</v>
      </c>
      <c r="D456" s="36" t="s">
        <v>485</v>
      </c>
      <c r="E456" s="34" t="s">
        <v>125</v>
      </c>
      <c r="F456" s="26">
        <f>2833.3+0.6+8500.1+1.7</f>
        <v>11335.7</v>
      </c>
      <c r="G456" s="26">
        <f>4576.9+0.9+8500+1.7</f>
        <v>13079.5</v>
      </c>
      <c r="H456" s="39">
        <f>13281.3+2.7</f>
        <v>13284</v>
      </c>
      <c r="I456" s="3"/>
      <c r="J456" s="3"/>
      <c r="K456" s="3"/>
    </row>
    <row r="457" spans="1:11" s="50" customFormat="1" ht="27" customHeight="1" x14ac:dyDescent="0.2">
      <c r="A457" s="91" t="s">
        <v>486</v>
      </c>
      <c r="B457" s="34" t="s">
        <v>91</v>
      </c>
      <c r="C457" s="34" t="s">
        <v>10</v>
      </c>
      <c r="D457" s="36" t="s">
        <v>487</v>
      </c>
      <c r="E457" s="34"/>
      <c r="F457" s="26">
        <f>F458</f>
        <v>0</v>
      </c>
      <c r="G457" s="26">
        <f t="shared" ref="G457:H457" si="69">G458</f>
        <v>12296.8</v>
      </c>
      <c r="H457" s="26">
        <f t="shared" si="69"/>
        <v>85427.3</v>
      </c>
      <c r="I457" s="3"/>
      <c r="J457" s="3"/>
      <c r="K457" s="3"/>
    </row>
    <row r="458" spans="1:11" s="50" customFormat="1" ht="15.75" customHeight="1" x14ac:dyDescent="0.2">
      <c r="A458" s="112" t="s">
        <v>124</v>
      </c>
      <c r="B458" s="34" t="s">
        <v>91</v>
      </c>
      <c r="C458" s="34" t="s">
        <v>10</v>
      </c>
      <c r="D458" s="36" t="s">
        <v>487</v>
      </c>
      <c r="E458" s="34" t="s">
        <v>125</v>
      </c>
      <c r="F458" s="26">
        <v>0</v>
      </c>
      <c r="G458" s="26">
        <f>12294.3+2.5</f>
        <v>12296.8</v>
      </c>
      <c r="H458" s="39">
        <f>85410.2+17.1</f>
        <v>85427.3</v>
      </c>
      <c r="I458" s="3"/>
      <c r="J458" s="3"/>
      <c r="K458" s="3"/>
    </row>
    <row r="459" spans="1:11" s="50" customFormat="1" ht="78" hidden="1" customHeight="1" x14ac:dyDescent="0.2">
      <c r="A459" s="113" t="s">
        <v>488</v>
      </c>
      <c r="B459" s="34" t="s">
        <v>91</v>
      </c>
      <c r="C459" s="34" t="s">
        <v>10</v>
      </c>
      <c r="D459" s="36" t="s">
        <v>489</v>
      </c>
      <c r="E459" s="34"/>
      <c r="F459" s="26">
        <f>F460</f>
        <v>9.0927265716800321E-14</v>
      </c>
      <c r="G459" s="26">
        <f>G460</f>
        <v>0</v>
      </c>
      <c r="H459" s="26">
        <f>H460</f>
        <v>0</v>
      </c>
      <c r="I459" s="3"/>
      <c r="J459" s="3"/>
      <c r="K459" s="3"/>
    </row>
    <row r="460" spans="1:11" s="50" customFormat="1" ht="15.75" hidden="1" customHeight="1" x14ac:dyDescent="0.2">
      <c r="A460" s="86" t="s">
        <v>124</v>
      </c>
      <c r="B460" s="34" t="s">
        <v>91</v>
      </c>
      <c r="C460" s="34" t="s">
        <v>10</v>
      </c>
      <c r="D460" s="36" t="s">
        <v>489</v>
      </c>
      <c r="E460" s="34" t="s">
        <v>125</v>
      </c>
      <c r="F460" s="26">
        <f>2000+0.4-2000-0.4</f>
        <v>9.0927265716800321E-14</v>
      </c>
      <c r="G460" s="26">
        <v>0</v>
      </c>
      <c r="H460" s="26">
        <v>0</v>
      </c>
      <c r="I460" s="3"/>
      <c r="J460" s="3"/>
      <c r="K460" s="3"/>
    </row>
    <row r="461" spans="1:11" s="50" customFormat="1" ht="15.75" customHeight="1" x14ac:dyDescent="0.2">
      <c r="A461" s="114" t="s">
        <v>490</v>
      </c>
      <c r="B461" s="34" t="s">
        <v>91</v>
      </c>
      <c r="C461" s="34" t="s">
        <v>10</v>
      </c>
      <c r="D461" s="36" t="s">
        <v>491</v>
      </c>
      <c r="E461" s="34"/>
      <c r="F461" s="26">
        <f>F464+F466+F462</f>
        <v>16384.5</v>
      </c>
      <c r="G461" s="26">
        <f t="shared" ref="G461:H461" si="70">G464+G466+G462</f>
        <v>16396</v>
      </c>
      <c r="H461" s="26">
        <f t="shared" si="70"/>
        <v>16887.400000000001</v>
      </c>
      <c r="I461" s="3"/>
      <c r="J461" s="3"/>
      <c r="K461" s="3"/>
    </row>
    <row r="462" spans="1:11" s="50" customFormat="1" ht="81.75" customHeight="1" x14ac:dyDescent="0.2">
      <c r="A462" s="114" t="s">
        <v>492</v>
      </c>
      <c r="B462" s="34" t="s">
        <v>91</v>
      </c>
      <c r="C462" s="34" t="s">
        <v>10</v>
      </c>
      <c r="D462" s="36" t="s">
        <v>493</v>
      </c>
      <c r="E462" s="34"/>
      <c r="F462" s="26">
        <f>F463</f>
        <v>547.4</v>
      </c>
      <c r="G462" s="26">
        <f t="shared" ref="G462:H462" si="71">G463</f>
        <v>547.4</v>
      </c>
      <c r="H462" s="26">
        <f t="shared" si="71"/>
        <v>547.4</v>
      </c>
      <c r="I462" s="3"/>
      <c r="J462" s="3"/>
      <c r="K462" s="3"/>
    </row>
    <row r="463" spans="1:11" s="50" customFormat="1" ht="15.75" customHeight="1" x14ac:dyDescent="0.2">
      <c r="A463" s="86" t="s">
        <v>124</v>
      </c>
      <c r="B463" s="34" t="s">
        <v>91</v>
      </c>
      <c r="C463" s="34" t="s">
        <v>10</v>
      </c>
      <c r="D463" s="36" t="s">
        <v>493</v>
      </c>
      <c r="E463" s="34" t="s">
        <v>125</v>
      </c>
      <c r="F463" s="26">
        <v>547.4</v>
      </c>
      <c r="G463" s="26">
        <v>547.4</v>
      </c>
      <c r="H463" s="26">
        <v>547.4</v>
      </c>
      <c r="I463" s="3"/>
      <c r="J463" s="3"/>
      <c r="K463" s="3"/>
    </row>
    <row r="464" spans="1:11" s="50" customFormat="1" ht="40.5" customHeight="1" x14ac:dyDescent="0.2">
      <c r="A464" s="91" t="s">
        <v>494</v>
      </c>
      <c r="B464" s="34" t="s">
        <v>91</v>
      </c>
      <c r="C464" s="34" t="s">
        <v>10</v>
      </c>
      <c r="D464" s="36" t="s">
        <v>495</v>
      </c>
      <c r="E464" s="34"/>
      <c r="F464" s="26">
        <f t="shared" ref="F464:H464" si="72">F465</f>
        <v>785</v>
      </c>
      <c r="G464" s="26">
        <f t="shared" si="72"/>
        <v>796.9</v>
      </c>
      <c r="H464" s="26">
        <f t="shared" si="72"/>
        <v>811.3</v>
      </c>
      <c r="I464" s="3"/>
      <c r="J464" s="3"/>
      <c r="K464" s="3"/>
    </row>
    <row r="465" spans="1:11" s="50" customFormat="1" ht="15.75" customHeight="1" x14ac:dyDescent="0.2">
      <c r="A465" s="86" t="s">
        <v>124</v>
      </c>
      <c r="B465" s="34" t="s">
        <v>91</v>
      </c>
      <c r="C465" s="34" t="s">
        <v>10</v>
      </c>
      <c r="D465" s="36" t="s">
        <v>495</v>
      </c>
      <c r="E465" s="34" t="s">
        <v>125</v>
      </c>
      <c r="F465" s="26">
        <f>31.3+753.7</f>
        <v>785</v>
      </c>
      <c r="G465" s="26">
        <f>330.5+466.4</f>
        <v>796.9</v>
      </c>
      <c r="H465" s="39">
        <f>330.5+480.8</f>
        <v>811.3</v>
      </c>
      <c r="I465" s="3"/>
      <c r="J465" s="3"/>
      <c r="K465" s="3"/>
    </row>
    <row r="466" spans="1:11" s="50" customFormat="1" ht="81.75" customHeight="1" x14ac:dyDescent="0.2">
      <c r="A466" s="91" t="s">
        <v>496</v>
      </c>
      <c r="B466" s="34" t="s">
        <v>91</v>
      </c>
      <c r="C466" s="34" t="s">
        <v>10</v>
      </c>
      <c r="D466" s="36" t="s">
        <v>497</v>
      </c>
      <c r="E466" s="34"/>
      <c r="F466" s="26">
        <f>F467</f>
        <v>15052.1</v>
      </c>
      <c r="G466" s="26">
        <f t="shared" ref="G466:H466" si="73">G467</f>
        <v>15051.7</v>
      </c>
      <c r="H466" s="26">
        <f t="shared" si="73"/>
        <v>15528.7</v>
      </c>
      <c r="I466" s="3"/>
      <c r="J466" s="3"/>
      <c r="K466" s="3"/>
    </row>
    <row r="467" spans="1:11" s="50" customFormat="1" ht="15.75" customHeight="1" x14ac:dyDescent="0.2">
      <c r="A467" s="86" t="s">
        <v>124</v>
      </c>
      <c r="B467" s="34" t="s">
        <v>91</v>
      </c>
      <c r="C467" s="34" t="s">
        <v>10</v>
      </c>
      <c r="D467" s="36" t="s">
        <v>497</v>
      </c>
      <c r="E467" s="34" t="s">
        <v>125</v>
      </c>
      <c r="F467" s="26">
        <f>15052.1</f>
        <v>15052.1</v>
      </c>
      <c r="G467" s="26">
        <v>15051.7</v>
      </c>
      <c r="H467" s="39">
        <v>15528.7</v>
      </c>
      <c r="I467" s="3"/>
      <c r="J467" s="3"/>
      <c r="K467" s="3"/>
    </row>
    <row r="468" spans="1:11" s="50" customFormat="1" ht="15.75" customHeight="1" x14ac:dyDescent="0.2">
      <c r="A468" s="108" t="s">
        <v>50</v>
      </c>
      <c r="B468" s="34" t="s">
        <v>91</v>
      </c>
      <c r="C468" s="34" t="s">
        <v>10</v>
      </c>
      <c r="D468" s="36" t="s">
        <v>460</v>
      </c>
      <c r="E468" s="34"/>
      <c r="F468" s="26">
        <f>F469</f>
        <v>50067.199999999997</v>
      </c>
      <c r="G468" s="26">
        <f>G469</f>
        <v>12090.900000000001</v>
      </c>
      <c r="H468" s="26">
        <f>H469</f>
        <v>9844.4</v>
      </c>
      <c r="I468" s="3"/>
      <c r="J468" s="3"/>
      <c r="K468" s="3"/>
    </row>
    <row r="469" spans="1:11" s="50" customFormat="1" ht="30" customHeight="1" x14ac:dyDescent="0.2">
      <c r="A469" s="43" t="s">
        <v>461</v>
      </c>
      <c r="B469" s="34" t="s">
        <v>91</v>
      </c>
      <c r="C469" s="34" t="s">
        <v>10</v>
      </c>
      <c r="D469" s="36" t="s">
        <v>462</v>
      </c>
      <c r="E469" s="34"/>
      <c r="F469" s="26">
        <f>F472+F480+F470+F484+F478+F476+F482+F474</f>
        <v>50067.199999999997</v>
      </c>
      <c r="G469" s="26">
        <f t="shared" ref="G469:H469" si="74">G472+G480+G470+G484+G478+G476+G482+G474</f>
        <v>12090.900000000001</v>
      </c>
      <c r="H469" s="26">
        <f t="shared" si="74"/>
        <v>9844.4</v>
      </c>
      <c r="I469" s="3"/>
      <c r="J469" s="3"/>
      <c r="K469" s="3"/>
    </row>
    <row r="470" spans="1:11" s="50" customFormat="1" ht="15.75" customHeight="1" x14ac:dyDescent="0.2">
      <c r="A470" s="115" t="s">
        <v>498</v>
      </c>
      <c r="B470" s="34" t="s">
        <v>91</v>
      </c>
      <c r="C470" s="34" t="s">
        <v>10</v>
      </c>
      <c r="D470" s="36" t="s">
        <v>499</v>
      </c>
      <c r="E470" s="34"/>
      <c r="F470" s="26">
        <f>F471</f>
        <v>1000.2</v>
      </c>
      <c r="G470" s="26">
        <f>G471</f>
        <v>0</v>
      </c>
      <c r="H470" s="26">
        <f>H471</f>
        <v>0</v>
      </c>
      <c r="I470" s="3"/>
      <c r="J470" s="3"/>
      <c r="K470" s="3"/>
    </row>
    <row r="471" spans="1:11" s="50" customFormat="1" ht="15.75" customHeight="1" x14ac:dyDescent="0.2">
      <c r="A471" s="86" t="s">
        <v>124</v>
      </c>
      <c r="B471" s="34" t="s">
        <v>91</v>
      </c>
      <c r="C471" s="34" t="s">
        <v>10</v>
      </c>
      <c r="D471" s="36" t="s">
        <v>499</v>
      </c>
      <c r="E471" s="34" t="s">
        <v>125</v>
      </c>
      <c r="F471" s="26">
        <f>1000+0.2</f>
        <v>1000.2</v>
      </c>
      <c r="G471" s="26">
        <v>0</v>
      </c>
      <c r="H471" s="26">
        <v>0</v>
      </c>
      <c r="I471" s="3"/>
      <c r="J471" s="3"/>
      <c r="K471" s="3"/>
    </row>
    <row r="472" spans="1:11" s="50" customFormat="1" ht="28.5" customHeight="1" x14ac:dyDescent="0.2">
      <c r="A472" s="108" t="s">
        <v>500</v>
      </c>
      <c r="B472" s="34" t="s">
        <v>91</v>
      </c>
      <c r="C472" s="34" t="s">
        <v>10</v>
      </c>
      <c r="D472" s="36" t="s">
        <v>501</v>
      </c>
      <c r="E472" s="34"/>
      <c r="F472" s="26">
        <f>F473</f>
        <v>4592.7999999999993</v>
      </c>
      <c r="G472" s="26">
        <f>G473</f>
        <v>5561.3</v>
      </c>
      <c r="H472" s="26">
        <f>H473</f>
        <v>3616.2999999999997</v>
      </c>
      <c r="I472" s="3"/>
      <c r="J472" s="3"/>
      <c r="K472" s="3"/>
    </row>
    <row r="473" spans="1:11" s="50" customFormat="1" ht="15.75" customHeight="1" x14ac:dyDescent="0.2">
      <c r="A473" s="86" t="s">
        <v>124</v>
      </c>
      <c r="B473" s="34" t="s">
        <v>91</v>
      </c>
      <c r="C473" s="34" t="s">
        <v>10</v>
      </c>
      <c r="D473" s="36" t="s">
        <v>501</v>
      </c>
      <c r="E473" s="34" t="s">
        <v>125</v>
      </c>
      <c r="F473" s="26">
        <f>4591.9+0.9</f>
        <v>4592.7999999999993</v>
      </c>
      <c r="G473" s="26">
        <f>5560.2+1.1</f>
        <v>5561.3</v>
      </c>
      <c r="H473" s="26">
        <f>3615.6+0.7</f>
        <v>3616.2999999999997</v>
      </c>
      <c r="I473" s="3"/>
      <c r="J473" s="3"/>
      <c r="K473" s="3"/>
    </row>
    <row r="474" spans="1:11" s="50" customFormat="1" ht="26.25" customHeight="1" x14ac:dyDescent="0.2">
      <c r="A474" s="91" t="s">
        <v>502</v>
      </c>
      <c r="B474" s="34" t="s">
        <v>91</v>
      </c>
      <c r="C474" s="34" t="s">
        <v>10</v>
      </c>
      <c r="D474" s="109" t="s">
        <v>503</v>
      </c>
      <c r="E474" s="58"/>
      <c r="F474" s="110">
        <f>F475</f>
        <v>3650.2</v>
      </c>
      <c r="G474" s="110">
        <f t="shared" ref="G474:H474" si="75">G475</f>
        <v>0</v>
      </c>
      <c r="H474" s="110">
        <f t="shared" si="75"/>
        <v>0</v>
      </c>
      <c r="I474" s="3"/>
      <c r="J474" s="3"/>
      <c r="K474" s="3"/>
    </row>
    <row r="475" spans="1:11" s="50" customFormat="1" ht="15.75" customHeight="1" x14ac:dyDescent="0.2">
      <c r="A475" s="86" t="s">
        <v>124</v>
      </c>
      <c r="B475" s="34" t="s">
        <v>91</v>
      </c>
      <c r="C475" s="34" t="s">
        <v>10</v>
      </c>
      <c r="D475" s="109" t="s">
        <v>503</v>
      </c>
      <c r="E475" s="58" t="s">
        <v>125</v>
      </c>
      <c r="F475" s="110">
        <f>2000+0.2+1650</f>
        <v>3650.2</v>
      </c>
      <c r="G475" s="110">
        <v>0</v>
      </c>
      <c r="H475" s="116">
        <v>0</v>
      </c>
      <c r="I475" s="3"/>
      <c r="J475" s="3"/>
      <c r="K475" s="3"/>
    </row>
    <row r="476" spans="1:11" s="50" customFormat="1" ht="39" customHeight="1" x14ac:dyDescent="0.2">
      <c r="A476" s="91" t="s">
        <v>504</v>
      </c>
      <c r="B476" s="34" t="s">
        <v>91</v>
      </c>
      <c r="C476" s="34" t="s">
        <v>10</v>
      </c>
      <c r="D476" s="36" t="s">
        <v>505</v>
      </c>
      <c r="E476" s="34"/>
      <c r="F476" s="110">
        <f>F477</f>
        <v>612.20000000000005</v>
      </c>
      <c r="G476" s="110">
        <f t="shared" ref="G476:H476" si="76">G477</f>
        <v>0</v>
      </c>
      <c r="H476" s="110">
        <f t="shared" si="76"/>
        <v>0</v>
      </c>
      <c r="I476" s="3"/>
      <c r="J476" s="3"/>
      <c r="K476" s="3"/>
    </row>
    <row r="477" spans="1:11" s="50" customFormat="1" ht="15.75" customHeight="1" x14ac:dyDescent="0.2">
      <c r="A477" s="86" t="s">
        <v>124</v>
      </c>
      <c r="B477" s="34" t="s">
        <v>91</v>
      </c>
      <c r="C477" s="34" t="s">
        <v>10</v>
      </c>
      <c r="D477" s="36" t="s">
        <v>505</v>
      </c>
      <c r="E477" s="34" t="s">
        <v>125</v>
      </c>
      <c r="F477" s="110">
        <f>600+12.2</f>
        <v>612.20000000000005</v>
      </c>
      <c r="G477" s="110">
        <v>0</v>
      </c>
      <c r="H477" s="110">
        <v>0</v>
      </c>
      <c r="I477" s="3"/>
      <c r="J477" s="3"/>
      <c r="K477" s="3"/>
    </row>
    <row r="478" spans="1:11" s="50" customFormat="1" ht="55.5" customHeight="1" x14ac:dyDescent="0.2">
      <c r="A478" s="91" t="s">
        <v>465</v>
      </c>
      <c r="B478" s="34" t="s">
        <v>91</v>
      </c>
      <c r="C478" s="34" t="s">
        <v>10</v>
      </c>
      <c r="D478" s="109" t="s">
        <v>466</v>
      </c>
      <c r="E478" s="34"/>
      <c r="F478" s="110">
        <f>F479</f>
        <v>1385.6</v>
      </c>
      <c r="G478" s="110">
        <f>G479</f>
        <v>1385.6</v>
      </c>
      <c r="H478" s="110">
        <f>H479</f>
        <v>1385.6</v>
      </c>
      <c r="I478" s="3"/>
      <c r="J478" s="3"/>
      <c r="K478" s="3"/>
    </row>
    <row r="479" spans="1:11" s="50" customFormat="1" ht="15.75" customHeight="1" x14ac:dyDescent="0.2">
      <c r="A479" s="86" t="s">
        <v>124</v>
      </c>
      <c r="B479" s="34" t="s">
        <v>91</v>
      </c>
      <c r="C479" s="34" t="s">
        <v>10</v>
      </c>
      <c r="D479" s="109" t="s">
        <v>466</v>
      </c>
      <c r="E479" s="34" t="s">
        <v>125</v>
      </c>
      <c r="F479" s="110">
        <f>1108.5+277.1</f>
        <v>1385.6</v>
      </c>
      <c r="G479" s="110">
        <f>1108.5+277.1</f>
        <v>1385.6</v>
      </c>
      <c r="H479" s="110">
        <f>1108.5+277.1</f>
        <v>1385.6</v>
      </c>
      <c r="I479" s="3"/>
      <c r="J479" s="3"/>
      <c r="K479" s="3"/>
    </row>
    <row r="480" spans="1:11" s="50" customFormat="1" ht="43.5" customHeight="1" x14ac:dyDescent="0.2">
      <c r="A480" s="117" t="s">
        <v>506</v>
      </c>
      <c r="B480" s="34" t="s">
        <v>91</v>
      </c>
      <c r="C480" s="34" t="s">
        <v>10</v>
      </c>
      <c r="D480" s="36" t="s">
        <v>507</v>
      </c>
      <c r="E480" s="34"/>
      <c r="F480" s="26">
        <f>F481</f>
        <v>1142.3000000000002</v>
      </c>
      <c r="G480" s="26">
        <f>G481</f>
        <v>0</v>
      </c>
      <c r="H480" s="26">
        <f>H481</f>
        <v>0</v>
      </c>
      <c r="I480" s="3"/>
      <c r="J480" s="3"/>
      <c r="K480" s="3"/>
    </row>
    <row r="481" spans="1:11" s="50" customFormat="1" ht="15.75" customHeight="1" x14ac:dyDescent="0.2">
      <c r="A481" s="118" t="s">
        <v>124</v>
      </c>
      <c r="B481" s="34" t="s">
        <v>91</v>
      </c>
      <c r="C481" s="34" t="s">
        <v>10</v>
      </c>
      <c r="D481" s="36" t="s">
        <v>507</v>
      </c>
      <c r="E481" s="34" t="s">
        <v>125</v>
      </c>
      <c r="F481" s="26">
        <f>2866.3+0.6-1724.3-0.3</f>
        <v>1142.3000000000002</v>
      </c>
      <c r="G481" s="26">
        <v>0</v>
      </c>
      <c r="H481" s="26">
        <v>0</v>
      </c>
      <c r="I481" s="3"/>
      <c r="J481" s="3"/>
      <c r="K481" s="3"/>
    </row>
    <row r="482" spans="1:11" s="50" customFormat="1" ht="42.75" customHeight="1" x14ac:dyDescent="0.2">
      <c r="A482" s="91" t="s">
        <v>508</v>
      </c>
      <c r="B482" s="34" t="s">
        <v>91</v>
      </c>
      <c r="C482" s="34" t="s">
        <v>10</v>
      </c>
      <c r="D482" s="109" t="s">
        <v>509</v>
      </c>
      <c r="E482" s="34"/>
      <c r="F482" s="110">
        <f>F483</f>
        <v>31855.7</v>
      </c>
      <c r="G482" s="110">
        <f t="shared" ref="G482:H482" si="77">G483</f>
        <v>0</v>
      </c>
      <c r="H482" s="110">
        <f t="shared" si="77"/>
        <v>0</v>
      </c>
      <c r="I482" s="119"/>
      <c r="J482" s="3"/>
      <c r="K482" s="3"/>
    </row>
    <row r="483" spans="1:11" s="50" customFormat="1" ht="15.75" customHeight="1" x14ac:dyDescent="0.2">
      <c r="A483" s="113" t="s">
        <v>340</v>
      </c>
      <c r="B483" s="34" t="s">
        <v>91</v>
      </c>
      <c r="C483" s="34" t="s">
        <v>10</v>
      </c>
      <c r="D483" s="109" t="s">
        <v>509</v>
      </c>
      <c r="E483" s="34" t="s">
        <v>341</v>
      </c>
      <c r="F483" s="110">
        <f>30900+955.7</f>
        <v>31855.7</v>
      </c>
      <c r="G483" s="110">
        <v>0</v>
      </c>
      <c r="H483" s="116">
        <v>0</v>
      </c>
      <c r="I483" s="119"/>
      <c r="J483" s="3"/>
      <c r="K483" s="3"/>
    </row>
    <row r="484" spans="1:11" s="50" customFormat="1" ht="39.75" customHeight="1" x14ac:dyDescent="0.2">
      <c r="A484" s="91" t="s">
        <v>510</v>
      </c>
      <c r="B484" s="34" t="s">
        <v>91</v>
      </c>
      <c r="C484" s="34" t="s">
        <v>10</v>
      </c>
      <c r="D484" s="109" t="s">
        <v>511</v>
      </c>
      <c r="E484" s="34"/>
      <c r="F484" s="110">
        <f>F485</f>
        <v>5828.2</v>
      </c>
      <c r="G484" s="110">
        <f>G485</f>
        <v>5144.0000000000009</v>
      </c>
      <c r="H484" s="110">
        <f>H485</f>
        <v>4842.5</v>
      </c>
      <c r="I484" s="3"/>
      <c r="J484" s="3"/>
      <c r="K484" s="3"/>
    </row>
    <row r="485" spans="1:11" s="50" customFormat="1" ht="15.75" customHeight="1" x14ac:dyDescent="0.2">
      <c r="A485" s="86" t="s">
        <v>124</v>
      </c>
      <c r="B485" s="34" t="s">
        <v>91</v>
      </c>
      <c r="C485" s="34" t="s">
        <v>10</v>
      </c>
      <c r="D485" s="109" t="s">
        <v>511</v>
      </c>
      <c r="E485" s="34" t="s">
        <v>125</v>
      </c>
      <c r="F485" s="110">
        <f>1466.9+29.9+4244.7+86.7</f>
        <v>5828.2</v>
      </c>
      <c r="G485" s="110">
        <f>1995.3+40.7+3045.8+62.6-0.4</f>
        <v>5144.0000000000009</v>
      </c>
      <c r="H485" s="110">
        <f>1995.3+40.7+2750.4+56.1</f>
        <v>4842.5</v>
      </c>
      <c r="I485" s="3"/>
      <c r="J485" s="3"/>
      <c r="K485" s="3"/>
    </row>
    <row r="486" spans="1:11" s="50" customFormat="1" ht="18" customHeight="1" x14ac:dyDescent="0.2">
      <c r="A486" s="20" t="s">
        <v>13</v>
      </c>
      <c r="B486" s="34" t="s">
        <v>91</v>
      </c>
      <c r="C486" s="34" t="s">
        <v>10</v>
      </c>
      <c r="D486" s="25" t="s">
        <v>253</v>
      </c>
      <c r="E486" s="34"/>
      <c r="F486" s="26">
        <f>F487+F494+F497</f>
        <v>188655.50000000003</v>
      </c>
      <c r="G486" s="26">
        <f>G487+G494+G497</f>
        <v>188930.2</v>
      </c>
      <c r="H486" s="26">
        <f>H487+H494+H497</f>
        <v>188888.1</v>
      </c>
      <c r="I486" s="3"/>
      <c r="J486" s="3"/>
      <c r="K486" s="3"/>
    </row>
    <row r="487" spans="1:11" s="50" customFormat="1" ht="26.25" customHeight="1" x14ac:dyDescent="0.2">
      <c r="A487" s="20" t="s">
        <v>467</v>
      </c>
      <c r="B487" s="34" t="s">
        <v>91</v>
      </c>
      <c r="C487" s="34" t="s">
        <v>10</v>
      </c>
      <c r="D487" s="25" t="s">
        <v>468</v>
      </c>
      <c r="E487" s="34"/>
      <c r="F487" s="26">
        <f>F488+F490+F492</f>
        <v>185208.50000000003</v>
      </c>
      <c r="G487" s="26">
        <f>G488+G490+G492</f>
        <v>185483.2</v>
      </c>
      <c r="H487" s="26">
        <f>H488+H490+H492</f>
        <v>185441.1</v>
      </c>
      <c r="I487" s="3"/>
      <c r="J487" s="3"/>
      <c r="K487" s="3"/>
    </row>
    <row r="488" spans="1:11" s="50" customFormat="1" ht="25.5" customHeight="1" x14ac:dyDescent="0.2">
      <c r="A488" s="108" t="s">
        <v>469</v>
      </c>
      <c r="B488" s="34" t="s">
        <v>91</v>
      </c>
      <c r="C488" s="34" t="s">
        <v>10</v>
      </c>
      <c r="D488" s="25" t="s">
        <v>470</v>
      </c>
      <c r="E488" s="34"/>
      <c r="F488" s="26">
        <f>F489</f>
        <v>129537.1</v>
      </c>
      <c r="G488" s="26">
        <f>G489</f>
        <v>126405.2</v>
      </c>
      <c r="H488" s="26">
        <f>H489</f>
        <v>126405.2</v>
      </c>
      <c r="I488" s="3"/>
      <c r="J488" s="3"/>
      <c r="K488" s="3"/>
    </row>
    <row r="489" spans="1:11" s="50" customFormat="1" ht="12.75" customHeight="1" x14ac:dyDescent="0.2">
      <c r="A489" s="111" t="s">
        <v>124</v>
      </c>
      <c r="B489" s="34" t="s">
        <v>91</v>
      </c>
      <c r="C489" s="34" t="s">
        <v>10</v>
      </c>
      <c r="D489" s="25" t="s">
        <v>470</v>
      </c>
      <c r="E489" s="34" t="s">
        <v>125</v>
      </c>
      <c r="F489" s="26">
        <f>129537.1</f>
        <v>129537.1</v>
      </c>
      <c r="G489" s="26">
        <f>126405.2</f>
        <v>126405.2</v>
      </c>
      <c r="H489" s="39">
        <f>126405.2</f>
        <v>126405.2</v>
      </c>
      <c r="I489" s="94"/>
      <c r="J489" s="3"/>
      <c r="K489" s="3"/>
    </row>
    <row r="490" spans="1:11" s="50" customFormat="1" ht="28.5" customHeight="1" x14ac:dyDescent="0.2">
      <c r="A490" s="87" t="s">
        <v>512</v>
      </c>
      <c r="B490" s="34" t="s">
        <v>91</v>
      </c>
      <c r="C490" s="34" t="s">
        <v>10</v>
      </c>
      <c r="D490" s="25" t="s">
        <v>513</v>
      </c>
      <c r="E490" s="34"/>
      <c r="F490" s="26">
        <f>F491</f>
        <v>53841.30000000001</v>
      </c>
      <c r="G490" s="26">
        <f>G491</f>
        <v>57247.900000000009</v>
      </c>
      <c r="H490" s="26">
        <f>H491</f>
        <v>57205.80000000001</v>
      </c>
      <c r="I490" s="3"/>
      <c r="J490" s="3"/>
      <c r="K490" s="3"/>
    </row>
    <row r="491" spans="1:11" s="50" customFormat="1" ht="12.75" customHeight="1" x14ac:dyDescent="0.2">
      <c r="A491" s="111" t="s">
        <v>124</v>
      </c>
      <c r="B491" s="34" t="s">
        <v>91</v>
      </c>
      <c r="C491" s="34" t="s">
        <v>10</v>
      </c>
      <c r="D491" s="25" t="s">
        <v>513</v>
      </c>
      <c r="E491" s="34" t="s">
        <v>125</v>
      </c>
      <c r="F491" s="26">
        <f>63111.8-1830.1-770-4064.7-955.7-1650</f>
        <v>53841.30000000001</v>
      </c>
      <c r="G491" s="26">
        <f>63111.8-1830.1-4000-62.6-2.5-1.7+32.6+0.4</f>
        <v>57247.900000000009</v>
      </c>
      <c r="H491" s="26">
        <f>63111.8-1830.1-4000-56.1-2.7-17.1</f>
        <v>57205.80000000001</v>
      </c>
      <c r="I491" s="94"/>
      <c r="J491" s="3"/>
      <c r="K491" s="3"/>
    </row>
    <row r="492" spans="1:11" s="50" customFormat="1" ht="24.75" customHeight="1" x14ac:dyDescent="0.2">
      <c r="A492" s="91" t="s">
        <v>42</v>
      </c>
      <c r="B492" s="34" t="s">
        <v>91</v>
      </c>
      <c r="C492" s="34" t="s">
        <v>10</v>
      </c>
      <c r="D492" s="25" t="s">
        <v>514</v>
      </c>
      <c r="E492" s="34"/>
      <c r="F492" s="26">
        <f>F493</f>
        <v>1830.1</v>
      </c>
      <c r="G492" s="26">
        <f>G493</f>
        <v>1830.1</v>
      </c>
      <c r="H492" s="26">
        <f>H493</f>
        <v>1830.1</v>
      </c>
      <c r="I492" s="3"/>
      <c r="J492" s="3"/>
      <c r="K492" s="3"/>
    </row>
    <row r="493" spans="1:11" s="50" customFormat="1" ht="15.75" customHeight="1" x14ac:dyDescent="0.2">
      <c r="A493" s="91" t="s">
        <v>169</v>
      </c>
      <c r="B493" s="34" t="s">
        <v>91</v>
      </c>
      <c r="C493" s="34" t="s">
        <v>10</v>
      </c>
      <c r="D493" s="25" t="s">
        <v>514</v>
      </c>
      <c r="E493" s="34" t="s">
        <v>125</v>
      </c>
      <c r="F493" s="26">
        <v>1830.1</v>
      </c>
      <c r="G493" s="26">
        <v>1830.1</v>
      </c>
      <c r="H493" s="26">
        <v>1830.1</v>
      </c>
      <c r="I493" s="3"/>
      <c r="J493" s="3"/>
      <c r="K493" s="3"/>
    </row>
    <row r="494" spans="1:11" s="50" customFormat="1" ht="29.25" customHeight="1" x14ac:dyDescent="0.2">
      <c r="A494" s="20" t="s">
        <v>515</v>
      </c>
      <c r="B494" s="34" t="s">
        <v>91</v>
      </c>
      <c r="C494" s="34" t="s">
        <v>10</v>
      </c>
      <c r="D494" s="89" t="s">
        <v>516</v>
      </c>
      <c r="E494" s="34"/>
      <c r="F494" s="26">
        <f t="shared" ref="F494:H495" si="78">F495</f>
        <v>3397</v>
      </c>
      <c r="G494" s="26">
        <f t="shared" si="78"/>
        <v>3397</v>
      </c>
      <c r="H494" s="26">
        <f t="shared" si="78"/>
        <v>3397</v>
      </c>
      <c r="I494" s="3"/>
      <c r="J494" s="3"/>
      <c r="K494" s="3"/>
    </row>
    <row r="495" spans="1:11" s="50" customFormat="1" ht="39" customHeight="1" x14ac:dyDescent="0.2">
      <c r="A495" s="111" t="s">
        <v>517</v>
      </c>
      <c r="B495" s="34" t="s">
        <v>91</v>
      </c>
      <c r="C495" s="34" t="s">
        <v>10</v>
      </c>
      <c r="D495" s="25" t="s">
        <v>518</v>
      </c>
      <c r="E495" s="34"/>
      <c r="F495" s="26">
        <f t="shared" si="78"/>
        <v>3397</v>
      </c>
      <c r="G495" s="26">
        <f t="shared" si="78"/>
        <v>3397</v>
      </c>
      <c r="H495" s="26">
        <f t="shared" si="78"/>
        <v>3397</v>
      </c>
      <c r="I495" s="3"/>
      <c r="J495" s="3"/>
      <c r="K495" s="3"/>
    </row>
    <row r="496" spans="1:11" s="50" customFormat="1" ht="12.75" customHeight="1" x14ac:dyDescent="0.2">
      <c r="A496" s="111" t="s">
        <v>124</v>
      </c>
      <c r="B496" s="34" t="s">
        <v>91</v>
      </c>
      <c r="C496" s="34" t="s">
        <v>10</v>
      </c>
      <c r="D496" s="25" t="s">
        <v>518</v>
      </c>
      <c r="E496" s="34" t="s">
        <v>125</v>
      </c>
      <c r="F496" s="26">
        <v>3397</v>
      </c>
      <c r="G496" s="26">
        <v>3397</v>
      </c>
      <c r="H496" s="26">
        <v>3397</v>
      </c>
      <c r="I496" s="3"/>
      <c r="J496" s="3"/>
      <c r="K496" s="3"/>
    </row>
    <row r="497" spans="1:11" s="50" customFormat="1" ht="42.75" customHeight="1" x14ac:dyDescent="0.2">
      <c r="A497" s="20" t="s">
        <v>519</v>
      </c>
      <c r="B497" s="34" t="s">
        <v>91</v>
      </c>
      <c r="C497" s="34" t="s">
        <v>10</v>
      </c>
      <c r="D497" s="89" t="s">
        <v>520</v>
      </c>
      <c r="E497" s="34"/>
      <c r="F497" s="26">
        <f t="shared" ref="F497:H498" si="79">F498</f>
        <v>50</v>
      </c>
      <c r="G497" s="26">
        <f t="shared" si="79"/>
        <v>50</v>
      </c>
      <c r="H497" s="26">
        <f t="shared" si="79"/>
        <v>50</v>
      </c>
      <c r="I497" s="3"/>
      <c r="J497" s="3"/>
      <c r="K497" s="3"/>
    </row>
    <row r="498" spans="1:11" s="50" customFormat="1" ht="28.5" customHeight="1" x14ac:dyDescent="0.2">
      <c r="A498" s="20" t="s">
        <v>521</v>
      </c>
      <c r="B498" s="34" t="s">
        <v>91</v>
      </c>
      <c r="C498" s="34" t="s">
        <v>10</v>
      </c>
      <c r="D498" s="89" t="s">
        <v>522</v>
      </c>
      <c r="E498" s="34"/>
      <c r="F498" s="26">
        <f t="shared" si="79"/>
        <v>50</v>
      </c>
      <c r="G498" s="26">
        <f t="shared" si="79"/>
        <v>50</v>
      </c>
      <c r="H498" s="26">
        <f t="shared" si="79"/>
        <v>50</v>
      </c>
      <c r="I498" s="3"/>
      <c r="J498" s="3"/>
      <c r="K498" s="3"/>
    </row>
    <row r="499" spans="1:11" s="50" customFormat="1" ht="17.25" customHeight="1" x14ac:dyDescent="0.2">
      <c r="A499" s="111" t="s">
        <v>124</v>
      </c>
      <c r="B499" s="34" t="s">
        <v>91</v>
      </c>
      <c r="C499" s="34" t="s">
        <v>10</v>
      </c>
      <c r="D499" s="89" t="s">
        <v>522</v>
      </c>
      <c r="E499" s="34" t="s">
        <v>125</v>
      </c>
      <c r="F499" s="26">
        <v>50</v>
      </c>
      <c r="G499" s="26">
        <v>50</v>
      </c>
      <c r="H499" s="26">
        <v>50</v>
      </c>
      <c r="I499" s="3"/>
      <c r="J499" s="3"/>
      <c r="K499" s="3"/>
    </row>
    <row r="500" spans="1:11" s="48" customFormat="1" ht="13.5" customHeight="1" x14ac:dyDescent="0.2">
      <c r="A500" s="120" t="s">
        <v>523</v>
      </c>
      <c r="B500" s="54" t="s">
        <v>91</v>
      </c>
      <c r="C500" s="54" t="s">
        <v>23</v>
      </c>
      <c r="D500" s="81"/>
      <c r="E500" s="54"/>
      <c r="F500" s="53">
        <f>F501+F506</f>
        <v>29049.300000000003</v>
      </c>
      <c r="G500" s="53">
        <f>G501+G506</f>
        <v>26501.300000000003</v>
      </c>
      <c r="H500" s="53">
        <f>H501+H506</f>
        <v>26501.300000000003</v>
      </c>
      <c r="I500" s="19"/>
      <c r="J500" s="19"/>
      <c r="K500" s="19"/>
    </row>
    <row r="501" spans="1:11" s="50" customFormat="1" ht="46.5" customHeight="1" x14ac:dyDescent="0.2">
      <c r="A501" s="57" t="s">
        <v>162</v>
      </c>
      <c r="B501" s="34" t="s">
        <v>91</v>
      </c>
      <c r="C501" s="34" t="s">
        <v>23</v>
      </c>
      <c r="D501" s="25" t="s">
        <v>163</v>
      </c>
      <c r="E501" s="34"/>
      <c r="F501" s="26">
        <f t="shared" ref="F501:H503" si="80">F502</f>
        <v>6997.4</v>
      </c>
      <c r="G501" s="26">
        <f t="shared" si="80"/>
        <v>6997.4</v>
      </c>
      <c r="H501" s="26">
        <f t="shared" si="80"/>
        <v>6997.4</v>
      </c>
      <c r="I501" s="3"/>
      <c r="J501" s="3"/>
      <c r="K501" s="3"/>
    </row>
    <row r="502" spans="1:11" s="50" customFormat="1" ht="15.75" customHeight="1" x14ac:dyDescent="0.2">
      <c r="A502" s="121" t="s">
        <v>13</v>
      </c>
      <c r="B502" s="34" t="s">
        <v>91</v>
      </c>
      <c r="C502" s="34" t="s">
        <v>23</v>
      </c>
      <c r="D502" s="25" t="s">
        <v>172</v>
      </c>
      <c r="E502" s="34"/>
      <c r="F502" s="26">
        <f t="shared" si="80"/>
        <v>6997.4</v>
      </c>
      <c r="G502" s="26">
        <f t="shared" si="80"/>
        <v>6997.4</v>
      </c>
      <c r="H502" s="26">
        <f t="shared" si="80"/>
        <v>6997.4</v>
      </c>
      <c r="I502" s="3"/>
      <c r="J502" s="3"/>
      <c r="K502" s="3"/>
    </row>
    <row r="503" spans="1:11" s="50" customFormat="1" ht="27.75" customHeight="1" x14ac:dyDescent="0.2">
      <c r="A503" s="40" t="s">
        <v>524</v>
      </c>
      <c r="B503" s="34" t="s">
        <v>91</v>
      </c>
      <c r="C503" s="34" t="s">
        <v>23</v>
      </c>
      <c r="D503" s="25" t="s">
        <v>286</v>
      </c>
      <c r="E503" s="34"/>
      <c r="F503" s="26">
        <f>F504</f>
        <v>6997.4</v>
      </c>
      <c r="G503" s="26">
        <f t="shared" si="80"/>
        <v>6997.4</v>
      </c>
      <c r="H503" s="26">
        <f t="shared" si="80"/>
        <v>6997.4</v>
      </c>
      <c r="I503" s="3"/>
      <c r="J503" s="3"/>
      <c r="K503" s="3"/>
    </row>
    <row r="504" spans="1:11" s="50" customFormat="1" ht="14.25" customHeight="1" x14ac:dyDescent="0.2">
      <c r="A504" s="20" t="s">
        <v>651</v>
      </c>
      <c r="B504" s="34" t="s">
        <v>91</v>
      </c>
      <c r="C504" s="34" t="s">
        <v>23</v>
      </c>
      <c r="D504" s="25" t="s">
        <v>525</v>
      </c>
      <c r="E504" s="34"/>
      <c r="F504" s="26">
        <f>F505</f>
        <v>6997.4</v>
      </c>
      <c r="G504" s="26">
        <f>G505</f>
        <v>6997.4</v>
      </c>
      <c r="H504" s="26">
        <f>H505</f>
        <v>6997.4</v>
      </c>
      <c r="I504" s="3"/>
      <c r="J504" s="3"/>
      <c r="K504" s="3"/>
    </row>
    <row r="505" spans="1:11" s="50" customFormat="1" ht="15" customHeight="1" x14ac:dyDescent="0.2">
      <c r="A505" s="59" t="s">
        <v>169</v>
      </c>
      <c r="B505" s="34" t="s">
        <v>91</v>
      </c>
      <c r="C505" s="34" t="s">
        <v>23</v>
      </c>
      <c r="D505" s="25" t="s">
        <v>525</v>
      </c>
      <c r="E505" s="34" t="s">
        <v>125</v>
      </c>
      <c r="F505" s="26">
        <v>6997.4</v>
      </c>
      <c r="G505" s="26">
        <v>6997.4</v>
      </c>
      <c r="H505" s="26">
        <v>6997.4</v>
      </c>
      <c r="I505" s="3"/>
      <c r="J505" s="3"/>
      <c r="K505" s="3"/>
    </row>
    <row r="506" spans="1:11" s="50" customFormat="1" ht="27" customHeight="1" x14ac:dyDescent="0.2">
      <c r="A506" s="59" t="s">
        <v>251</v>
      </c>
      <c r="B506" s="34" t="s">
        <v>91</v>
      </c>
      <c r="C506" s="34" t="s">
        <v>23</v>
      </c>
      <c r="D506" s="25" t="s">
        <v>252</v>
      </c>
      <c r="E506" s="34"/>
      <c r="F506" s="26">
        <f>F507+F511</f>
        <v>22051.9</v>
      </c>
      <c r="G506" s="26">
        <f>G507+G511</f>
        <v>19503.900000000001</v>
      </c>
      <c r="H506" s="26">
        <f>H507+H511</f>
        <v>19503.900000000001</v>
      </c>
      <c r="I506" s="3"/>
      <c r="J506" s="3"/>
      <c r="K506" s="3"/>
    </row>
    <row r="507" spans="1:11" s="50" customFormat="1" ht="18" customHeight="1" x14ac:dyDescent="0.2">
      <c r="A507" s="108" t="s">
        <v>50</v>
      </c>
      <c r="B507" s="34" t="s">
        <v>91</v>
      </c>
      <c r="C507" s="34" t="s">
        <v>23</v>
      </c>
      <c r="D507" s="25" t="s">
        <v>460</v>
      </c>
      <c r="E507" s="34"/>
      <c r="F507" s="26">
        <f t="shared" ref="F507:H509" si="81">F508</f>
        <v>1139.2</v>
      </c>
      <c r="G507" s="26">
        <f t="shared" si="81"/>
        <v>1139.2</v>
      </c>
      <c r="H507" s="26">
        <f t="shared" si="81"/>
        <v>1139.2</v>
      </c>
      <c r="I507" s="3"/>
      <c r="J507" s="3"/>
      <c r="K507" s="3"/>
    </row>
    <row r="508" spans="1:11" s="50" customFormat="1" ht="24" customHeight="1" x14ac:dyDescent="0.2">
      <c r="A508" s="91" t="s">
        <v>526</v>
      </c>
      <c r="B508" s="34" t="s">
        <v>91</v>
      </c>
      <c r="C508" s="34" t="s">
        <v>23</v>
      </c>
      <c r="D508" s="109" t="s">
        <v>527</v>
      </c>
      <c r="E508" s="34"/>
      <c r="F508" s="26">
        <f t="shared" si="81"/>
        <v>1139.2</v>
      </c>
      <c r="G508" s="26">
        <f t="shared" si="81"/>
        <v>1139.2</v>
      </c>
      <c r="H508" s="26">
        <f t="shared" si="81"/>
        <v>1139.2</v>
      </c>
      <c r="I508" s="3"/>
      <c r="J508" s="3"/>
      <c r="K508" s="3"/>
    </row>
    <row r="509" spans="1:11" s="50" customFormat="1" ht="24.75" customHeight="1" x14ac:dyDescent="0.2">
      <c r="A509" s="91" t="s">
        <v>528</v>
      </c>
      <c r="B509" s="34" t="s">
        <v>91</v>
      </c>
      <c r="C509" s="34" t="s">
        <v>23</v>
      </c>
      <c r="D509" s="109" t="s">
        <v>529</v>
      </c>
      <c r="E509" s="34"/>
      <c r="F509" s="26">
        <f t="shared" si="81"/>
        <v>1139.2</v>
      </c>
      <c r="G509" s="26">
        <f t="shared" si="81"/>
        <v>1139.2</v>
      </c>
      <c r="H509" s="26">
        <f t="shared" si="81"/>
        <v>1139.2</v>
      </c>
      <c r="I509" s="3"/>
      <c r="J509" s="3"/>
      <c r="K509" s="3"/>
    </row>
    <row r="510" spans="1:11" s="50" customFormat="1" ht="14.25" customHeight="1" x14ac:dyDescent="0.2">
      <c r="A510" s="86" t="s">
        <v>124</v>
      </c>
      <c r="B510" s="34" t="s">
        <v>91</v>
      </c>
      <c r="C510" s="34" t="s">
        <v>23</v>
      </c>
      <c r="D510" s="109" t="s">
        <v>529</v>
      </c>
      <c r="E510" s="34" t="s">
        <v>125</v>
      </c>
      <c r="F510" s="110">
        <f>569.6+569.6</f>
        <v>1139.2</v>
      </c>
      <c r="G510" s="110">
        <f>569.6+569.6</f>
        <v>1139.2</v>
      </c>
      <c r="H510" s="110">
        <f>569.6+569.6</f>
        <v>1139.2</v>
      </c>
      <c r="I510" s="3"/>
      <c r="J510" s="3"/>
      <c r="K510" s="3"/>
    </row>
    <row r="511" spans="1:11" s="50" customFormat="1" ht="15" customHeight="1" x14ac:dyDescent="0.2">
      <c r="A511" s="86" t="s">
        <v>13</v>
      </c>
      <c r="B511" s="34" t="s">
        <v>91</v>
      </c>
      <c r="C511" s="34" t="s">
        <v>23</v>
      </c>
      <c r="D511" s="109" t="s">
        <v>253</v>
      </c>
      <c r="E511" s="34"/>
      <c r="F511" s="110">
        <f>F517+F512</f>
        <v>20912.7</v>
      </c>
      <c r="G511" s="110">
        <f>G517+G512</f>
        <v>18364.7</v>
      </c>
      <c r="H511" s="110">
        <f>H517+H512</f>
        <v>18364.7</v>
      </c>
      <c r="I511" s="3"/>
      <c r="J511" s="3"/>
      <c r="K511" s="3"/>
    </row>
    <row r="512" spans="1:11" s="50" customFormat="1" ht="30.75" customHeight="1" x14ac:dyDescent="0.2">
      <c r="A512" s="20" t="s">
        <v>467</v>
      </c>
      <c r="B512" s="34" t="s">
        <v>91</v>
      </c>
      <c r="C512" s="34" t="s">
        <v>23</v>
      </c>
      <c r="D512" s="109" t="s">
        <v>468</v>
      </c>
      <c r="E512" s="34"/>
      <c r="F512" s="110">
        <f>F513+F515</f>
        <v>20862.7</v>
      </c>
      <c r="G512" s="110">
        <f>G513+G515</f>
        <v>18314.7</v>
      </c>
      <c r="H512" s="110">
        <f>H513+H515</f>
        <v>18314.7</v>
      </c>
      <c r="I512" s="3"/>
      <c r="J512" s="3"/>
      <c r="K512" s="3"/>
    </row>
    <row r="513" spans="1:11" s="50" customFormat="1" ht="15" customHeight="1" x14ac:dyDescent="0.2">
      <c r="A513" s="20" t="s">
        <v>651</v>
      </c>
      <c r="B513" s="34" t="s">
        <v>91</v>
      </c>
      <c r="C513" s="34" t="s">
        <v>23</v>
      </c>
      <c r="D513" s="36" t="s">
        <v>530</v>
      </c>
      <c r="E513" s="58"/>
      <c r="F513" s="26">
        <f>F514</f>
        <v>17562.7</v>
      </c>
      <c r="G513" s="26">
        <f>G514</f>
        <v>18314.7</v>
      </c>
      <c r="H513" s="26">
        <f>H514</f>
        <v>18314.7</v>
      </c>
      <c r="I513" s="3"/>
      <c r="J513" s="3"/>
      <c r="K513" s="3"/>
    </row>
    <row r="514" spans="1:11" s="50" customFormat="1" ht="15" customHeight="1" x14ac:dyDescent="0.2">
      <c r="A514" s="111" t="s">
        <v>124</v>
      </c>
      <c r="B514" s="34" t="s">
        <v>91</v>
      </c>
      <c r="C514" s="34" t="s">
        <v>23</v>
      </c>
      <c r="D514" s="36" t="s">
        <v>530</v>
      </c>
      <c r="E514" s="58" t="s">
        <v>125</v>
      </c>
      <c r="F514" s="26">
        <f>18314.7-280-472</f>
        <v>17562.7</v>
      </c>
      <c r="G514" s="26">
        <f>18314.7</f>
        <v>18314.7</v>
      </c>
      <c r="H514" s="26">
        <f>18314.7</f>
        <v>18314.7</v>
      </c>
      <c r="I514" s="94"/>
      <c r="J514" s="3"/>
      <c r="K514" s="3"/>
    </row>
    <row r="515" spans="1:11" s="50" customFormat="1" ht="31.5" customHeight="1" x14ac:dyDescent="0.2">
      <c r="A515" s="20" t="s">
        <v>531</v>
      </c>
      <c r="B515" s="34" t="s">
        <v>91</v>
      </c>
      <c r="C515" s="34" t="s">
        <v>23</v>
      </c>
      <c r="D515" s="36" t="s">
        <v>532</v>
      </c>
      <c r="E515" s="58"/>
      <c r="F515" s="26">
        <f>F516</f>
        <v>3300</v>
      </c>
      <c r="G515" s="26">
        <f>G516</f>
        <v>0</v>
      </c>
      <c r="H515" s="26">
        <f>H516</f>
        <v>0</v>
      </c>
      <c r="I515" s="3"/>
      <c r="J515" s="3"/>
      <c r="K515" s="3"/>
    </row>
    <row r="516" spans="1:11" s="50" customFormat="1" ht="15" customHeight="1" x14ac:dyDescent="0.2">
      <c r="A516" s="111" t="s">
        <v>124</v>
      </c>
      <c r="B516" s="34" t="s">
        <v>91</v>
      </c>
      <c r="C516" s="34" t="s">
        <v>23</v>
      </c>
      <c r="D516" s="36" t="s">
        <v>532</v>
      </c>
      <c r="E516" s="58" t="s">
        <v>125</v>
      </c>
      <c r="F516" s="26">
        <v>3300</v>
      </c>
      <c r="G516" s="26">
        <v>0</v>
      </c>
      <c r="H516" s="39">
        <v>0</v>
      </c>
      <c r="I516" s="3"/>
      <c r="J516" s="3"/>
      <c r="K516" s="3"/>
    </row>
    <row r="517" spans="1:11" s="50" customFormat="1" ht="41.25" customHeight="1" x14ac:dyDescent="0.2">
      <c r="A517" s="20" t="s">
        <v>519</v>
      </c>
      <c r="B517" s="34" t="s">
        <v>91</v>
      </c>
      <c r="C517" s="34" t="s">
        <v>23</v>
      </c>
      <c r="D517" s="109" t="s">
        <v>520</v>
      </c>
      <c r="E517" s="34"/>
      <c r="F517" s="110">
        <f t="shared" ref="F517:H518" si="82">F518</f>
        <v>50</v>
      </c>
      <c r="G517" s="110">
        <f t="shared" si="82"/>
        <v>50</v>
      </c>
      <c r="H517" s="110">
        <f t="shared" si="82"/>
        <v>50</v>
      </c>
      <c r="I517" s="3"/>
      <c r="J517" s="3"/>
      <c r="K517" s="3"/>
    </row>
    <row r="518" spans="1:11" s="50" customFormat="1" ht="25.5" customHeight="1" x14ac:dyDescent="0.2">
      <c r="A518" s="20" t="s">
        <v>521</v>
      </c>
      <c r="B518" s="34" t="s">
        <v>91</v>
      </c>
      <c r="C518" s="34" t="s">
        <v>23</v>
      </c>
      <c r="D518" s="109" t="s">
        <v>522</v>
      </c>
      <c r="E518" s="34"/>
      <c r="F518" s="110">
        <f t="shared" si="82"/>
        <v>50</v>
      </c>
      <c r="G518" s="110">
        <f t="shared" si="82"/>
        <v>50</v>
      </c>
      <c r="H518" s="110">
        <f t="shared" si="82"/>
        <v>50</v>
      </c>
      <c r="I518" s="3"/>
      <c r="J518" s="3"/>
      <c r="K518" s="3"/>
    </row>
    <row r="519" spans="1:11" s="50" customFormat="1" ht="17.25" customHeight="1" x14ac:dyDescent="0.2">
      <c r="A519" s="86" t="s">
        <v>124</v>
      </c>
      <c r="B519" s="34" t="s">
        <v>91</v>
      </c>
      <c r="C519" s="34" t="s">
        <v>23</v>
      </c>
      <c r="D519" s="109" t="s">
        <v>522</v>
      </c>
      <c r="E519" s="34" t="s">
        <v>125</v>
      </c>
      <c r="F519" s="110">
        <v>50</v>
      </c>
      <c r="G519" s="110">
        <v>50</v>
      </c>
      <c r="H519" s="110">
        <v>50</v>
      </c>
      <c r="I519" s="3"/>
      <c r="J519" s="3"/>
      <c r="K519" s="3"/>
    </row>
    <row r="520" spans="1:11" s="19" customFormat="1" ht="13.5" customHeight="1" x14ac:dyDescent="0.2">
      <c r="A520" s="77" t="s">
        <v>533</v>
      </c>
      <c r="B520" s="54" t="s">
        <v>91</v>
      </c>
      <c r="C520" s="54" t="s">
        <v>91</v>
      </c>
      <c r="D520" s="54"/>
      <c r="E520" s="54"/>
      <c r="F520" s="53">
        <f>F521</f>
        <v>385</v>
      </c>
      <c r="G520" s="53">
        <f>G521</f>
        <v>385</v>
      </c>
      <c r="H520" s="53">
        <f>H521</f>
        <v>385</v>
      </c>
    </row>
    <row r="521" spans="1:11" s="50" customFormat="1" ht="39.75" customHeight="1" x14ac:dyDescent="0.2">
      <c r="A521" s="59" t="s">
        <v>162</v>
      </c>
      <c r="B521" s="34" t="s">
        <v>91</v>
      </c>
      <c r="C521" s="34" t="s">
        <v>91</v>
      </c>
      <c r="D521" s="25" t="s">
        <v>163</v>
      </c>
      <c r="E521" s="34"/>
      <c r="F521" s="26">
        <f>F522+F526</f>
        <v>385</v>
      </c>
      <c r="G521" s="26">
        <f>G522+G526</f>
        <v>385</v>
      </c>
      <c r="H521" s="26">
        <f>H522+H526</f>
        <v>385</v>
      </c>
      <c r="I521" s="3"/>
      <c r="J521" s="3"/>
      <c r="K521" s="3"/>
    </row>
    <row r="522" spans="1:11" s="50" customFormat="1" ht="16.5" hidden="1" customHeight="1" x14ac:dyDescent="0.2">
      <c r="A522" s="59" t="s">
        <v>50</v>
      </c>
      <c r="B522" s="34" t="s">
        <v>91</v>
      </c>
      <c r="C522" s="34" t="s">
        <v>91</v>
      </c>
      <c r="D522" s="25" t="s">
        <v>534</v>
      </c>
      <c r="E522" s="34"/>
      <c r="F522" s="26">
        <f>F523</f>
        <v>0</v>
      </c>
      <c r="G522" s="26">
        <f t="shared" ref="G522:H524" si="83">G523</f>
        <v>0</v>
      </c>
      <c r="H522" s="26">
        <f t="shared" si="83"/>
        <v>0</v>
      </c>
      <c r="I522" s="3"/>
      <c r="J522" s="3"/>
      <c r="K522" s="3"/>
    </row>
    <row r="523" spans="1:11" s="50" customFormat="1" ht="14.25" hidden="1" customHeight="1" x14ac:dyDescent="0.2">
      <c r="A523" s="68" t="s">
        <v>535</v>
      </c>
      <c r="B523" s="34" t="s">
        <v>91</v>
      </c>
      <c r="C523" s="34" t="s">
        <v>91</v>
      </c>
      <c r="D523" s="25" t="s">
        <v>536</v>
      </c>
      <c r="E523" s="34"/>
      <c r="F523" s="26">
        <f>F524</f>
        <v>0</v>
      </c>
      <c r="G523" s="26">
        <f t="shared" si="83"/>
        <v>0</v>
      </c>
      <c r="H523" s="26">
        <f t="shared" si="83"/>
        <v>0</v>
      </c>
      <c r="I523" s="3"/>
      <c r="J523" s="3"/>
      <c r="K523" s="3"/>
    </row>
    <row r="524" spans="1:11" s="50" customFormat="1" ht="30.75" hidden="1" customHeight="1" x14ac:dyDescent="0.2">
      <c r="A524" s="40" t="s">
        <v>537</v>
      </c>
      <c r="B524" s="34" t="s">
        <v>91</v>
      </c>
      <c r="C524" s="34" t="s">
        <v>91</v>
      </c>
      <c r="D524" s="25" t="s">
        <v>536</v>
      </c>
      <c r="E524" s="34"/>
      <c r="F524" s="26">
        <f>F525</f>
        <v>0</v>
      </c>
      <c r="G524" s="26">
        <f t="shared" si="83"/>
        <v>0</v>
      </c>
      <c r="H524" s="26">
        <f t="shared" si="83"/>
        <v>0</v>
      </c>
      <c r="I524" s="3"/>
      <c r="J524" s="3"/>
      <c r="K524" s="3"/>
    </row>
    <row r="525" spans="1:11" s="50" customFormat="1" ht="29.25" hidden="1" customHeight="1" x14ac:dyDescent="0.2">
      <c r="A525" s="20" t="s">
        <v>28</v>
      </c>
      <c r="B525" s="34" t="s">
        <v>91</v>
      </c>
      <c r="C525" s="34" t="s">
        <v>91</v>
      </c>
      <c r="D525" s="25" t="s">
        <v>536</v>
      </c>
      <c r="E525" s="34" t="s">
        <v>29</v>
      </c>
      <c r="F525" s="26"/>
      <c r="G525" s="26">
        <v>0</v>
      </c>
      <c r="H525" s="26"/>
      <c r="I525" s="3"/>
      <c r="J525" s="3"/>
      <c r="K525" s="3"/>
    </row>
    <row r="526" spans="1:11" s="50" customFormat="1" ht="16.5" customHeight="1" x14ac:dyDescent="0.2">
      <c r="A526" s="20" t="s">
        <v>13</v>
      </c>
      <c r="B526" s="34" t="s">
        <v>91</v>
      </c>
      <c r="C526" s="34" t="s">
        <v>91</v>
      </c>
      <c r="D526" s="25" t="s">
        <v>172</v>
      </c>
      <c r="E526" s="34"/>
      <c r="F526" s="26">
        <f t="shared" ref="F526:H527" si="84">F527</f>
        <v>385</v>
      </c>
      <c r="G526" s="26">
        <f t="shared" si="84"/>
        <v>385</v>
      </c>
      <c r="H526" s="26">
        <f t="shared" si="84"/>
        <v>385</v>
      </c>
      <c r="I526" s="3"/>
      <c r="J526" s="3"/>
      <c r="K526" s="3"/>
    </row>
    <row r="527" spans="1:11" s="50" customFormat="1" ht="29.25" customHeight="1" x14ac:dyDescent="0.2">
      <c r="A527" s="59" t="s">
        <v>538</v>
      </c>
      <c r="B527" s="34" t="s">
        <v>91</v>
      </c>
      <c r="C527" s="34" t="s">
        <v>91</v>
      </c>
      <c r="D527" s="25" t="s">
        <v>539</v>
      </c>
      <c r="E527" s="34"/>
      <c r="F527" s="26">
        <f t="shared" si="84"/>
        <v>385</v>
      </c>
      <c r="G527" s="26">
        <f t="shared" si="84"/>
        <v>385</v>
      </c>
      <c r="H527" s="26">
        <f t="shared" si="84"/>
        <v>385</v>
      </c>
      <c r="I527" s="3"/>
      <c r="J527" s="3"/>
      <c r="K527" s="3"/>
    </row>
    <row r="528" spans="1:11" s="50" customFormat="1" ht="17.25" customHeight="1" x14ac:dyDescent="0.2">
      <c r="A528" s="20" t="s">
        <v>540</v>
      </c>
      <c r="B528" s="34" t="s">
        <v>91</v>
      </c>
      <c r="C528" s="34" t="s">
        <v>91</v>
      </c>
      <c r="D528" s="25" t="s">
        <v>541</v>
      </c>
      <c r="E528" s="34"/>
      <c r="F528" s="26">
        <f>F529+F530</f>
        <v>385</v>
      </c>
      <c r="G528" s="26">
        <f>G529+G530</f>
        <v>385</v>
      </c>
      <c r="H528" s="26">
        <f>H529+H530</f>
        <v>385</v>
      </c>
      <c r="I528" s="3"/>
      <c r="J528" s="3"/>
      <c r="K528" s="3"/>
    </row>
    <row r="529" spans="1:11" s="50" customFormat="1" ht="29.25" customHeight="1" x14ac:dyDescent="0.2">
      <c r="A529" s="20" t="s">
        <v>19</v>
      </c>
      <c r="B529" s="34" t="s">
        <v>91</v>
      </c>
      <c r="C529" s="34" t="s">
        <v>91</v>
      </c>
      <c r="D529" s="25" t="s">
        <v>541</v>
      </c>
      <c r="E529" s="34" t="s">
        <v>21</v>
      </c>
      <c r="F529" s="26">
        <v>90</v>
      </c>
      <c r="G529" s="26">
        <v>90</v>
      </c>
      <c r="H529" s="39">
        <v>90</v>
      </c>
      <c r="I529" s="3"/>
      <c r="J529" s="3"/>
      <c r="K529" s="3"/>
    </row>
    <row r="530" spans="1:11" s="50" customFormat="1" ht="29.25" customHeight="1" x14ac:dyDescent="0.2">
      <c r="A530" s="20" t="s">
        <v>28</v>
      </c>
      <c r="B530" s="34" t="s">
        <v>91</v>
      </c>
      <c r="C530" s="34" t="s">
        <v>91</v>
      </c>
      <c r="D530" s="25" t="s">
        <v>541</v>
      </c>
      <c r="E530" s="34" t="s">
        <v>29</v>
      </c>
      <c r="F530" s="26">
        <v>295</v>
      </c>
      <c r="G530" s="26">
        <v>295</v>
      </c>
      <c r="H530" s="39">
        <v>295</v>
      </c>
      <c r="I530" s="3"/>
      <c r="J530" s="3"/>
      <c r="K530" s="3"/>
    </row>
    <row r="531" spans="1:11" s="19" customFormat="1" ht="13.5" customHeight="1" x14ac:dyDescent="0.2">
      <c r="A531" s="29" t="s">
        <v>542</v>
      </c>
      <c r="B531" s="105" t="s">
        <v>91</v>
      </c>
      <c r="C531" s="105" t="s">
        <v>197</v>
      </c>
      <c r="D531" s="106"/>
      <c r="E531" s="17"/>
      <c r="F531" s="53">
        <f t="shared" ref="F531:H532" si="85">F532</f>
        <v>5613.5</v>
      </c>
      <c r="G531" s="53">
        <f t="shared" si="85"/>
        <v>5585.5</v>
      </c>
      <c r="H531" s="53">
        <f t="shared" si="85"/>
        <v>5585.5</v>
      </c>
    </row>
    <row r="532" spans="1:11" s="50" customFormat="1" ht="25.5" customHeight="1" x14ac:dyDescent="0.2">
      <c r="A532" s="59" t="s">
        <v>251</v>
      </c>
      <c r="B532" s="34" t="s">
        <v>91</v>
      </c>
      <c r="C532" s="34" t="s">
        <v>197</v>
      </c>
      <c r="D532" s="25" t="s">
        <v>252</v>
      </c>
      <c r="E532" s="34"/>
      <c r="F532" s="26">
        <f t="shared" si="85"/>
        <v>5613.5</v>
      </c>
      <c r="G532" s="26">
        <f t="shared" si="85"/>
        <v>5585.5</v>
      </c>
      <c r="H532" s="26">
        <f t="shared" si="85"/>
        <v>5585.5</v>
      </c>
      <c r="I532" s="3"/>
      <c r="J532" s="3"/>
      <c r="K532" s="3"/>
    </row>
    <row r="533" spans="1:11" s="50" customFormat="1" ht="15" customHeight="1" x14ac:dyDescent="0.2">
      <c r="A533" s="86" t="s">
        <v>13</v>
      </c>
      <c r="B533" s="34" t="s">
        <v>91</v>
      </c>
      <c r="C533" s="34" t="s">
        <v>197</v>
      </c>
      <c r="D533" s="109" t="s">
        <v>253</v>
      </c>
      <c r="E533" s="34"/>
      <c r="F533" s="110">
        <f>F534+F540</f>
        <v>5613.5</v>
      </c>
      <c r="G533" s="110">
        <f>G534+G540</f>
        <v>5585.5</v>
      </c>
      <c r="H533" s="110">
        <f>H534+H540</f>
        <v>5585.5</v>
      </c>
      <c r="I533" s="3"/>
      <c r="J533" s="3"/>
      <c r="K533" s="3"/>
    </row>
    <row r="534" spans="1:11" s="50" customFormat="1" ht="45" customHeight="1" x14ac:dyDescent="0.2">
      <c r="A534" s="20" t="s">
        <v>519</v>
      </c>
      <c r="B534" s="34" t="s">
        <v>91</v>
      </c>
      <c r="C534" s="34" t="s">
        <v>197</v>
      </c>
      <c r="D534" s="109" t="s">
        <v>520</v>
      </c>
      <c r="E534" s="34"/>
      <c r="F534" s="110">
        <f>F535+F538</f>
        <v>782.5</v>
      </c>
      <c r="G534" s="110">
        <f>G535+G538</f>
        <v>782.5</v>
      </c>
      <c r="H534" s="110">
        <f>H535+H538</f>
        <v>782.5</v>
      </c>
      <c r="I534" s="3"/>
      <c r="J534" s="3"/>
      <c r="K534" s="3"/>
    </row>
    <row r="535" spans="1:11" s="50" customFormat="1" ht="25.5" customHeight="1" x14ac:dyDescent="0.2">
      <c r="A535" s="20" t="s">
        <v>521</v>
      </c>
      <c r="B535" s="34" t="s">
        <v>91</v>
      </c>
      <c r="C535" s="34" t="s">
        <v>197</v>
      </c>
      <c r="D535" s="109" t="s">
        <v>522</v>
      </c>
      <c r="E535" s="34"/>
      <c r="F535" s="110">
        <f>F536+F537</f>
        <v>282.5</v>
      </c>
      <c r="G535" s="110">
        <f>G536+G537</f>
        <v>282.5</v>
      </c>
      <c r="H535" s="110">
        <f>H536+H537</f>
        <v>282.5</v>
      </c>
      <c r="I535" s="3"/>
      <c r="J535" s="3"/>
      <c r="K535" s="3"/>
    </row>
    <row r="536" spans="1:11" s="50" customFormat="1" ht="25.5" customHeight="1" x14ac:dyDescent="0.2">
      <c r="A536" s="85" t="s">
        <v>19</v>
      </c>
      <c r="B536" s="34" t="s">
        <v>91</v>
      </c>
      <c r="C536" s="34" t="s">
        <v>197</v>
      </c>
      <c r="D536" s="109" t="s">
        <v>522</v>
      </c>
      <c r="E536" s="34" t="s">
        <v>21</v>
      </c>
      <c r="F536" s="110">
        <v>62</v>
      </c>
      <c r="G536" s="110">
        <v>62</v>
      </c>
      <c r="H536" s="110">
        <v>62</v>
      </c>
      <c r="I536" s="3"/>
      <c r="J536" s="3"/>
      <c r="K536" s="3"/>
    </row>
    <row r="537" spans="1:11" s="50" customFormat="1" ht="25.5" customHeight="1" x14ac:dyDescent="0.2">
      <c r="A537" s="85" t="s">
        <v>28</v>
      </c>
      <c r="B537" s="34" t="s">
        <v>91</v>
      </c>
      <c r="C537" s="34" t="s">
        <v>197</v>
      </c>
      <c r="D537" s="109" t="s">
        <v>522</v>
      </c>
      <c r="E537" s="34" t="s">
        <v>29</v>
      </c>
      <c r="F537" s="26">
        <v>220.5</v>
      </c>
      <c r="G537" s="26">
        <v>220.5</v>
      </c>
      <c r="H537" s="26">
        <v>220.5</v>
      </c>
      <c r="I537" s="3"/>
      <c r="J537" s="3"/>
      <c r="K537" s="3"/>
    </row>
    <row r="538" spans="1:11" s="50" customFormat="1" ht="17.25" customHeight="1" x14ac:dyDescent="0.2">
      <c r="A538" s="59" t="s">
        <v>543</v>
      </c>
      <c r="B538" s="34" t="s">
        <v>91</v>
      </c>
      <c r="C538" s="34" t="s">
        <v>197</v>
      </c>
      <c r="D538" s="25" t="s">
        <v>544</v>
      </c>
      <c r="E538" s="122"/>
      <c r="F538" s="88">
        <f>F539</f>
        <v>500</v>
      </c>
      <c r="G538" s="88">
        <f>G539</f>
        <v>500</v>
      </c>
      <c r="H538" s="88">
        <f>H539</f>
        <v>500</v>
      </c>
      <c r="I538" s="3"/>
      <c r="J538" s="3"/>
      <c r="K538" s="3"/>
    </row>
    <row r="539" spans="1:11" s="50" customFormat="1" ht="17.25" customHeight="1" x14ac:dyDescent="0.2">
      <c r="A539" s="111" t="s">
        <v>124</v>
      </c>
      <c r="B539" s="34" t="s">
        <v>91</v>
      </c>
      <c r="C539" s="34" t="s">
        <v>197</v>
      </c>
      <c r="D539" s="25" t="s">
        <v>544</v>
      </c>
      <c r="E539" s="122" t="s">
        <v>125</v>
      </c>
      <c r="F539" s="88">
        <v>500</v>
      </c>
      <c r="G539" s="88">
        <v>500</v>
      </c>
      <c r="H539" s="88">
        <v>500</v>
      </c>
      <c r="I539" s="3"/>
      <c r="J539" s="3"/>
      <c r="K539" s="3"/>
    </row>
    <row r="540" spans="1:11" s="50" customFormat="1" ht="25.5" customHeight="1" x14ac:dyDescent="0.2">
      <c r="A540" s="20" t="s">
        <v>545</v>
      </c>
      <c r="B540" s="34" t="s">
        <v>91</v>
      </c>
      <c r="C540" s="34" t="s">
        <v>197</v>
      </c>
      <c r="D540" s="36" t="s">
        <v>546</v>
      </c>
      <c r="E540" s="58"/>
      <c r="F540" s="26">
        <f>F541+F544</f>
        <v>4831</v>
      </c>
      <c r="G540" s="26">
        <f>G541+G544</f>
        <v>4803</v>
      </c>
      <c r="H540" s="26">
        <f>H541+H544</f>
        <v>4803</v>
      </c>
      <c r="I540" s="3"/>
      <c r="J540" s="3"/>
      <c r="K540" s="3"/>
    </row>
    <row r="541" spans="1:11" s="50" customFormat="1" ht="18" customHeight="1" x14ac:dyDescent="0.2">
      <c r="A541" s="20" t="s">
        <v>547</v>
      </c>
      <c r="B541" s="34" t="s">
        <v>91</v>
      </c>
      <c r="C541" s="34" t="s">
        <v>197</v>
      </c>
      <c r="D541" s="36" t="s">
        <v>548</v>
      </c>
      <c r="E541" s="58"/>
      <c r="F541" s="26">
        <f>F542+F543</f>
        <v>4631</v>
      </c>
      <c r="G541" s="26">
        <f>G542+G543</f>
        <v>4553</v>
      </c>
      <c r="H541" s="26">
        <f>H542+H543</f>
        <v>4553</v>
      </c>
      <c r="I541" s="3"/>
      <c r="J541" s="3"/>
      <c r="K541" s="3"/>
    </row>
    <row r="542" spans="1:11" s="50" customFormat="1" ht="25.5" customHeight="1" x14ac:dyDescent="0.2">
      <c r="A542" s="85" t="s">
        <v>19</v>
      </c>
      <c r="B542" s="34" t="s">
        <v>91</v>
      </c>
      <c r="C542" s="34" t="s">
        <v>197</v>
      </c>
      <c r="D542" s="36" t="s">
        <v>548</v>
      </c>
      <c r="E542" s="58" t="s">
        <v>21</v>
      </c>
      <c r="F542" s="26">
        <f>2358.4+1812.6+22+78</f>
        <v>4271</v>
      </c>
      <c r="G542" s="26">
        <f>2358.4+1812.6+22</f>
        <v>4193</v>
      </c>
      <c r="H542" s="26">
        <f>2358.4+1812.6+22</f>
        <v>4193</v>
      </c>
      <c r="I542" s="3"/>
      <c r="J542" s="3"/>
      <c r="K542" s="3"/>
    </row>
    <row r="543" spans="1:11" s="50" customFormat="1" ht="25.5" customHeight="1" x14ac:dyDescent="0.2">
      <c r="A543" s="20" t="s">
        <v>28</v>
      </c>
      <c r="B543" s="34" t="s">
        <v>91</v>
      </c>
      <c r="C543" s="34" t="s">
        <v>197</v>
      </c>
      <c r="D543" s="36" t="s">
        <v>548</v>
      </c>
      <c r="E543" s="58" t="s">
        <v>29</v>
      </c>
      <c r="F543" s="26">
        <v>360</v>
      </c>
      <c r="G543" s="26">
        <v>360</v>
      </c>
      <c r="H543" s="39">
        <v>360</v>
      </c>
      <c r="I543" s="3"/>
      <c r="J543" s="3"/>
      <c r="K543" s="3"/>
    </row>
    <row r="544" spans="1:11" s="50" customFormat="1" ht="41.25" customHeight="1" x14ac:dyDescent="0.2">
      <c r="A544" s="20" t="s">
        <v>549</v>
      </c>
      <c r="B544" s="34" t="s">
        <v>91</v>
      </c>
      <c r="C544" s="34" t="s">
        <v>197</v>
      </c>
      <c r="D544" s="36" t="s">
        <v>550</v>
      </c>
      <c r="E544" s="58"/>
      <c r="F544" s="26">
        <f>F545</f>
        <v>200</v>
      </c>
      <c r="G544" s="26">
        <f>G545</f>
        <v>250</v>
      </c>
      <c r="H544" s="26">
        <f>H545</f>
        <v>250</v>
      </c>
      <c r="I544" s="3"/>
      <c r="J544" s="3"/>
      <c r="K544" s="3"/>
    </row>
    <row r="545" spans="1:11" s="50" customFormat="1" ht="28.5" customHeight="1" x14ac:dyDescent="0.2">
      <c r="A545" s="20" t="s">
        <v>28</v>
      </c>
      <c r="B545" s="34" t="s">
        <v>91</v>
      </c>
      <c r="C545" s="34" t="s">
        <v>197</v>
      </c>
      <c r="D545" s="36" t="s">
        <v>550</v>
      </c>
      <c r="E545" s="58" t="s">
        <v>29</v>
      </c>
      <c r="F545" s="26">
        <f>250-50</f>
        <v>200</v>
      </c>
      <c r="G545" s="26">
        <v>250</v>
      </c>
      <c r="H545" s="39">
        <v>250</v>
      </c>
      <c r="I545" s="3"/>
      <c r="J545" s="3"/>
      <c r="K545" s="3"/>
    </row>
    <row r="546" spans="1:11" s="3" customFormat="1" ht="15.75" customHeight="1" x14ac:dyDescent="0.2">
      <c r="A546" s="29" t="s">
        <v>551</v>
      </c>
      <c r="B546" s="105" t="s">
        <v>259</v>
      </c>
      <c r="C546" s="105"/>
      <c r="D546" s="106"/>
      <c r="E546" s="106"/>
      <c r="F546" s="53">
        <f>F547+F581</f>
        <v>148145.4</v>
      </c>
      <c r="G546" s="53">
        <f t="shared" ref="G546:H546" si="86">G547+G581</f>
        <v>71237.900000000009</v>
      </c>
      <c r="H546" s="53">
        <f t="shared" si="86"/>
        <v>69032.600000000006</v>
      </c>
    </row>
    <row r="547" spans="1:11" s="19" customFormat="1" ht="14.25" customHeight="1" x14ac:dyDescent="0.2">
      <c r="A547" s="29" t="s">
        <v>552</v>
      </c>
      <c r="B547" s="105" t="s">
        <v>259</v>
      </c>
      <c r="C547" s="105" t="s">
        <v>8</v>
      </c>
      <c r="D547" s="106"/>
      <c r="E547" s="106"/>
      <c r="F547" s="53">
        <f t="shared" ref="F547:H547" si="87">F548</f>
        <v>78248.5</v>
      </c>
      <c r="G547" s="53">
        <f t="shared" si="87"/>
        <v>71237.900000000009</v>
      </c>
      <c r="H547" s="53">
        <f t="shared" si="87"/>
        <v>69032.600000000006</v>
      </c>
    </row>
    <row r="548" spans="1:11" s="50" customFormat="1" ht="42" customHeight="1" x14ac:dyDescent="0.2">
      <c r="A548" s="59" t="s">
        <v>162</v>
      </c>
      <c r="B548" s="34" t="s">
        <v>259</v>
      </c>
      <c r="C548" s="34" t="s">
        <v>8</v>
      </c>
      <c r="D548" s="25" t="s">
        <v>163</v>
      </c>
      <c r="E548" s="34"/>
      <c r="F548" s="26">
        <f>F549+F565</f>
        <v>78248.5</v>
      </c>
      <c r="G548" s="26">
        <f>G549+G565</f>
        <v>71237.900000000009</v>
      </c>
      <c r="H548" s="26">
        <f>H549+H565</f>
        <v>69032.600000000006</v>
      </c>
      <c r="I548" s="3"/>
      <c r="J548" s="3"/>
      <c r="K548" s="3"/>
    </row>
    <row r="549" spans="1:11" s="50" customFormat="1" ht="17.25" customHeight="1" x14ac:dyDescent="0.2">
      <c r="A549" s="40" t="s">
        <v>50</v>
      </c>
      <c r="B549" s="34" t="s">
        <v>259</v>
      </c>
      <c r="C549" s="34" t="s">
        <v>8</v>
      </c>
      <c r="D549" s="25" t="s">
        <v>164</v>
      </c>
      <c r="E549" s="51"/>
      <c r="F549" s="26">
        <f>F550+F562</f>
        <v>13532</v>
      </c>
      <c r="G549" s="26">
        <f>G550+G562</f>
        <v>2105.3000000000002</v>
      </c>
      <c r="H549" s="26">
        <f>H550+H562</f>
        <v>0</v>
      </c>
      <c r="I549" s="3"/>
      <c r="J549" s="3"/>
      <c r="K549" s="3"/>
    </row>
    <row r="550" spans="1:11" s="50" customFormat="1" ht="28.5" customHeight="1" x14ac:dyDescent="0.2">
      <c r="A550" s="40" t="s">
        <v>553</v>
      </c>
      <c r="B550" s="34" t="s">
        <v>259</v>
      </c>
      <c r="C550" s="34" t="s">
        <v>8</v>
      </c>
      <c r="D550" s="25" t="s">
        <v>554</v>
      </c>
      <c r="E550" s="51"/>
      <c r="F550" s="26">
        <f>F554+F558+F551</f>
        <v>13432</v>
      </c>
      <c r="G550" s="26">
        <f t="shared" ref="G550:H550" si="88">G554+G558+G551</f>
        <v>2105.3000000000002</v>
      </c>
      <c r="H550" s="26">
        <f t="shared" si="88"/>
        <v>0</v>
      </c>
      <c r="I550" s="3"/>
      <c r="J550" s="3"/>
      <c r="K550" s="3"/>
    </row>
    <row r="551" spans="1:11" s="50" customFormat="1" ht="25.5" customHeight="1" x14ac:dyDescent="0.2">
      <c r="A551" s="91" t="s">
        <v>555</v>
      </c>
      <c r="B551" s="34" t="s">
        <v>259</v>
      </c>
      <c r="C551" s="34" t="s">
        <v>8</v>
      </c>
      <c r="D551" s="25" t="s">
        <v>556</v>
      </c>
      <c r="E551" s="51"/>
      <c r="F551" s="26">
        <f>F552+F553</f>
        <v>365</v>
      </c>
      <c r="G551" s="26">
        <f t="shared" ref="G551:H551" si="89">G552</f>
        <v>0</v>
      </c>
      <c r="H551" s="26">
        <f t="shared" si="89"/>
        <v>0</v>
      </c>
      <c r="I551" s="3"/>
      <c r="J551" s="3"/>
      <c r="K551" s="3"/>
    </row>
    <row r="552" spans="1:11" s="50" customFormat="1" ht="16.5" customHeight="1" x14ac:dyDescent="0.2">
      <c r="A552" s="86" t="s">
        <v>124</v>
      </c>
      <c r="B552" s="34" t="s">
        <v>259</v>
      </c>
      <c r="C552" s="34" t="s">
        <v>8</v>
      </c>
      <c r="D552" s="25" t="s">
        <v>556</v>
      </c>
      <c r="E552" s="51" t="s">
        <v>125</v>
      </c>
      <c r="F552" s="26">
        <v>205</v>
      </c>
      <c r="G552" s="26">
        <v>0</v>
      </c>
      <c r="H552" s="39">
        <v>0</v>
      </c>
      <c r="I552" s="3"/>
      <c r="J552" s="3"/>
      <c r="K552" s="3"/>
    </row>
    <row r="553" spans="1:11" s="50" customFormat="1" ht="16.5" customHeight="1" x14ac:dyDescent="0.2">
      <c r="A553" s="68" t="s">
        <v>170</v>
      </c>
      <c r="B553" s="34" t="s">
        <v>259</v>
      </c>
      <c r="C553" s="34" t="s">
        <v>8</v>
      </c>
      <c r="D553" s="25" t="s">
        <v>556</v>
      </c>
      <c r="E553" s="51" t="s">
        <v>171</v>
      </c>
      <c r="F553" s="26">
        <v>160</v>
      </c>
      <c r="G553" s="26">
        <v>0</v>
      </c>
      <c r="H553" s="39">
        <v>0</v>
      </c>
      <c r="I553" s="3"/>
      <c r="J553" s="3"/>
      <c r="K553" s="3"/>
    </row>
    <row r="554" spans="1:11" s="50" customFormat="1" ht="42" customHeight="1" x14ac:dyDescent="0.2">
      <c r="A554" s="40" t="s">
        <v>557</v>
      </c>
      <c r="B554" s="34" t="s">
        <v>259</v>
      </c>
      <c r="C554" s="34" t="s">
        <v>8</v>
      </c>
      <c r="D554" s="25" t="s">
        <v>558</v>
      </c>
      <c r="E554" s="51"/>
      <c r="F554" s="26">
        <f>F555+F556+F557</f>
        <v>10215</v>
      </c>
      <c r="G554" s="26">
        <f>G555+G556+G557</f>
        <v>2105.3000000000002</v>
      </c>
      <c r="H554" s="26">
        <f>H555+H556+H557</f>
        <v>0</v>
      </c>
      <c r="I554" s="3"/>
      <c r="J554" s="3"/>
      <c r="K554" s="3"/>
    </row>
    <row r="555" spans="1:11" s="50" customFormat="1" ht="24.75" customHeight="1" x14ac:dyDescent="0.2">
      <c r="A555" s="37" t="s">
        <v>28</v>
      </c>
      <c r="B555" s="34" t="s">
        <v>259</v>
      </c>
      <c r="C555" s="34" t="s">
        <v>8</v>
      </c>
      <c r="D555" s="25" t="s">
        <v>558</v>
      </c>
      <c r="E555" s="51" t="s">
        <v>29</v>
      </c>
      <c r="F555" s="26">
        <f>2500+340+77.3+37.8</f>
        <v>2955.1000000000004</v>
      </c>
      <c r="G555" s="26">
        <v>0</v>
      </c>
      <c r="H555" s="26">
        <v>0</v>
      </c>
      <c r="I555" s="3"/>
      <c r="J555" s="3"/>
      <c r="K555" s="3"/>
    </row>
    <row r="556" spans="1:11" s="50" customFormat="1" ht="14.25" customHeight="1" x14ac:dyDescent="0.2">
      <c r="A556" s="103" t="s">
        <v>169</v>
      </c>
      <c r="B556" s="34" t="s">
        <v>259</v>
      </c>
      <c r="C556" s="34" t="s">
        <v>8</v>
      </c>
      <c r="D556" s="25" t="s">
        <v>558</v>
      </c>
      <c r="E556" s="51" t="s">
        <v>125</v>
      </c>
      <c r="F556" s="26">
        <f>2000+105.3</f>
        <v>2105.3000000000002</v>
      </c>
      <c r="G556" s="26">
        <f>2000+105.3</f>
        <v>2105.3000000000002</v>
      </c>
      <c r="H556" s="26">
        <v>0</v>
      </c>
      <c r="I556" s="3"/>
      <c r="J556" s="3"/>
      <c r="K556" s="3"/>
    </row>
    <row r="557" spans="1:11" s="50" customFormat="1" ht="14.25" customHeight="1" x14ac:dyDescent="0.2">
      <c r="A557" s="68" t="s">
        <v>170</v>
      </c>
      <c r="B557" s="34" t="s">
        <v>259</v>
      </c>
      <c r="C557" s="34" t="s">
        <v>8</v>
      </c>
      <c r="D557" s="25" t="s">
        <v>558</v>
      </c>
      <c r="E557" s="51" t="s">
        <v>171</v>
      </c>
      <c r="F557" s="26">
        <f>5000+154.6</f>
        <v>5154.6000000000004</v>
      </c>
      <c r="G557" s="26">
        <v>0</v>
      </c>
      <c r="H557" s="26">
        <v>0</v>
      </c>
      <c r="I557" s="3"/>
      <c r="J557" s="3"/>
      <c r="K557" s="3"/>
    </row>
    <row r="558" spans="1:11" s="50" customFormat="1" ht="27" customHeight="1" x14ac:dyDescent="0.2">
      <c r="A558" s="59" t="s">
        <v>559</v>
      </c>
      <c r="B558" s="34" t="s">
        <v>259</v>
      </c>
      <c r="C558" s="34" t="s">
        <v>8</v>
      </c>
      <c r="D558" s="25" t="s">
        <v>649</v>
      </c>
      <c r="E558" s="34"/>
      <c r="F558" s="26">
        <f>F559+F560+F561</f>
        <v>2852</v>
      </c>
      <c r="G558" s="26">
        <f>G559+G560+G561</f>
        <v>0</v>
      </c>
      <c r="H558" s="26">
        <f>H559+H560+H561</f>
        <v>0</v>
      </c>
      <c r="I558" s="3"/>
      <c r="J558" s="3"/>
      <c r="K558" s="3"/>
    </row>
    <row r="559" spans="1:11" s="50" customFormat="1" ht="30" customHeight="1" x14ac:dyDescent="0.2">
      <c r="A559" s="20" t="s">
        <v>28</v>
      </c>
      <c r="B559" s="34" t="s">
        <v>259</v>
      </c>
      <c r="C559" s="34" t="s">
        <v>8</v>
      </c>
      <c r="D559" s="25" t="s">
        <v>649</v>
      </c>
      <c r="E559" s="51" t="s">
        <v>29</v>
      </c>
      <c r="F559" s="26">
        <f>2800+52</f>
        <v>2852</v>
      </c>
      <c r="G559" s="26">
        <v>0</v>
      </c>
      <c r="H559" s="26">
        <v>0</v>
      </c>
      <c r="I559" s="3"/>
      <c r="J559" s="3"/>
      <c r="K559" s="3"/>
    </row>
    <row r="560" spans="1:11" s="50" customFormat="1" ht="15" hidden="1" customHeight="1" x14ac:dyDescent="0.2">
      <c r="A560" s="59" t="s">
        <v>169</v>
      </c>
      <c r="B560" s="34" t="s">
        <v>259</v>
      </c>
      <c r="C560" s="34" t="s">
        <v>8</v>
      </c>
      <c r="D560" s="25" t="s">
        <v>560</v>
      </c>
      <c r="E560" s="51" t="s">
        <v>125</v>
      </c>
      <c r="F560" s="26"/>
      <c r="G560" s="26"/>
      <c r="H560" s="26">
        <v>0</v>
      </c>
      <c r="I560" s="3"/>
      <c r="J560" s="3"/>
      <c r="K560" s="3"/>
    </row>
    <row r="561" spans="1:11" s="50" customFormat="1" ht="16.5" hidden="1" customHeight="1" x14ac:dyDescent="0.2">
      <c r="A561" s="68" t="s">
        <v>170</v>
      </c>
      <c r="B561" s="34" t="s">
        <v>259</v>
      </c>
      <c r="C561" s="34" t="s">
        <v>8</v>
      </c>
      <c r="D561" s="25" t="s">
        <v>560</v>
      </c>
      <c r="E561" s="51" t="s">
        <v>171</v>
      </c>
      <c r="F561" s="26">
        <v>0</v>
      </c>
      <c r="G561" s="26">
        <v>0</v>
      </c>
      <c r="H561" s="26">
        <v>0</v>
      </c>
      <c r="I561" s="3"/>
      <c r="J561" s="3"/>
      <c r="K561" s="3"/>
    </row>
    <row r="562" spans="1:11" s="50" customFormat="1" ht="16.5" customHeight="1" x14ac:dyDescent="0.2">
      <c r="A562" s="20" t="s">
        <v>561</v>
      </c>
      <c r="B562" s="34" t="s">
        <v>259</v>
      </c>
      <c r="C562" s="34" t="s">
        <v>8</v>
      </c>
      <c r="D562" s="25" t="s">
        <v>562</v>
      </c>
      <c r="E562" s="51"/>
      <c r="F562" s="26">
        <f t="shared" ref="F562:H563" si="90">F563</f>
        <v>100</v>
      </c>
      <c r="G562" s="26">
        <f t="shared" si="90"/>
        <v>0</v>
      </c>
      <c r="H562" s="26">
        <f t="shared" si="90"/>
        <v>0</v>
      </c>
      <c r="I562" s="3"/>
      <c r="J562" s="3"/>
      <c r="K562" s="3"/>
    </row>
    <row r="563" spans="1:11" s="50" customFormat="1" ht="28.5" customHeight="1" x14ac:dyDescent="0.2">
      <c r="A563" s="20" t="s">
        <v>563</v>
      </c>
      <c r="B563" s="34" t="s">
        <v>259</v>
      </c>
      <c r="C563" s="34" t="s">
        <v>8</v>
      </c>
      <c r="D563" s="25" t="s">
        <v>564</v>
      </c>
      <c r="E563" s="51"/>
      <c r="F563" s="26">
        <f t="shared" si="90"/>
        <v>100</v>
      </c>
      <c r="G563" s="26">
        <f t="shared" si="90"/>
        <v>0</v>
      </c>
      <c r="H563" s="26">
        <f t="shared" si="90"/>
        <v>0</v>
      </c>
      <c r="I563" s="3"/>
      <c r="J563" s="3"/>
      <c r="K563" s="3"/>
    </row>
    <row r="564" spans="1:11" s="50" customFormat="1" ht="15.75" customHeight="1" x14ac:dyDescent="0.2">
      <c r="A564" s="59" t="s">
        <v>169</v>
      </c>
      <c r="B564" s="34" t="s">
        <v>259</v>
      </c>
      <c r="C564" s="34" t="s">
        <v>8</v>
      </c>
      <c r="D564" s="25" t="s">
        <v>564</v>
      </c>
      <c r="E564" s="51" t="s">
        <v>125</v>
      </c>
      <c r="F564" s="26">
        <f>100</f>
        <v>100</v>
      </c>
      <c r="G564" s="26">
        <v>0</v>
      </c>
      <c r="H564" s="26">
        <v>0</v>
      </c>
      <c r="I564" s="3"/>
      <c r="J564" s="3"/>
      <c r="K564" s="3"/>
    </row>
    <row r="565" spans="1:11" s="50" customFormat="1" ht="16.5" customHeight="1" x14ac:dyDescent="0.2">
      <c r="A565" s="68" t="s">
        <v>13</v>
      </c>
      <c r="B565" s="34" t="s">
        <v>259</v>
      </c>
      <c r="C565" s="34" t="s">
        <v>8</v>
      </c>
      <c r="D565" s="25" t="s">
        <v>172</v>
      </c>
      <c r="E565" s="51"/>
      <c r="F565" s="26">
        <f>F566+F571</f>
        <v>64716.5</v>
      </c>
      <c r="G565" s="26">
        <f>G566+G571</f>
        <v>69132.600000000006</v>
      </c>
      <c r="H565" s="26">
        <f>H566+H571</f>
        <v>69032.600000000006</v>
      </c>
      <c r="I565" s="3"/>
      <c r="J565" s="3"/>
      <c r="K565" s="3"/>
    </row>
    <row r="566" spans="1:11" s="50" customFormat="1" ht="42" customHeight="1" x14ac:dyDescent="0.2">
      <c r="A566" s="40" t="s">
        <v>565</v>
      </c>
      <c r="B566" s="34" t="s">
        <v>259</v>
      </c>
      <c r="C566" s="34" t="s">
        <v>8</v>
      </c>
      <c r="D566" s="25" t="s">
        <v>566</v>
      </c>
      <c r="E566" s="51"/>
      <c r="F566" s="26">
        <f>F567</f>
        <v>530</v>
      </c>
      <c r="G566" s="26">
        <f>G567</f>
        <v>504.9</v>
      </c>
      <c r="H566" s="26">
        <f>H567</f>
        <v>504.9</v>
      </c>
      <c r="I566" s="3"/>
      <c r="J566" s="3"/>
      <c r="K566" s="3"/>
    </row>
    <row r="567" spans="1:11" s="50" customFormat="1" ht="16.5" customHeight="1" x14ac:dyDescent="0.2">
      <c r="A567" s="59" t="s">
        <v>567</v>
      </c>
      <c r="B567" s="34" t="s">
        <v>259</v>
      </c>
      <c r="C567" s="34" t="s">
        <v>8</v>
      </c>
      <c r="D567" s="25" t="s">
        <v>568</v>
      </c>
      <c r="E567" s="51"/>
      <c r="F567" s="26">
        <f>F568+F569+F570</f>
        <v>530</v>
      </c>
      <c r="G567" s="26">
        <f>G568+G569+G570</f>
        <v>504.9</v>
      </c>
      <c r="H567" s="26">
        <f>H568+H569+H570</f>
        <v>504.9</v>
      </c>
      <c r="I567" s="3"/>
      <c r="J567" s="3"/>
      <c r="K567" s="3"/>
    </row>
    <row r="568" spans="1:11" s="50" customFormat="1" ht="25.5" customHeight="1" x14ac:dyDescent="0.2">
      <c r="A568" s="20" t="s">
        <v>28</v>
      </c>
      <c r="B568" s="34" t="s">
        <v>259</v>
      </c>
      <c r="C568" s="34" t="s">
        <v>8</v>
      </c>
      <c r="D568" s="25" t="s">
        <v>568</v>
      </c>
      <c r="E568" s="51" t="s">
        <v>29</v>
      </c>
      <c r="F568" s="26">
        <v>320</v>
      </c>
      <c r="G568" s="26">
        <v>319.89999999999998</v>
      </c>
      <c r="H568" s="26">
        <v>319.89999999999998</v>
      </c>
      <c r="I568" s="69"/>
      <c r="J568" s="3"/>
      <c r="K568" s="3"/>
    </row>
    <row r="569" spans="1:11" s="50" customFormat="1" ht="16.5" customHeight="1" x14ac:dyDescent="0.2">
      <c r="A569" s="59" t="s">
        <v>169</v>
      </c>
      <c r="B569" s="34" t="s">
        <v>259</v>
      </c>
      <c r="C569" s="34" t="s">
        <v>8</v>
      </c>
      <c r="D569" s="25" t="s">
        <v>568</v>
      </c>
      <c r="E569" s="51" t="s">
        <v>125</v>
      </c>
      <c r="F569" s="26">
        <v>160</v>
      </c>
      <c r="G569" s="26">
        <v>135</v>
      </c>
      <c r="H569" s="39">
        <v>135</v>
      </c>
      <c r="I569" s="69"/>
      <c r="J569" s="3"/>
      <c r="K569" s="3"/>
    </row>
    <row r="570" spans="1:11" s="50" customFormat="1" ht="16.5" customHeight="1" x14ac:dyDescent="0.2">
      <c r="A570" s="68" t="s">
        <v>170</v>
      </c>
      <c r="B570" s="34" t="s">
        <v>259</v>
      </c>
      <c r="C570" s="34" t="s">
        <v>8</v>
      </c>
      <c r="D570" s="25" t="s">
        <v>568</v>
      </c>
      <c r="E570" s="51" t="s">
        <v>171</v>
      </c>
      <c r="F570" s="26">
        <v>50</v>
      </c>
      <c r="G570" s="26">
        <v>50</v>
      </c>
      <c r="H570" s="39">
        <v>50</v>
      </c>
      <c r="I570" s="69"/>
      <c r="J570" s="3"/>
      <c r="K570" s="3"/>
    </row>
    <row r="571" spans="1:11" s="50" customFormat="1" ht="24.75" customHeight="1" x14ac:dyDescent="0.2">
      <c r="A571" s="40" t="s">
        <v>524</v>
      </c>
      <c r="B571" s="34" t="s">
        <v>259</v>
      </c>
      <c r="C571" s="34" t="s">
        <v>8</v>
      </c>
      <c r="D571" s="25" t="s">
        <v>286</v>
      </c>
      <c r="E571" s="51"/>
      <c r="F571" s="26">
        <f>F572+F577</f>
        <v>64186.5</v>
      </c>
      <c r="G571" s="26">
        <f>G572+G577</f>
        <v>68627.700000000012</v>
      </c>
      <c r="H571" s="26">
        <f>H572+H577</f>
        <v>68527.700000000012</v>
      </c>
      <c r="I571" s="3"/>
      <c r="J571" s="3"/>
      <c r="K571" s="3"/>
    </row>
    <row r="572" spans="1:11" s="50" customFormat="1" ht="24.75" customHeight="1" x14ac:dyDescent="0.2">
      <c r="A572" s="40" t="s">
        <v>181</v>
      </c>
      <c r="B572" s="34" t="s">
        <v>259</v>
      </c>
      <c r="C572" s="34" t="s">
        <v>8</v>
      </c>
      <c r="D572" s="25" t="s">
        <v>569</v>
      </c>
      <c r="E572" s="51"/>
      <c r="F572" s="26">
        <f>F573+F574+F575+F576</f>
        <v>34651.800000000003</v>
      </c>
      <c r="G572" s="26">
        <f>G573+G574+G575+G576</f>
        <v>39038.600000000006</v>
      </c>
      <c r="H572" s="26">
        <f>H573+H574+H575+H576</f>
        <v>38938.600000000006</v>
      </c>
      <c r="I572" s="3"/>
      <c r="J572" s="3"/>
      <c r="K572" s="3"/>
    </row>
    <row r="573" spans="1:11" s="50" customFormat="1" ht="16.5" customHeight="1" x14ac:dyDescent="0.2">
      <c r="A573" s="20" t="s">
        <v>152</v>
      </c>
      <c r="B573" s="34" t="s">
        <v>259</v>
      </c>
      <c r="C573" s="34" t="s">
        <v>8</v>
      </c>
      <c r="D573" s="25" t="s">
        <v>569</v>
      </c>
      <c r="E573" s="51" t="s">
        <v>153</v>
      </c>
      <c r="F573" s="26">
        <v>45.2</v>
      </c>
      <c r="G573" s="26">
        <v>45.2</v>
      </c>
      <c r="H573" s="39">
        <v>45.2</v>
      </c>
      <c r="I573" s="3"/>
      <c r="J573" s="3"/>
      <c r="K573" s="3"/>
    </row>
    <row r="574" spans="1:11" s="50" customFormat="1" ht="24.75" customHeight="1" x14ac:dyDescent="0.2">
      <c r="A574" s="20" t="s">
        <v>28</v>
      </c>
      <c r="B574" s="34" t="s">
        <v>259</v>
      </c>
      <c r="C574" s="34" t="s">
        <v>8</v>
      </c>
      <c r="D574" s="25" t="s">
        <v>569</v>
      </c>
      <c r="E574" s="51" t="s">
        <v>29</v>
      </c>
      <c r="F574" s="26">
        <v>3800</v>
      </c>
      <c r="G574" s="26">
        <v>3800</v>
      </c>
      <c r="H574" s="26">
        <v>3800</v>
      </c>
      <c r="I574" s="3"/>
      <c r="J574" s="3"/>
      <c r="K574" s="3"/>
    </row>
    <row r="575" spans="1:11" s="50" customFormat="1" ht="16.5" customHeight="1" x14ac:dyDescent="0.2">
      <c r="A575" s="40" t="s">
        <v>169</v>
      </c>
      <c r="B575" s="34" t="s">
        <v>259</v>
      </c>
      <c r="C575" s="34" t="s">
        <v>8</v>
      </c>
      <c r="D575" s="25" t="s">
        <v>569</v>
      </c>
      <c r="E575" s="51" t="s">
        <v>125</v>
      </c>
      <c r="F575" s="26">
        <f>6060.6-250+1154.5+1666.5</f>
        <v>8631.6</v>
      </c>
      <c r="G575" s="26">
        <f>5330+1154.5+1666.5</f>
        <v>8151</v>
      </c>
      <c r="H575" s="39">
        <f>5330+1154.5+1666.5</f>
        <v>8151</v>
      </c>
      <c r="I575" s="94"/>
      <c r="J575" s="3"/>
      <c r="K575" s="3"/>
    </row>
    <row r="576" spans="1:11" s="50" customFormat="1" ht="15.75" customHeight="1" x14ac:dyDescent="0.2">
      <c r="A576" s="123" t="s">
        <v>170</v>
      </c>
      <c r="B576" s="34" t="s">
        <v>259</v>
      </c>
      <c r="C576" s="34" t="s">
        <v>8</v>
      </c>
      <c r="D576" s="25" t="s">
        <v>569</v>
      </c>
      <c r="E576" s="51" t="s">
        <v>171</v>
      </c>
      <c r="F576" s="26">
        <f>26242.4+150+267.2-266-1300-66.6-2800-52</f>
        <v>22175.000000000004</v>
      </c>
      <c r="G576" s="26">
        <f>26242.4+800</f>
        <v>27042.400000000001</v>
      </c>
      <c r="H576" s="26">
        <f>26242.4+700</f>
        <v>26942.400000000001</v>
      </c>
      <c r="I576" s="94"/>
      <c r="J576" s="3"/>
      <c r="K576" s="3"/>
    </row>
    <row r="577" spans="1:11" s="50" customFormat="1" ht="27.75" customHeight="1" x14ac:dyDescent="0.2">
      <c r="A577" s="59" t="s">
        <v>42</v>
      </c>
      <c r="B577" s="34" t="s">
        <v>259</v>
      </c>
      <c r="C577" s="34" t="s">
        <v>8</v>
      </c>
      <c r="D577" s="25" t="s">
        <v>570</v>
      </c>
      <c r="E577" s="51"/>
      <c r="F577" s="26">
        <f>F578+F579+F580</f>
        <v>29534.7</v>
      </c>
      <c r="G577" s="26">
        <f>G578+G579+G580</f>
        <v>29589.1</v>
      </c>
      <c r="H577" s="26">
        <f>H578+H579+H580</f>
        <v>29589.1</v>
      </c>
      <c r="I577" s="3"/>
      <c r="J577" s="3"/>
      <c r="K577" s="3"/>
    </row>
    <row r="578" spans="1:11" s="50" customFormat="1" ht="16.5" customHeight="1" x14ac:dyDescent="0.2">
      <c r="A578" s="37" t="s">
        <v>152</v>
      </c>
      <c r="B578" s="34" t="s">
        <v>259</v>
      </c>
      <c r="C578" s="34" t="s">
        <v>8</v>
      </c>
      <c r="D578" s="25" t="s">
        <v>570</v>
      </c>
      <c r="E578" s="51" t="s">
        <v>153</v>
      </c>
      <c r="F578" s="26">
        <f>16192-1300</f>
        <v>14892</v>
      </c>
      <c r="G578" s="26">
        <v>16192</v>
      </c>
      <c r="H578" s="39">
        <v>16192</v>
      </c>
      <c r="I578" s="94"/>
      <c r="J578" s="3"/>
      <c r="K578" s="3"/>
    </row>
    <row r="579" spans="1:11" s="50" customFormat="1" ht="13.5" customHeight="1" x14ac:dyDescent="0.2">
      <c r="A579" s="103" t="s">
        <v>169</v>
      </c>
      <c r="B579" s="34" t="s">
        <v>259</v>
      </c>
      <c r="C579" s="34" t="s">
        <v>8</v>
      </c>
      <c r="D579" s="25" t="s">
        <v>570</v>
      </c>
      <c r="E579" s="51" t="s">
        <v>125</v>
      </c>
      <c r="F579" s="26">
        <f>9122.2+4939.3-718.8</f>
        <v>13342.7</v>
      </c>
      <c r="G579" s="26">
        <f>9122.2+4939.3+54.4-718.8</f>
        <v>13397.1</v>
      </c>
      <c r="H579" s="26">
        <f>9122.2+4939.3+54.4-718.8</f>
        <v>13397.1</v>
      </c>
      <c r="I579" s="3"/>
      <c r="J579" s="3"/>
      <c r="K579" s="3"/>
    </row>
    <row r="580" spans="1:11" s="50" customFormat="1" ht="14.25" customHeight="1" x14ac:dyDescent="0.2">
      <c r="A580" s="68" t="s">
        <v>170</v>
      </c>
      <c r="B580" s="34" t="s">
        <v>259</v>
      </c>
      <c r="C580" s="34" t="s">
        <v>8</v>
      </c>
      <c r="D580" s="25" t="s">
        <v>570</v>
      </c>
      <c r="E580" s="51" t="s">
        <v>171</v>
      </c>
      <c r="F580" s="26">
        <v>1300</v>
      </c>
      <c r="G580" s="26">
        <v>0</v>
      </c>
      <c r="H580" s="26">
        <v>0</v>
      </c>
      <c r="I580" s="3"/>
      <c r="J580" s="3"/>
      <c r="K580" s="3"/>
    </row>
    <row r="581" spans="1:11" s="50" customFormat="1" ht="14.25" customHeight="1" x14ac:dyDescent="0.2">
      <c r="A581" s="74" t="s">
        <v>571</v>
      </c>
      <c r="B581" s="54" t="s">
        <v>259</v>
      </c>
      <c r="C581" s="54" t="s">
        <v>31</v>
      </c>
      <c r="D581" s="81"/>
      <c r="E581" s="99"/>
      <c r="F581" s="53">
        <f>F582</f>
        <v>69896.899999999994</v>
      </c>
      <c r="G581" s="53">
        <f t="shared" ref="G581:H585" si="91">G582</f>
        <v>0</v>
      </c>
      <c r="H581" s="53">
        <f t="shared" si="91"/>
        <v>0</v>
      </c>
      <c r="I581" s="3"/>
      <c r="J581" s="3"/>
      <c r="K581" s="3"/>
    </row>
    <row r="582" spans="1:11" s="50" customFormat="1" ht="38.25" x14ac:dyDescent="0.2">
      <c r="A582" s="59" t="s">
        <v>162</v>
      </c>
      <c r="B582" s="34" t="s">
        <v>259</v>
      </c>
      <c r="C582" s="34" t="s">
        <v>31</v>
      </c>
      <c r="D582" s="25" t="s">
        <v>163</v>
      </c>
      <c r="E582" s="51"/>
      <c r="F582" s="26">
        <f>F583</f>
        <v>69896.899999999994</v>
      </c>
      <c r="G582" s="26">
        <f t="shared" si="91"/>
        <v>0</v>
      </c>
      <c r="H582" s="26">
        <f t="shared" si="91"/>
        <v>0</v>
      </c>
      <c r="I582" s="3"/>
      <c r="J582" s="3"/>
      <c r="K582" s="3"/>
    </row>
    <row r="583" spans="1:11" s="50" customFormat="1" ht="15" customHeight="1" x14ac:dyDescent="0.2">
      <c r="A583" s="40" t="s">
        <v>50</v>
      </c>
      <c r="B583" s="34" t="s">
        <v>259</v>
      </c>
      <c r="C583" s="34" t="s">
        <v>31</v>
      </c>
      <c r="D583" s="25" t="s">
        <v>164</v>
      </c>
      <c r="E583" s="51"/>
      <c r="F583" s="26">
        <f>F584</f>
        <v>69896.899999999994</v>
      </c>
      <c r="G583" s="26">
        <f t="shared" si="91"/>
        <v>0</v>
      </c>
      <c r="H583" s="26">
        <f t="shared" si="91"/>
        <v>0</v>
      </c>
      <c r="I583" s="3"/>
      <c r="J583" s="3"/>
      <c r="K583" s="3"/>
    </row>
    <row r="584" spans="1:11" s="50" customFormat="1" ht="26.25" customHeight="1" x14ac:dyDescent="0.2">
      <c r="A584" s="40" t="s">
        <v>553</v>
      </c>
      <c r="B584" s="34" t="s">
        <v>259</v>
      </c>
      <c r="C584" s="34" t="s">
        <v>31</v>
      </c>
      <c r="D584" s="25" t="s">
        <v>554</v>
      </c>
      <c r="E584" s="51"/>
      <c r="F584" s="26">
        <f>F585</f>
        <v>69896.899999999994</v>
      </c>
      <c r="G584" s="26">
        <f>G585</f>
        <v>0</v>
      </c>
      <c r="H584" s="26">
        <f>H585</f>
        <v>0</v>
      </c>
      <c r="I584" s="3"/>
      <c r="J584" s="3"/>
      <c r="K584" s="3"/>
    </row>
    <row r="585" spans="1:11" s="50" customFormat="1" ht="14.25" customHeight="1" x14ac:dyDescent="0.2">
      <c r="A585" s="40" t="s">
        <v>572</v>
      </c>
      <c r="B585" s="34" t="s">
        <v>259</v>
      </c>
      <c r="C585" s="34" t="s">
        <v>31</v>
      </c>
      <c r="D585" s="25" t="s">
        <v>573</v>
      </c>
      <c r="E585" s="51"/>
      <c r="F585" s="26">
        <f>F586</f>
        <v>69896.899999999994</v>
      </c>
      <c r="G585" s="26">
        <f t="shared" si="91"/>
        <v>0</v>
      </c>
      <c r="H585" s="26">
        <f t="shared" si="91"/>
        <v>0</v>
      </c>
      <c r="I585" s="94"/>
      <c r="J585" s="3"/>
      <c r="K585" s="3"/>
    </row>
    <row r="586" spans="1:11" s="50" customFormat="1" ht="14.25" customHeight="1" x14ac:dyDescent="0.2">
      <c r="A586" s="64" t="s">
        <v>340</v>
      </c>
      <c r="B586" s="34" t="s">
        <v>259</v>
      </c>
      <c r="C586" s="34" t="s">
        <v>31</v>
      </c>
      <c r="D586" s="25" t="s">
        <v>573</v>
      </c>
      <c r="E586" s="51" t="s">
        <v>341</v>
      </c>
      <c r="F586" s="26">
        <f>67800+2096.9</f>
        <v>69896.899999999994</v>
      </c>
      <c r="G586" s="26">
        <v>0</v>
      </c>
      <c r="H586" s="39">
        <v>0</v>
      </c>
      <c r="I586" s="94"/>
      <c r="J586" s="3"/>
      <c r="K586" s="3"/>
    </row>
    <row r="587" spans="1:11" s="19" customFormat="1" ht="15" customHeight="1" x14ac:dyDescent="0.2">
      <c r="A587" s="120" t="s">
        <v>574</v>
      </c>
      <c r="B587" s="54" t="s">
        <v>197</v>
      </c>
      <c r="C587" s="34"/>
      <c r="D587" s="25"/>
      <c r="E587" s="54"/>
      <c r="F587" s="53">
        <f t="shared" ref="F587:H590" si="92">F588</f>
        <v>105.8</v>
      </c>
      <c r="G587" s="53">
        <f t="shared" si="92"/>
        <v>105.8</v>
      </c>
      <c r="H587" s="53">
        <f t="shared" si="92"/>
        <v>105.8</v>
      </c>
    </row>
    <row r="588" spans="1:11" s="19" customFormat="1" ht="15" customHeight="1" x14ac:dyDescent="0.2">
      <c r="A588" s="124" t="s">
        <v>575</v>
      </c>
      <c r="B588" s="54" t="s">
        <v>197</v>
      </c>
      <c r="C588" s="54" t="s">
        <v>91</v>
      </c>
      <c r="D588" s="81"/>
      <c r="E588" s="54"/>
      <c r="F588" s="53">
        <f t="shared" si="92"/>
        <v>105.8</v>
      </c>
      <c r="G588" s="53">
        <f t="shared" si="92"/>
        <v>105.8</v>
      </c>
      <c r="H588" s="53">
        <f t="shared" si="92"/>
        <v>105.8</v>
      </c>
    </row>
    <row r="589" spans="1:11" s="3" customFormat="1" ht="14.25" customHeight="1" x14ac:dyDescent="0.2">
      <c r="A589" s="91" t="s">
        <v>72</v>
      </c>
      <c r="B589" s="34" t="s">
        <v>197</v>
      </c>
      <c r="C589" s="34" t="s">
        <v>91</v>
      </c>
      <c r="D589" s="34" t="s">
        <v>73</v>
      </c>
      <c r="E589" s="34"/>
      <c r="F589" s="26">
        <f t="shared" si="92"/>
        <v>105.8</v>
      </c>
      <c r="G589" s="26">
        <f t="shared" si="92"/>
        <v>105.8</v>
      </c>
      <c r="H589" s="26">
        <f t="shared" si="92"/>
        <v>105.8</v>
      </c>
    </row>
    <row r="590" spans="1:11" s="3" customFormat="1" ht="75.75" customHeight="1" x14ac:dyDescent="0.2">
      <c r="A590" s="31" t="s">
        <v>576</v>
      </c>
      <c r="B590" s="34" t="s">
        <v>197</v>
      </c>
      <c r="C590" s="34" t="s">
        <v>91</v>
      </c>
      <c r="D590" s="25" t="s">
        <v>577</v>
      </c>
      <c r="E590" s="34"/>
      <c r="F590" s="26">
        <f t="shared" si="92"/>
        <v>105.8</v>
      </c>
      <c r="G590" s="26">
        <f t="shared" si="92"/>
        <v>105.8</v>
      </c>
      <c r="H590" s="26">
        <f t="shared" si="92"/>
        <v>105.8</v>
      </c>
    </row>
    <row r="591" spans="1:11" s="3" customFormat="1" ht="28.5" customHeight="1" x14ac:dyDescent="0.2">
      <c r="A591" s="31" t="s">
        <v>28</v>
      </c>
      <c r="B591" s="34" t="s">
        <v>197</v>
      </c>
      <c r="C591" s="34" t="s">
        <v>91</v>
      </c>
      <c r="D591" s="25" t="s">
        <v>577</v>
      </c>
      <c r="E591" s="34" t="s">
        <v>29</v>
      </c>
      <c r="F591" s="26">
        <v>105.8</v>
      </c>
      <c r="G591" s="26">
        <v>105.8</v>
      </c>
      <c r="H591" s="26">
        <v>105.8</v>
      </c>
    </row>
    <row r="592" spans="1:11" s="19" customFormat="1" ht="15.75" customHeight="1" x14ac:dyDescent="0.2">
      <c r="A592" s="29" t="s">
        <v>578</v>
      </c>
      <c r="B592" s="106">
        <v>10</v>
      </c>
      <c r="C592" s="106"/>
      <c r="D592" s="106"/>
      <c r="E592" s="106"/>
      <c r="F592" s="53">
        <f>F593+F600+F637+F644</f>
        <v>23995.7</v>
      </c>
      <c r="G592" s="53">
        <f>G593+G600+G637+G644</f>
        <v>10050</v>
      </c>
      <c r="H592" s="53">
        <f>H593+H600+H637+H644</f>
        <v>10050</v>
      </c>
    </row>
    <row r="593" spans="1:11" s="19" customFormat="1" ht="15" customHeight="1" x14ac:dyDescent="0.2">
      <c r="A593" s="125" t="s">
        <v>579</v>
      </c>
      <c r="B593" s="17">
        <v>10</v>
      </c>
      <c r="C593" s="17" t="s">
        <v>8</v>
      </c>
      <c r="D593" s="106"/>
      <c r="E593" s="106"/>
      <c r="F593" s="53">
        <f>F596</f>
        <v>2803.2</v>
      </c>
      <c r="G593" s="53">
        <f>G596</f>
        <v>2803.2</v>
      </c>
      <c r="H593" s="53">
        <f>H596</f>
        <v>2803.2</v>
      </c>
    </row>
    <row r="594" spans="1:11" s="19" customFormat="1" ht="27.75" customHeight="1" x14ac:dyDescent="0.2">
      <c r="A594" s="33" t="s">
        <v>32</v>
      </c>
      <c r="B594" s="34" t="s">
        <v>211</v>
      </c>
      <c r="C594" s="34" t="s">
        <v>8</v>
      </c>
      <c r="D594" s="126" t="s">
        <v>33</v>
      </c>
      <c r="E594" s="126"/>
      <c r="F594" s="26">
        <f t="shared" ref="F594:H596" si="93">F595</f>
        <v>2803.2</v>
      </c>
      <c r="G594" s="26">
        <f t="shared" si="93"/>
        <v>2803.2</v>
      </c>
      <c r="H594" s="26">
        <f t="shared" si="93"/>
        <v>2803.2</v>
      </c>
    </row>
    <row r="595" spans="1:11" s="19" customFormat="1" ht="12.75" customHeight="1" x14ac:dyDescent="0.2">
      <c r="A595" s="35" t="s">
        <v>13</v>
      </c>
      <c r="B595" s="34" t="s">
        <v>211</v>
      </c>
      <c r="C595" s="34" t="s">
        <v>8</v>
      </c>
      <c r="D595" s="126" t="s">
        <v>34</v>
      </c>
      <c r="E595" s="126"/>
      <c r="F595" s="26">
        <f t="shared" si="93"/>
        <v>2803.2</v>
      </c>
      <c r="G595" s="26">
        <f t="shared" si="93"/>
        <v>2803.2</v>
      </c>
      <c r="H595" s="26">
        <f t="shared" si="93"/>
        <v>2803.2</v>
      </c>
    </row>
    <row r="596" spans="1:11" s="3" customFormat="1" ht="42" customHeight="1" x14ac:dyDescent="0.2">
      <c r="A596" s="35" t="s">
        <v>129</v>
      </c>
      <c r="B596" s="34" t="s">
        <v>211</v>
      </c>
      <c r="C596" s="34" t="s">
        <v>8</v>
      </c>
      <c r="D596" s="34" t="s">
        <v>130</v>
      </c>
      <c r="E596" s="34"/>
      <c r="F596" s="26">
        <f t="shared" si="93"/>
        <v>2803.2</v>
      </c>
      <c r="G596" s="26">
        <f t="shared" si="93"/>
        <v>2803.2</v>
      </c>
      <c r="H596" s="26">
        <f t="shared" si="93"/>
        <v>2803.2</v>
      </c>
    </row>
    <row r="597" spans="1:11" s="3" customFormat="1" ht="12.75" customHeight="1" x14ac:dyDescent="0.2">
      <c r="A597" s="31" t="s">
        <v>580</v>
      </c>
      <c r="B597" s="34" t="s">
        <v>211</v>
      </c>
      <c r="C597" s="34" t="s">
        <v>8</v>
      </c>
      <c r="D597" s="36" t="s">
        <v>581</v>
      </c>
      <c r="E597" s="34"/>
      <c r="F597" s="26">
        <f>F599+F598</f>
        <v>2803.2</v>
      </c>
      <c r="G597" s="26">
        <f>G599+G598</f>
        <v>2803.2</v>
      </c>
      <c r="H597" s="26">
        <f>H599+H598</f>
        <v>2803.2</v>
      </c>
    </row>
    <row r="598" spans="1:11" s="3" customFormat="1" ht="27" customHeight="1" x14ac:dyDescent="0.2">
      <c r="A598" s="31" t="s">
        <v>28</v>
      </c>
      <c r="B598" s="34" t="s">
        <v>211</v>
      </c>
      <c r="C598" s="34" t="s">
        <v>8</v>
      </c>
      <c r="D598" s="36" t="s">
        <v>581</v>
      </c>
      <c r="E598" s="34" t="s">
        <v>29</v>
      </c>
      <c r="F598" s="26">
        <v>23</v>
      </c>
      <c r="G598" s="26">
        <v>23</v>
      </c>
      <c r="H598" s="26">
        <v>23</v>
      </c>
    </row>
    <row r="599" spans="1:11" s="3" customFormat="1" ht="14.25" customHeight="1" x14ac:dyDescent="0.2">
      <c r="A599" s="127" t="s">
        <v>582</v>
      </c>
      <c r="B599" s="34" t="s">
        <v>211</v>
      </c>
      <c r="C599" s="34" t="s">
        <v>8</v>
      </c>
      <c r="D599" s="36" t="s">
        <v>581</v>
      </c>
      <c r="E599" s="34" t="s">
        <v>583</v>
      </c>
      <c r="F599" s="26">
        <v>2780.2</v>
      </c>
      <c r="G599" s="26">
        <v>2780.2</v>
      </c>
      <c r="H599" s="26">
        <v>2780.2</v>
      </c>
    </row>
    <row r="600" spans="1:11" s="19" customFormat="1" ht="12.75" customHeight="1" x14ac:dyDescent="0.2">
      <c r="A600" s="128" t="s">
        <v>584</v>
      </c>
      <c r="B600" s="17" t="s">
        <v>211</v>
      </c>
      <c r="C600" s="17" t="s">
        <v>23</v>
      </c>
      <c r="D600" s="17"/>
      <c r="E600" s="17"/>
      <c r="F600" s="53">
        <f>F601+F604+F615+F620+F625</f>
        <v>20048.8</v>
      </c>
      <c r="G600" s="53">
        <f>G601+G604+G615+G620+G625</f>
        <v>7246.8</v>
      </c>
      <c r="H600" s="53">
        <f>H601+H604+H615+H620+H625</f>
        <v>7246.8</v>
      </c>
    </row>
    <row r="601" spans="1:11" s="3" customFormat="1" ht="15.75" hidden="1" customHeight="1" x14ac:dyDescent="0.2">
      <c r="A601" s="91" t="s">
        <v>72</v>
      </c>
      <c r="B601" s="21" t="s">
        <v>211</v>
      </c>
      <c r="C601" s="21" t="s">
        <v>23</v>
      </c>
      <c r="D601" s="21" t="s">
        <v>73</v>
      </c>
      <c r="E601" s="21"/>
      <c r="F601" s="26">
        <f t="shared" ref="F601:H602" si="94">F602</f>
        <v>0</v>
      </c>
      <c r="G601" s="26">
        <f t="shared" si="94"/>
        <v>0</v>
      </c>
      <c r="H601" s="26">
        <f t="shared" si="94"/>
        <v>0</v>
      </c>
    </row>
    <row r="602" spans="1:11" s="3" customFormat="1" ht="36.75" hidden="1" customHeight="1" x14ac:dyDescent="0.2">
      <c r="A602" s="91" t="s">
        <v>585</v>
      </c>
      <c r="B602" s="21" t="s">
        <v>211</v>
      </c>
      <c r="C602" s="21" t="s">
        <v>23</v>
      </c>
      <c r="D602" s="21" t="s">
        <v>586</v>
      </c>
      <c r="E602" s="21"/>
      <c r="F602" s="26">
        <f t="shared" si="94"/>
        <v>0</v>
      </c>
      <c r="G602" s="26">
        <f t="shared" si="94"/>
        <v>0</v>
      </c>
      <c r="H602" s="26">
        <f t="shared" si="94"/>
        <v>0</v>
      </c>
    </row>
    <row r="603" spans="1:11" s="3" customFormat="1" ht="24" hidden="1" customHeight="1" x14ac:dyDescent="0.2">
      <c r="A603" s="91" t="s">
        <v>587</v>
      </c>
      <c r="B603" s="21" t="s">
        <v>211</v>
      </c>
      <c r="C603" s="21" t="s">
        <v>23</v>
      </c>
      <c r="D603" s="21" t="s">
        <v>586</v>
      </c>
      <c r="E603" s="21" t="s">
        <v>588</v>
      </c>
      <c r="F603" s="26">
        <v>0</v>
      </c>
      <c r="G603" s="26">
        <v>0</v>
      </c>
      <c r="H603" s="26">
        <v>0</v>
      </c>
    </row>
    <row r="604" spans="1:11" s="3" customFormat="1" ht="26.25" customHeight="1" x14ac:dyDescent="0.2">
      <c r="A604" s="33" t="s">
        <v>32</v>
      </c>
      <c r="B604" s="34" t="s">
        <v>211</v>
      </c>
      <c r="C604" s="34" t="s">
        <v>23</v>
      </c>
      <c r="D604" s="36" t="s">
        <v>33</v>
      </c>
      <c r="E604" s="34"/>
      <c r="F604" s="26">
        <f t="shared" ref="F604:H605" si="95">F605</f>
        <v>8067.1</v>
      </c>
      <c r="G604" s="26">
        <f t="shared" si="95"/>
        <v>3207.1</v>
      </c>
      <c r="H604" s="26">
        <f t="shared" si="95"/>
        <v>3207.1</v>
      </c>
    </row>
    <row r="605" spans="1:11" s="3" customFormat="1" ht="15.75" customHeight="1" x14ac:dyDescent="0.2">
      <c r="A605" s="35" t="s">
        <v>13</v>
      </c>
      <c r="B605" s="34" t="s">
        <v>211</v>
      </c>
      <c r="C605" s="34" t="s">
        <v>23</v>
      </c>
      <c r="D605" s="36" t="s">
        <v>34</v>
      </c>
      <c r="E605" s="34"/>
      <c r="F605" s="26">
        <f t="shared" si="95"/>
        <v>8067.1</v>
      </c>
      <c r="G605" s="26">
        <f t="shared" si="95"/>
        <v>3207.1</v>
      </c>
      <c r="H605" s="26">
        <f t="shared" si="95"/>
        <v>3207.1</v>
      </c>
    </row>
    <row r="606" spans="1:11" s="50" customFormat="1" ht="39.75" customHeight="1" x14ac:dyDescent="0.2">
      <c r="A606" s="35" t="s">
        <v>129</v>
      </c>
      <c r="B606" s="34" t="s">
        <v>211</v>
      </c>
      <c r="C606" s="34" t="s">
        <v>23</v>
      </c>
      <c r="D606" s="36" t="s">
        <v>130</v>
      </c>
      <c r="E606" s="34"/>
      <c r="F606" s="26">
        <f>F607+F613</f>
        <v>8067.1</v>
      </c>
      <c r="G606" s="26">
        <f>G607+G613</f>
        <v>3207.1</v>
      </c>
      <c r="H606" s="26">
        <f>H607+H613</f>
        <v>3207.1</v>
      </c>
      <c r="I606" s="3"/>
      <c r="J606" s="3"/>
      <c r="K606" s="3"/>
    </row>
    <row r="607" spans="1:11" s="50" customFormat="1" ht="14.25" customHeight="1" x14ac:dyDescent="0.2">
      <c r="A607" s="129" t="s">
        <v>589</v>
      </c>
      <c r="B607" s="34" t="s">
        <v>211</v>
      </c>
      <c r="C607" s="34" t="s">
        <v>23</v>
      </c>
      <c r="D607" s="36" t="s">
        <v>590</v>
      </c>
      <c r="E607" s="34"/>
      <c r="F607" s="26">
        <f>F610+F611+F608+F609+F612</f>
        <v>3207.1</v>
      </c>
      <c r="G607" s="26">
        <f>G610+G611+G608+G609+G612</f>
        <v>3207.1</v>
      </c>
      <c r="H607" s="26">
        <f>H610+H611+H608+H609+H612</f>
        <v>3207.1</v>
      </c>
      <c r="I607" s="3"/>
      <c r="J607" s="3"/>
      <c r="K607" s="3"/>
    </row>
    <row r="608" spans="1:11" s="50" customFormat="1" ht="14.25" customHeight="1" x14ac:dyDescent="0.2">
      <c r="A608" s="67" t="s">
        <v>152</v>
      </c>
      <c r="B608" s="34" t="s">
        <v>211</v>
      </c>
      <c r="C608" s="34" t="s">
        <v>23</v>
      </c>
      <c r="D608" s="36" t="s">
        <v>590</v>
      </c>
      <c r="E608" s="34" t="s">
        <v>153</v>
      </c>
      <c r="F608" s="26">
        <v>540</v>
      </c>
      <c r="G608" s="26">
        <v>540</v>
      </c>
      <c r="H608" s="26">
        <v>540</v>
      </c>
      <c r="I608" s="3"/>
      <c r="J608" s="3"/>
      <c r="K608" s="3"/>
    </row>
    <row r="609" spans="1:11" s="50" customFormat="1" ht="25.5" customHeight="1" x14ac:dyDescent="0.2">
      <c r="A609" s="31" t="s">
        <v>28</v>
      </c>
      <c r="B609" s="34" t="s">
        <v>211</v>
      </c>
      <c r="C609" s="34" t="s">
        <v>23</v>
      </c>
      <c r="D609" s="36" t="s">
        <v>590</v>
      </c>
      <c r="E609" s="34" t="s">
        <v>29</v>
      </c>
      <c r="F609" s="26">
        <v>18</v>
      </c>
      <c r="G609" s="26">
        <v>18</v>
      </c>
      <c r="H609" s="26">
        <v>18</v>
      </c>
      <c r="I609" s="3"/>
      <c r="J609" s="3"/>
      <c r="K609" s="3"/>
    </row>
    <row r="610" spans="1:11" s="50" customFormat="1" ht="24.75" customHeight="1" x14ac:dyDescent="0.2">
      <c r="A610" s="91" t="s">
        <v>587</v>
      </c>
      <c r="B610" s="34" t="s">
        <v>211</v>
      </c>
      <c r="C610" s="34" t="s">
        <v>23</v>
      </c>
      <c r="D610" s="36" t="s">
        <v>590</v>
      </c>
      <c r="E610" s="34" t="s">
        <v>588</v>
      </c>
      <c r="F610" s="26">
        <v>1800</v>
      </c>
      <c r="G610" s="26">
        <v>1800</v>
      </c>
      <c r="H610" s="26">
        <v>1800</v>
      </c>
      <c r="I610" s="3"/>
      <c r="J610" s="3"/>
      <c r="K610" s="3"/>
    </row>
    <row r="611" spans="1:11" s="50" customFormat="1" ht="17.25" customHeight="1" x14ac:dyDescent="0.2">
      <c r="A611" s="91" t="s">
        <v>124</v>
      </c>
      <c r="B611" s="34" t="s">
        <v>211</v>
      </c>
      <c r="C611" s="34" t="s">
        <v>23</v>
      </c>
      <c r="D611" s="36" t="s">
        <v>590</v>
      </c>
      <c r="E611" s="34" t="s">
        <v>125</v>
      </c>
      <c r="F611" s="26">
        <v>499.1</v>
      </c>
      <c r="G611" s="26">
        <v>499.1</v>
      </c>
      <c r="H611" s="26">
        <v>499.1</v>
      </c>
      <c r="I611" s="3"/>
      <c r="J611" s="3"/>
      <c r="K611" s="3"/>
    </row>
    <row r="612" spans="1:11" s="50" customFormat="1" ht="15" customHeight="1" x14ac:dyDescent="0.2">
      <c r="A612" s="59" t="s">
        <v>457</v>
      </c>
      <c r="B612" s="34" t="s">
        <v>211</v>
      </c>
      <c r="C612" s="34" t="s">
        <v>23</v>
      </c>
      <c r="D612" s="36" t="s">
        <v>590</v>
      </c>
      <c r="E612" s="34" t="s">
        <v>171</v>
      </c>
      <c r="F612" s="26">
        <v>350</v>
      </c>
      <c r="G612" s="26">
        <v>350</v>
      </c>
      <c r="H612" s="26">
        <v>350</v>
      </c>
      <c r="I612" s="3"/>
      <c r="J612" s="3"/>
      <c r="K612" s="3"/>
    </row>
    <row r="613" spans="1:11" s="50" customFormat="1" ht="24.75" customHeight="1" x14ac:dyDescent="0.2">
      <c r="A613" s="43" t="s">
        <v>591</v>
      </c>
      <c r="B613" s="34" t="s">
        <v>211</v>
      </c>
      <c r="C613" s="34" t="s">
        <v>23</v>
      </c>
      <c r="D613" s="36" t="s">
        <v>592</v>
      </c>
      <c r="E613" s="34"/>
      <c r="F613" s="26">
        <f>F614</f>
        <v>4860</v>
      </c>
      <c r="G613" s="26">
        <f>G614</f>
        <v>0</v>
      </c>
      <c r="H613" s="26">
        <f>H614</f>
        <v>0</v>
      </c>
      <c r="I613" s="3"/>
      <c r="J613" s="3"/>
      <c r="K613" s="3"/>
    </row>
    <row r="614" spans="1:11" s="50" customFormat="1" ht="17.25" customHeight="1" x14ac:dyDescent="0.2">
      <c r="A614" s="91" t="s">
        <v>593</v>
      </c>
      <c r="B614" s="34" t="s">
        <v>211</v>
      </c>
      <c r="C614" s="34" t="s">
        <v>23</v>
      </c>
      <c r="D614" s="36" t="s">
        <v>592</v>
      </c>
      <c r="E614" s="58" t="s">
        <v>583</v>
      </c>
      <c r="F614" s="26">
        <v>4860</v>
      </c>
      <c r="G614" s="26">
        <v>0</v>
      </c>
      <c r="H614" s="26">
        <v>0</v>
      </c>
      <c r="I614" s="3"/>
      <c r="J614" s="3"/>
      <c r="K614" s="3"/>
    </row>
    <row r="615" spans="1:11" s="50" customFormat="1" ht="24.75" customHeight="1" x14ac:dyDescent="0.2">
      <c r="A615" s="59" t="s">
        <v>251</v>
      </c>
      <c r="B615" s="34" t="s">
        <v>211</v>
      </c>
      <c r="C615" s="34" t="s">
        <v>23</v>
      </c>
      <c r="D615" s="25" t="s">
        <v>252</v>
      </c>
      <c r="E615" s="34"/>
      <c r="F615" s="26">
        <f t="shared" ref="F615:H618" si="96">F616</f>
        <v>1461.6</v>
      </c>
      <c r="G615" s="26">
        <f t="shared" si="96"/>
        <v>1461.6</v>
      </c>
      <c r="H615" s="26">
        <f t="shared" si="96"/>
        <v>1461.6</v>
      </c>
      <c r="I615" s="3"/>
      <c r="J615" s="3"/>
      <c r="K615" s="3"/>
    </row>
    <row r="616" spans="1:11" s="50" customFormat="1" ht="14.25" customHeight="1" x14ac:dyDescent="0.2">
      <c r="A616" s="20" t="s">
        <v>13</v>
      </c>
      <c r="B616" s="34" t="s">
        <v>211</v>
      </c>
      <c r="C616" s="34" t="s">
        <v>23</v>
      </c>
      <c r="D616" s="25" t="s">
        <v>253</v>
      </c>
      <c r="E616" s="34"/>
      <c r="F616" s="26">
        <f t="shared" si="96"/>
        <v>1461.6</v>
      </c>
      <c r="G616" s="26">
        <f t="shared" si="96"/>
        <v>1461.6</v>
      </c>
      <c r="H616" s="26">
        <f t="shared" si="96"/>
        <v>1461.6</v>
      </c>
      <c r="I616" s="3"/>
      <c r="J616" s="3"/>
      <c r="K616" s="3"/>
    </row>
    <row r="617" spans="1:11" s="50" customFormat="1" ht="26.25" customHeight="1" x14ac:dyDescent="0.2">
      <c r="A617" s="37" t="s">
        <v>515</v>
      </c>
      <c r="B617" s="34" t="s">
        <v>211</v>
      </c>
      <c r="C617" s="34" t="s">
        <v>23</v>
      </c>
      <c r="D617" s="89" t="s">
        <v>516</v>
      </c>
      <c r="E617" s="34"/>
      <c r="F617" s="26">
        <f t="shared" si="96"/>
        <v>1461.6</v>
      </c>
      <c r="G617" s="26">
        <f t="shared" si="96"/>
        <v>1461.6</v>
      </c>
      <c r="H617" s="26">
        <f t="shared" si="96"/>
        <v>1461.6</v>
      </c>
      <c r="I617" s="3"/>
      <c r="J617" s="3"/>
      <c r="K617" s="3"/>
    </row>
    <row r="618" spans="1:11" s="50" customFormat="1" ht="38.25" customHeight="1" x14ac:dyDescent="0.2">
      <c r="A618" s="112" t="s">
        <v>517</v>
      </c>
      <c r="B618" s="34" t="s">
        <v>211</v>
      </c>
      <c r="C618" s="34" t="s">
        <v>23</v>
      </c>
      <c r="D618" s="25" t="s">
        <v>518</v>
      </c>
      <c r="E618" s="34"/>
      <c r="F618" s="26">
        <f t="shared" si="96"/>
        <v>1461.6</v>
      </c>
      <c r="G618" s="26">
        <f t="shared" si="96"/>
        <v>1461.6</v>
      </c>
      <c r="H618" s="26">
        <f t="shared" si="96"/>
        <v>1461.6</v>
      </c>
      <c r="I618" s="3"/>
      <c r="J618" s="3"/>
      <c r="K618" s="3"/>
    </row>
    <row r="619" spans="1:11" s="50" customFormat="1" ht="18" customHeight="1" x14ac:dyDescent="0.2">
      <c r="A619" s="59" t="s">
        <v>593</v>
      </c>
      <c r="B619" s="34" t="s">
        <v>211</v>
      </c>
      <c r="C619" s="34" t="s">
        <v>23</v>
      </c>
      <c r="D619" s="25" t="s">
        <v>518</v>
      </c>
      <c r="E619" s="34" t="s">
        <v>583</v>
      </c>
      <c r="F619" s="26">
        <v>1461.6</v>
      </c>
      <c r="G619" s="26">
        <v>1461.6</v>
      </c>
      <c r="H619" s="26">
        <v>1461.6</v>
      </c>
      <c r="I619" s="3"/>
      <c r="J619" s="3"/>
      <c r="K619" s="3"/>
    </row>
    <row r="620" spans="1:11" s="50" customFormat="1" ht="40.5" customHeight="1" x14ac:dyDescent="0.2">
      <c r="A620" s="59" t="s">
        <v>184</v>
      </c>
      <c r="B620" s="34" t="s">
        <v>211</v>
      </c>
      <c r="C620" s="34" t="s">
        <v>23</v>
      </c>
      <c r="D620" s="25" t="s">
        <v>185</v>
      </c>
      <c r="E620" s="34"/>
      <c r="F620" s="26">
        <f t="shared" ref="F620:H623" si="97">F621</f>
        <v>2925.4</v>
      </c>
      <c r="G620" s="26">
        <f t="shared" si="97"/>
        <v>1116.8</v>
      </c>
      <c r="H620" s="26">
        <f t="shared" si="97"/>
        <v>1116.8</v>
      </c>
      <c r="I620" s="3"/>
      <c r="J620" s="3"/>
      <c r="K620" s="3"/>
    </row>
    <row r="621" spans="1:11" s="50" customFormat="1" ht="18" customHeight="1" x14ac:dyDescent="0.2">
      <c r="A621" s="20" t="s">
        <v>13</v>
      </c>
      <c r="B621" s="34" t="s">
        <v>211</v>
      </c>
      <c r="C621" s="34" t="s">
        <v>23</v>
      </c>
      <c r="D621" s="25" t="s">
        <v>186</v>
      </c>
      <c r="E621" s="34"/>
      <c r="F621" s="26">
        <f t="shared" si="97"/>
        <v>2925.4</v>
      </c>
      <c r="G621" s="26">
        <f t="shared" si="97"/>
        <v>1116.8</v>
      </c>
      <c r="H621" s="26">
        <f t="shared" si="97"/>
        <v>1116.8</v>
      </c>
      <c r="I621" s="3"/>
      <c r="J621" s="3"/>
      <c r="K621" s="3"/>
    </row>
    <row r="622" spans="1:11" s="50" customFormat="1" ht="53.25" customHeight="1" x14ac:dyDescent="0.2">
      <c r="A622" s="20" t="s">
        <v>316</v>
      </c>
      <c r="B622" s="34" t="s">
        <v>211</v>
      </c>
      <c r="C622" s="34" t="s">
        <v>23</v>
      </c>
      <c r="D622" s="25" t="s">
        <v>317</v>
      </c>
      <c r="E622" s="34"/>
      <c r="F622" s="26">
        <f t="shared" si="97"/>
        <v>2925.4</v>
      </c>
      <c r="G622" s="26">
        <f t="shared" si="97"/>
        <v>1116.8</v>
      </c>
      <c r="H622" s="26">
        <f t="shared" si="97"/>
        <v>1116.8</v>
      </c>
      <c r="I622" s="3"/>
      <c r="J622" s="3"/>
      <c r="K622" s="3"/>
    </row>
    <row r="623" spans="1:11" s="50" customFormat="1" ht="66" customHeight="1" x14ac:dyDescent="0.2">
      <c r="A623" s="20" t="s">
        <v>318</v>
      </c>
      <c r="B623" s="34" t="s">
        <v>211</v>
      </c>
      <c r="C623" s="34" t="s">
        <v>23</v>
      </c>
      <c r="D623" s="25" t="s">
        <v>319</v>
      </c>
      <c r="E623" s="34"/>
      <c r="F623" s="26">
        <f t="shared" si="97"/>
        <v>2925.4</v>
      </c>
      <c r="G623" s="26">
        <f t="shared" si="97"/>
        <v>1116.8</v>
      </c>
      <c r="H623" s="26">
        <f t="shared" si="97"/>
        <v>1116.8</v>
      </c>
      <c r="I623" s="3"/>
      <c r="J623" s="3"/>
      <c r="K623" s="3"/>
    </row>
    <row r="624" spans="1:11" s="50" customFormat="1" ht="15.75" customHeight="1" x14ac:dyDescent="0.2">
      <c r="A624" s="59" t="s">
        <v>593</v>
      </c>
      <c r="B624" s="34" t="s">
        <v>211</v>
      </c>
      <c r="C624" s="34" t="s">
        <v>23</v>
      </c>
      <c r="D624" s="25" t="s">
        <v>319</v>
      </c>
      <c r="E624" s="34" t="s">
        <v>583</v>
      </c>
      <c r="F624" s="26">
        <v>2925.4</v>
      </c>
      <c r="G624" s="26">
        <v>1116.8</v>
      </c>
      <c r="H624" s="26">
        <v>1116.8</v>
      </c>
      <c r="I624" s="3"/>
      <c r="J624" s="3"/>
      <c r="K624" s="3"/>
    </row>
    <row r="625" spans="1:11" s="50" customFormat="1" ht="38.25" customHeight="1" x14ac:dyDescent="0.2">
      <c r="A625" s="59" t="s">
        <v>332</v>
      </c>
      <c r="B625" s="34" t="s">
        <v>211</v>
      </c>
      <c r="C625" s="34" t="s">
        <v>23</v>
      </c>
      <c r="D625" s="25" t="s">
        <v>333</v>
      </c>
      <c r="E625" s="34"/>
      <c r="F625" s="26">
        <f>F626+F633</f>
        <v>7594.7</v>
      </c>
      <c r="G625" s="26">
        <f>G626+G633</f>
        <v>1461.3</v>
      </c>
      <c r="H625" s="26">
        <f>H626+H633</f>
        <v>1461.3</v>
      </c>
      <c r="I625" s="3"/>
      <c r="J625" s="3"/>
      <c r="K625" s="3"/>
    </row>
    <row r="626" spans="1:11" s="50" customFormat="1" ht="20.25" customHeight="1" x14ac:dyDescent="0.2">
      <c r="A626" s="20" t="s">
        <v>50</v>
      </c>
      <c r="B626" s="34" t="s">
        <v>211</v>
      </c>
      <c r="C626" s="34" t="s">
        <v>23</v>
      </c>
      <c r="D626" s="25" t="s">
        <v>344</v>
      </c>
      <c r="E626" s="34"/>
      <c r="F626" s="26">
        <f>F627+F630</f>
        <v>7594.7</v>
      </c>
      <c r="G626" s="26">
        <f>G627+G630</f>
        <v>1461.3</v>
      </c>
      <c r="H626" s="26">
        <f>H627+H630</f>
        <v>1461.3</v>
      </c>
      <c r="I626" s="3"/>
      <c r="J626" s="3"/>
      <c r="K626" s="3"/>
    </row>
    <row r="627" spans="1:11" s="50" customFormat="1" ht="38.25" customHeight="1" x14ac:dyDescent="0.2">
      <c r="A627" s="40" t="s">
        <v>594</v>
      </c>
      <c r="B627" s="51" t="s">
        <v>211</v>
      </c>
      <c r="C627" s="51" t="s">
        <v>23</v>
      </c>
      <c r="D627" s="25" t="s">
        <v>595</v>
      </c>
      <c r="E627" s="51"/>
      <c r="F627" s="26">
        <f t="shared" ref="F627:H628" si="98">F628</f>
        <v>567</v>
      </c>
      <c r="G627" s="26">
        <f t="shared" si="98"/>
        <v>1461.3</v>
      </c>
      <c r="H627" s="26">
        <f t="shared" si="98"/>
        <v>1461.3</v>
      </c>
      <c r="I627" s="3"/>
      <c r="J627" s="3"/>
      <c r="K627" s="3"/>
    </row>
    <row r="628" spans="1:11" s="50" customFormat="1" ht="14.25" customHeight="1" x14ac:dyDescent="0.2">
      <c r="A628" s="98" t="s">
        <v>596</v>
      </c>
      <c r="B628" s="51" t="s">
        <v>211</v>
      </c>
      <c r="C628" s="51" t="s">
        <v>23</v>
      </c>
      <c r="D628" s="25" t="s">
        <v>597</v>
      </c>
      <c r="E628" s="51"/>
      <c r="F628" s="26">
        <f t="shared" si="98"/>
        <v>567</v>
      </c>
      <c r="G628" s="26">
        <f t="shared" si="98"/>
        <v>1461.3</v>
      </c>
      <c r="H628" s="26">
        <f t="shared" si="98"/>
        <v>1461.3</v>
      </c>
      <c r="I628" s="3"/>
      <c r="J628" s="3"/>
      <c r="K628" s="3"/>
    </row>
    <row r="629" spans="1:11" s="50" customFormat="1" ht="24" customHeight="1" x14ac:dyDescent="0.2">
      <c r="A629" s="59" t="s">
        <v>587</v>
      </c>
      <c r="B629" s="51" t="s">
        <v>211</v>
      </c>
      <c r="C629" s="51" t="s">
        <v>23</v>
      </c>
      <c r="D629" s="25" t="s">
        <v>597</v>
      </c>
      <c r="E629" s="51" t="s">
        <v>588</v>
      </c>
      <c r="F629" s="26">
        <f>174+566.8+166.2-340</f>
        <v>567</v>
      </c>
      <c r="G629" s="26">
        <f>519.6+566.5+375.2</f>
        <v>1461.3</v>
      </c>
      <c r="H629" s="39">
        <f>519.6+566.5+375.2</f>
        <v>1461.3</v>
      </c>
      <c r="I629" s="3"/>
      <c r="J629" s="3"/>
      <c r="K629" s="3"/>
    </row>
    <row r="630" spans="1:11" s="50" customFormat="1" ht="25.5" customHeight="1" x14ac:dyDescent="0.2">
      <c r="A630" s="40" t="s">
        <v>598</v>
      </c>
      <c r="B630" s="51" t="s">
        <v>211</v>
      </c>
      <c r="C630" s="51" t="s">
        <v>23</v>
      </c>
      <c r="D630" s="25" t="s">
        <v>599</v>
      </c>
      <c r="E630" s="51"/>
      <c r="F630" s="26">
        <f t="shared" ref="F630:H631" si="99">F631</f>
        <v>7027.7</v>
      </c>
      <c r="G630" s="26">
        <f t="shared" si="99"/>
        <v>0</v>
      </c>
      <c r="H630" s="26">
        <f t="shared" si="99"/>
        <v>0</v>
      </c>
      <c r="I630" s="3"/>
      <c r="J630" s="3"/>
      <c r="K630" s="3"/>
    </row>
    <row r="631" spans="1:11" s="50" customFormat="1" ht="26.25" customHeight="1" x14ac:dyDescent="0.2">
      <c r="A631" s="60" t="s">
        <v>600</v>
      </c>
      <c r="B631" s="51" t="s">
        <v>211</v>
      </c>
      <c r="C631" s="51" t="s">
        <v>23</v>
      </c>
      <c r="D631" s="25" t="s">
        <v>601</v>
      </c>
      <c r="E631" s="51"/>
      <c r="F631" s="26">
        <f t="shared" si="99"/>
        <v>7027.7</v>
      </c>
      <c r="G631" s="26">
        <f t="shared" si="99"/>
        <v>0</v>
      </c>
      <c r="H631" s="26">
        <f t="shared" si="99"/>
        <v>0</v>
      </c>
      <c r="I631" s="3"/>
      <c r="J631" s="3"/>
      <c r="K631" s="3"/>
    </row>
    <row r="632" spans="1:11" s="50" customFormat="1" ht="26.25" customHeight="1" x14ac:dyDescent="0.2">
      <c r="A632" s="59" t="s">
        <v>587</v>
      </c>
      <c r="B632" s="51" t="s">
        <v>211</v>
      </c>
      <c r="C632" s="51" t="s">
        <v>23</v>
      </c>
      <c r="D632" s="25" t="s">
        <v>601</v>
      </c>
      <c r="E632" s="51" t="s">
        <v>588</v>
      </c>
      <c r="F632" s="26">
        <f>6676.3+351.4</f>
        <v>7027.7</v>
      </c>
      <c r="G632" s="26">
        <v>0</v>
      </c>
      <c r="H632" s="26">
        <v>0</v>
      </c>
      <c r="I632" s="3"/>
      <c r="J632" s="3"/>
      <c r="K632" s="3"/>
    </row>
    <row r="633" spans="1:11" s="50" customFormat="1" ht="16.5" hidden="1" customHeight="1" x14ac:dyDescent="0.2">
      <c r="A633" s="40" t="s">
        <v>13</v>
      </c>
      <c r="B633" s="51" t="s">
        <v>211</v>
      </c>
      <c r="C633" s="51" t="s">
        <v>23</v>
      </c>
      <c r="D633" s="25" t="s">
        <v>602</v>
      </c>
      <c r="E633" s="51"/>
      <c r="F633" s="26">
        <f>F634</f>
        <v>0</v>
      </c>
      <c r="G633" s="26">
        <f t="shared" ref="G633:H635" si="100">G634</f>
        <v>0</v>
      </c>
      <c r="H633" s="26">
        <f t="shared" si="100"/>
        <v>0</v>
      </c>
      <c r="I633" s="3"/>
      <c r="J633" s="3"/>
      <c r="K633" s="3"/>
    </row>
    <row r="634" spans="1:11" s="50" customFormat="1" ht="57.75" hidden="1" customHeight="1" x14ac:dyDescent="0.2">
      <c r="A634" s="40" t="s">
        <v>603</v>
      </c>
      <c r="B634" s="51" t="s">
        <v>211</v>
      </c>
      <c r="C634" s="51" t="s">
        <v>23</v>
      </c>
      <c r="D634" s="25" t="s">
        <v>604</v>
      </c>
      <c r="E634" s="51"/>
      <c r="F634" s="26">
        <f>F635</f>
        <v>0</v>
      </c>
      <c r="G634" s="26">
        <f t="shared" si="100"/>
        <v>0</v>
      </c>
      <c r="H634" s="26">
        <f t="shared" si="100"/>
        <v>0</v>
      </c>
      <c r="I634" s="3"/>
      <c r="J634" s="3"/>
      <c r="K634" s="3"/>
    </row>
    <row r="635" spans="1:11" s="50" customFormat="1" ht="51" hidden="1" customHeight="1" x14ac:dyDescent="0.2">
      <c r="A635" s="20" t="s">
        <v>605</v>
      </c>
      <c r="B635" s="51" t="s">
        <v>211</v>
      </c>
      <c r="C635" s="51" t="s">
        <v>23</v>
      </c>
      <c r="D635" s="25" t="s">
        <v>606</v>
      </c>
      <c r="E635" s="51"/>
      <c r="F635" s="26">
        <f>F636</f>
        <v>0</v>
      </c>
      <c r="G635" s="26">
        <f t="shared" si="100"/>
        <v>0</v>
      </c>
      <c r="H635" s="26">
        <f t="shared" si="100"/>
        <v>0</v>
      </c>
      <c r="I635" s="3"/>
      <c r="J635" s="3"/>
      <c r="K635" s="3"/>
    </row>
    <row r="636" spans="1:11" s="50" customFormat="1" ht="26.25" hidden="1" customHeight="1" x14ac:dyDescent="0.2">
      <c r="A636" s="59" t="s">
        <v>587</v>
      </c>
      <c r="B636" s="51" t="s">
        <v>211</v>
      </c>
      <c r="C636" s="51" t="s">
        <v>23</v>
      </c>
      <c r="D636" s="25" t="s">
        <v>606</v>
      </c>
      <c r="E636" s="51" t="s">
        <v>588</v>
      </c>
      <c r="F636" s="26"/>
      <c r="G636" s="26">
        <v>0</v>
      </c>
      <c r="H636" s="26">
        <v>0</v>
      </c>
      <c r="I636" s="3"/>
      <c r="J636" s="3"/>
      <c r="K636" s="3"/>
    </row>
    <row r="637" spans="1:11" s="19" customFormat="1" ht="14.25" hidden="1" customHeight="1" x14ac:dyDescent="0.2">
      <c r="A637" s="130" t="s">
        <v>607</v>
      </c>
      <c r="B637" s="17" t="s">
        <v>211</v>
      </c>
      <c r="C637" s="17" t="s">
        <v>31</v>
      </c>
      <c r="D637" s="17"/>
      <c r="E637" s="17"/>
      <c r="F637" s="53">
        <f>F638</f>
        <v>0</v>
      </c>
      <c r="G637" s="53">
        <f>G638</f>
        <v>0</v>
      </c>
      <c r="H637" s="53">
        <f>H638</f>
        <v>0</v>
      </c>
    </row>
    <row r="638" spans="1:11" s="50" customFormat="1" ht="25.5" hidden="1" customHeight="1" x14ac:dyDescent="0.2">
      <c r="A638" s="91" t="s">
        <v>608</v>
      </c>
      <c r="B638" s="34" t="s">
        <v>211</v>
      </c>
      <c r="C638" s="34" t="s">
        <v>31</v>
      </c>
      <c r="D638" s="25" t="s">
        <v>64</v>
      </c>
      <c r="E638" s="34"/>
      <c r="F638" s="26">
        <f t="shared" ref="F638:H640" si="101">F639</f>
        <v>0</v>
      </c>
      <c r="G638" s="26">
        <f t="shared" si="101"/>
        <v>0</v>
      </c>
      <c r="H638" s="26">
        <f t="shared" si="101"/>
        <v>0</v>
      </c>
      <c r="I638" s="3"/>
      <c r="J638" s="3"/>
      <c r="K638" s="3"/>
    </row>
    <row r="639" spans="1:11" s="50" customFormat="1" ht="25.5" hidden="1" customHeight="1" x14ac:dyDescent="0.2">
      <c r="A639" s="31" t="s">
        <v>609</v>
      </c>
      <c r="B639" s="34" t="s">
        <v>211</v>
      </c>
      <c r="C639" s="34" t="s">
        <v>31</v>
      </c>
      <c r="D639" s="25" t="s">
        <v>610</v>
      </c>
      <c r="E639" s="34"/>
      <c r="F639" s="26">
        <f t="shared" si="101"/>
        <v>0</v>
      </c>
      <c r="G639" s="26">
        <f t="shared" si="101"/>
        <v>0</v>
      </c>
      <c r="H639" s="26">
        <f t="shared" si="101"/>
        <v>0</v>
      </c>
      <c r="I639" s="3"/>
      <c r="J639" s="3"/>
      <c r="K639" s="3"/>
    </row>
    <row r="640" spans="1:11" s="50" customFormat="1" ht="40.5" hidden="1" customHeight="1" x14ac:dyDescent="0.2">
      <c r="A640" s="131" t="s">
        <v>611</v>
      </c>
      <c r="B640" s="34" t="s">
        <v>211</v>
      </c>
      <c r="C640" s="34" t="s">
        <v>31</v>
      </c>
      <c r="D640" s="25" t="s">
        <v>612</v>
      </c>
      <c r="E640" s="34"/>
      <c r="F640" s="26">
        <f t="shared" si="101"/>
        <v>0</v>
      </c>
      <c r="G640" s="26">
        <f t="shared" si="101"/>
        <v>0</v>
      </c>
      <c r="H640" s="26">
        <f t="shared" si="101"/>
        <v>0</v>
      </c>
      <c r="I640" s="3"/>
      <c r="J640" s="3"/>
      <c r="K640" s="3"/>
    </row>
    <row r="641" spans="1:11" s="50" customFormat="1" ht="51.75" hidden="1" customHeight="1" x14ac:dyDescent="0.2">
      <c r="A641" s="40" t="s">
        <v>613</v>
      </c>
      <c r="B641" s="34" t="s">
        <v>211</v>
      </c>
      <c r="C641" s="34" t="s">
        <v>31</v>
      </c>
      <c r="D641" s="25" t="s">
        <v>614</v>
      </c>
      <c r="E641" s="34"/>
      <c r="F641" s="26">
        <f>F643+F642</f>
        <v>0</v>
      </c>
      <c r="G641" s="26">
        <f>G643+G642</f>
        <v>0</v>
      </c>
      <c r="H641" s="26">
        <f>H643+H642</f>
        <v>0</v>
      </c>
      <c r="I641" s="3"/>
      <c r="J641" s="3"/>
      <c r="K641" s="3"/>
    </row>
    <row r="642" spans="1:11" s="50" customFormat="1" ht="28.5" hidden="1" customHeight="1" x14ac:dyDescent="0.2">
      <c r="A642" s="42" t="s">
        <v>28</v>
      </c>
      <c r="B642" s="34" t="s">
        <v>211</v>
      </c>
      <c r="C642" s="34" t="s">
        <v>31</v>
      </c>
      <c r="D642" s="25" t="s">
        <v>614</v>
      </c>
      <c r="E642" s="34" t="s">
        <v>29</v>
      </c>
      <c r="F642" s="26"/>
      <c r="G642" s="26"/>
      <c r="H642" s="26"/>
      <c r="I642" s="3"/>
      <c r="J642" s="3"/>
      <c r="K642" s="3"/>
    </row>
    <row r="643" spans="1:11" s="50" customFormat="1" ht="25.5" hidden="1" customHeight="1" x14ac:dyDescent="0.2">
      <c r="A643" s="91" t="s">
        <v>587</v>
      </c>
      <c r="B643" s="34" t="s">
        <v>211</v>
      </c>
      <c r="C643" s="34" t="s">
        <v>31</v>
      </c>
      <c r="D643" s="25" t="s">
        <v>614</v>
      </c>
      <c r="E643" s="34" t="s">
        <v>125</v>
      </c>
      <c r="F643" s="26"/>
      <c r="G643" s="26"/>
      <c r="H643" s="26"/>
      <c r="I643" s="3"/>
      <c r="J643" s="3"/>
      <c r="K643" s="3"/>
    </row>
    <row r="644" spans="1:11" s="19" customFormat="1" ht="15" customHeight="1" x14ac:dyDescent="0.2">
      <c r="A644" s="125" t="s">
        <v>615</v>
      </c>
      <c r="B644" s="17">
        <v>10</v>
      </c>
      <c r="C644" s="17" t="s">
        <v>77</v>
      </c>
      <c r="D644" s="17"/>
      <c r="E644" s="17"/>
      <c r="F644" s="53">
        <f t="shared" ref="F644:H645" si="102">F645</f>
        <v>1143.7</v>
      </c>
      <c r="G644" s="53">
        <f t="shared" si="102"/>
        <v>0</v>
      </c>
      <c r="H644" s="53">
        <f t="shared" si="102"/>
        <v>0</v>
      </c>
    </row>
    <row r="645" spans="1:11" s="48" customFormat="1" ht="27.75" customHeight="1" x14ac:dyDescent="0.2">
      <c r="A645" s="33" t="s">
        <v>616</v>
      </c>
      <c r="B645" s="21" t="s">
        <v>211</v>
      </c>
      <c r="C645" s="21" t="s">
        <v>77</v>
      </c>
      <c r="D645" s="21" t="s">
        <v>33</v>
      </c>
      <c r="E645" s="21"/>
      <c r="F645" s="26">
        <f t="shared" si="102"/>
        <v>1143.7</v>
      </c>
      <c r="G645" s="26">
        <f t="shared" si="102"/>
        <v>0</v>
      </c>
      <c r="H645" s="26">
        <f t="shared" si="102"/>
        <v>0</v>
      </c>
      <c r="I645" s="19"/>
      <c r="J645" s="19"/>
      <c r="K645" s="19"/>
    </row>
    <row r="646" spans="1:11" s="50" customFormat="1" ht="15.75" customHeight="1" x14ac:dyDescent="0.2">
      <c r="A646" s="35" t="s">
        <v>13</v>
      </c>
      <c r="B646" s="34" t="s">
        <v>211</v>
      </c>
      <c r="C646" s="34" t="s">
        <v>77</v>
      </c>
      <c r="D646" s="36" t="s">
        <v>34</v>
      </c>
      <c r="E646" s="34"/>
      <c r="F646" s="26">
        <f>F648</f>
        <v>1143.7</v>
      </c>
      <c r="G646" s="26">
        <f>G648</f>
        <v>0</v>
      </c>
      <c r="H646" s="26">
        <f>H648</f>
        <v>0</v>
      </c>
      <c r="I646" s="3"/>
      <c r="J646" s="3"/>
      <c r="K646" s="3"/>
    </row>
    <row r="647" spans="1:11" s="50" customFormat="1" ht="25.5" customHeight="1" x14ac:dyDescent="0.2">
      <c r="A647" s="35" t="s">
        <v>129</v>
      </c>
      <c r="B647" s="34" t="s">
        <v>211</v>
      </c>
      <c r="C647" s="34" t="s">
        <v>77</v>
      </c>
      <c r="D647" s="36" t="s">
        <v>130</v>
      </c>
      <c r="E647" s="34"/>
      <c r="F647" s="26">
        <f>F648</f>
        <v>1143.7</v>
      </c>
      <c r="G647" s="26">
        <f>G648</f>
        <v>0</v>
      </c>
      <c r="H647" s="26">
        <f>H648</f>
        <v>0</v>
      </c>
      <c r="I647" s="3"/>
      <c r="J647" s="3"/>
      <c r="K647" s="3"/>
    </row>
    <row r="648" spans="1:11" s="50" customFormat="1" ht="26.25" customHeight="1" x14ac:dyDescent="0.2">
      <c r="A648" s="43" t="s">
        <v>591</v>
      </c>
      <c r="B648" s="34" t="s">
        <v>211</v>
      </c>
      <c r="C648" s="34" t="s">
        <v>77</v>
      </c>
      <c r="D648" s="36" t="s">
        <v>592</v>
      </c>
      <c r="E648" s="34"/>
      <c r="F648" s="26">
        <f>F651+F650+F649</f>
        <v>1143.7</v>
      </c>
      <c r="G648" s="26">
        <f>G651+G650+G649</f>
        <v>0</v>
      </c>
      <c r="H648" s="26">
        <f>H651+H650+H649</f>
        <v>0</v>
      </c>
      <c r="I648" s="3"/>
      <c r="J648" s="3"/>
      <c r="K648" s="3"/>
    </row>
    <row r="649" spans="1:11" s="50" customFormat="1" ht="29.25" customHeight="1" x14ac:dyDescent="0.2">
      <c r="A649" s="20" t="s">
        <v>28</v>
      </c>
      <c r="B649" s="34" t="s">
        <v>211</v>
      </c>
      <c r="C649" s="34" t="s">
        <v>77</v>
      </c>
      <c r="D649" s="36" t="s">
        <v>592</v>
      </c>
      <c r="E649" s="34" t="s">
        <v>29</v>
      </c>
      <c r="F649" s="26">
        <v>150</v>
      </c>
      <c r="G649" s="26">
        <v>0</v>
      </c>
      <c r="H649" s="26">
        <v>0</v>
      </c>
      <c r="I649" s="3"/>
      <c r="J649" s="3"/>
      <c r="K649" s="3"/>
    </row>
    <row r="650" spans="1:11" s="50" customFormat="1" ht="26.25" customHeight="1" x14ac:dyDescent="0.2">
      <c r="A650" s="59" t="s">
        <v>587</v>
      </c>
      <c r="B650" s="34" t="s">
        <v>211</v>
      </c>
      <c r="C650" s="34" t="s">
        <v>77</v>
      </c>
      <c r="D650" s="36" t="s">
        <v>592</v>
      </c>
      <c r="E650" s="58" t="s">
        <v>588</v>
      </c>
      <c r="F650" s="26">
        <v>420</v>
      </c>
      <c r="G650" s="26">
        <v>0</v>
      </c>
      <c r="H650" s="26">
        <v>0</v>
      </c>
      <c r="I650" s="3"/>
      <c r="J650" s="3"/>
      <c r="K650" s="3"/>
    </row>
    <row r="651" spans="1:11" s="50" customFormat="1" ht="17.25" customHeight="1" x14ac:dyDescent="0.2">
      <c r="A651" s="91" t="s">
        <v>124</v>
      </c>
      <c r="B651" s="34" t="s">
        <v>211</v>
      </c>
      <c r="C651" s="34" t="s">
        <v>77</v>
      </c>
      <c r="D651" s="36" t="s">
        <v>592</v>
      </c>
      <c r="E651" s="58" t="s">
        <v>125</v>
      </c>
      <c r="F651" s="26">
        <v>573.70000000000005</v>
      </c>
      <c r="G651" s="26">
        <v>0</v>
      </c>
      <c r="H651" s="26">
        <v>0</v>
      </c>
      <c r="I651" s="3"/>
      <c r="J651" s="3"/>
      <c r="K651" s="3"/>
    </row>
    <row r="652" spans="1:11" s="19" customFormat="1" ht="12.75" customHeight="1" x14ac:dyDescent="0.2">
      <c r="A652" s="32" t="s">
        <v>617</v>
      </c>
      <c r="B652" s="54" t="s">
        <v>99</v>
      </c>
      <c r="C652" s="54"/>
      <c r="D652" s="54"/>
      <c r="E652" s="54"/>
      <c r="F652" s="53">
        <f>F653+F674+F666</f>
        <v>17488.399999999998</v>
      </c>
      <c r="G652" s="53">
        <f>G653+G674+G666</f>
        <v>17508.399999999998</v>
      </c>
      <c r="H652" s="53">
        <f>H653+H674+H666</f>
        <v>17508.399999999998</v>
      </c>
    </row>
    <row r="653" spans="1:11" s="3" customFormat="1" ht="15.75" customHeight="1" x14ac:dyDescent="0.2">
      <c r="A653" s="130" t="s">
        <v>618</v>
      </c>
      <c r="B653" s="17" t="s">
        <v>99</v>
      </c>
      <c r="C653" s="17" t="s">
        <v>8</v>
      </c>
      <c r="D653" s="17"/>
      <c r="E653" s="17"/>
      <c r="F653" s="53">
        <f t="shared" ref="F653:H655" si="103">F654</f>
        <v>15501.8</v>
      </c>
      <c r="G653" s="53">
        <f t="shared" si="103"/>
        <v>15521.8</v>
      </c>
      <c r="H653" s="53">
        <f t="shared" si="103"/>
        <v>15521.8</v>
      </c>
    </row>
    <row r="654" spans="1:11" s="50" customFormat="1" ht="40.5" customHeight="1" x14ac:dyDescent="0.2">
      <c r="A654" s="40" t="s">
        <v>162</v>
      </c>
      <c r="B654" s="34" t="s">
        <v>99</v>
      </c>
      <c r="C654" s="34" t="s">
        <v>8</v>
      </c>
      <c r="D654" s="25" t="s">
        <v>163</v>
      </c>
      <c r="E654" s="34"/>
      <c r="F654" s="132">
        <f t="shared" si="103"/>
        <v>15501.8</v>
      </c>
      <c r="G654" s="132">
        <f t="shared" si="103"/>
        <v>15521.8</v>
      </c>
      <c r="H654" s="132">
        <f t="shared" si="103"/>
        <v>15521.8</v>
      </c>
      <c r="I654" s="3"/>
      <c r="J654" s="3"/>
      <c r="K654" s="3"/>
    </row>
    <row r="655" spans="1:11" s="50" customFormat="1" ht="16.5" customHeight="1" x14ac:dyDescent="0.2">
      <c r="A655" s="59" t="s">
        <v>13</v>
      </c>
      <c r="B655" s="34" t="s">
        <v>99</v>
      </c>
      <c r="C655" s="34" t="s">
        <v>8</v>
      </c>
      <c r="D655" s="25" t="s">
        <v>172</v>
      </c>
      <c r="E655" s="34"/>
      <c r="F655" s="132">
        <f t="shared" si="103"/>
        <v>15501.8</v>
      </c>
      <c r="G655" s="132">
        <f t="shared" si="103"/>
        <v>15521.8</v>
      </c>
      <c r="H655" s="132">
        <f t="shared" si="103"/>
        <v>15521.8</v>
      </c>
      <c r="I655" s="3"/>
      <c r="J655" s="3"/>
      <c r="K655" s="3"/>
    </row>
    <row r="656" spans="1:11" s="50" customFormat="1" ht="29.25" customHeight="1" x14ac:dyDescent="0.2">
      <c r="A656" s="59" t="s">
        <v>619</v>
      </c>
      <c r="B656" s="34" t="s">
        <v>99</v>
      </c>
      <c r="C656" s="34" t="s">
        <v>8</v>
      </c>
      <c r="D656" s="25" t="s">
        <v>620</v>
      </c>
      <c r="E656" s="51"/>
      <c r="F656" s="26">
        <f>F657+F661+F659</f>
        <v>15501.8</v>
      </c>
      <c r="G656" s="26">
        <f>G657+G661+G659</f>
        <v>15521.8</v>
      </c>
      <c r="H656" s="26">
        <f>H657+H661+H659</f>
        <v>15521.8</v>
      </c>
      <c r="I656" s="3"/>
      <c r="J656" s="3"/>
      <c r="K656" s="3"/>
    </row>
    <row r="657" spans="1:11" s="50" customFormat="1" ht="26.25" customHeight="1" x14ac:dyDescent="0.2">
      <c r="A657" s="98" t="s">
        <v>621</v>
      </c>
      <c r="B657" s="34" t="s">
        <v>99</v>
      </c>
      <c r="C657" s="34" t="s">
        <v>8</v>
      </c>
      <c r="D657" s="25" t="s">
        <v>622</v>
      </c>
      <c r="E657" s="51"/>
      <c r="F657" s="26">
        <f>F658</f>
        <v>5134.5</v>
      </c>
      <c r="G657" s="26">
        <f>G658</f>
        <v>5134.5</v>
      </c>
      <c r="H657" s="26">
        <f>H658</f>
        <v>5134.5</v>
      </c>
      <c r="I657" s="3"/>
      <c r="J657" s="3"/>
      <c r="K657" s="3"/>
    </row>
    <row r="658" spans="1:11" s="50" customFormat="1" ht="15.75" customHeight="1" x14ac:dyDescent="0.2">
      <c r="A658" s="98" t="s">
        <v>457</v>
      </c>
      <c r="B658" s="34" t="s">
        <v>99</v>
      </c>
      <c r="C658" s="34" t="s">
        <v>8</v>
      </c>
      <c r="D658" s="25" t="s">
        <v>622</v>
      </c>
      <c r="E658" s="51" t="s">
        <v>171</v>
      </c>
      <c r="F658" s="26">
        <f>5134.5</f>
        <v>5134.5</v>
      </c>
      <c r="G658" s="26">
        <v>5134.5</v>
      </c>
      <c r="H658" s="26">
        <v>5134.5</v>
      </c>
      <c r="I658" s="3"/>
      <c r="J658" s="3"/>
      <c r="K658" s="3"/>
    </row>
    <row r="659" spans="1:11" s="50" customFormat="1" ht="30" customHeight="1" x14ac:dyDescent="0.2">
      <c r="A659" s="31" t="s">
        <v>42</v>
      </c>
      <c r="B659" s="34" t="s">
        <v>99</v>
      </c>
      <c r="C659" s="34" t="s">
        <v>8</v>
      </c>
      <c r="D659" s="25" t="s">
        <v>623</v>
      </c>
      <c r="E659" s="51"/>
      <c r="F659" s="26">
        <f>F660</f>
        <v>9735.2999999999993</v>
      </c>
      <c r="G659" s="26">
        <f>G660</f>
        <v>9735.2999999999993</v>
      </c>
      <c r="H659" s="26">
        <f>H660</f>
        <v>9735.2999999999993</v>
      </c>
      <c r="I659" s="3"/>
      <c r="J659" s="3"/>
      <c r="K659" s="3"/>
    </row>
    <row r="660" spans="1:11" s="50" customFormat="1" ht="15.75" customHeight="1" x14ac:dyDescent="0.2">
      <c r="A660" s="98" t="s">
        <v>457</v>
      </c>
      <c r="B660" s="34" t="s">
        <v>99</v>
      </c>
      <c r="C660" s="34" t="s">
        <v>8</v>
      </c>
      <c r="D660" s="25" t="s">
        <v>623</v>
      </c>
      <c r="E660" s="51" t="s">
        <v>171</v>
      </c>
      <c r="F660" s="26">
        <f>8966.5+50+718.8</f>
        <v>9735.2999999999993</v>
      </c>
      <c r="G660" s="26">
        <f>8966.5+50+718.8</f>
        <v>9735.2999999999993</v>
      </c>
      <c r="H660" s="26">
        <f>8966.5+50+718.8</f>
        <v>9735.2999999999993</v>
      </c>
      <c r="I660" s="3"/>
      <c r="J660" s="3"/>
      <c r="K660" s="3"/>
    </row>
    <row r="661" spans="1:11" s="50" customFormat="1" ht="14.25" customHeight="1" x14ac:dyDescent="0.2">
      <c r="A661" s="133" t="s">
        <v>624</v>
      </c>
      <c r="B661" s="34" t="s">
        <v>99</v>
      </c>
      <c r="C661" s="34" t="s">
        <v>8</v>
      </c>
      <c r="D661" s="25" t="s">
        <v>625</v>
      </c>
      <c r="E661" s="51"/>
      <c r="F661" s="26">
        <f>F662+F663+F664+F665</f>
        <v>632</v>
      </c>
      <c r="G661" s="26">
        <f>G662+G663+G664+G665</f>
        <v>652</v>
      </c>
      <c r="H661" s="26">
        <f>H662+H663+H664+H665</f>
        <v>652</v>
      </c>
      <c r="I661" s="3"/>
      <c r="J661" s="3"/>
      <c r="K661" s="3"/>
    </row>
    <row r="662" spans="1:11" s="50" customFormat="1" ht="26.25" customHeight="1" x14ac:dyDescent="0.2">
      <c r="A662" s="42" t="s">
        <v>19</v>
      </c>
      <c r="B662" s="34" t="s">
        <v>99</v>
      </c>
      <c r="C662" s="34" t="s">
        <v>8</v>
      </c>
      <c r="D662" s="25" t="s">
        <v>625</v>
      </c>
      <c r="E662" s="51" t="s">
        <v>21</v>
      </c>
      <c r="F662" s="26">
        <v>50</v>
      </c>
      <c r="G662" s="26">
        <v>50</v>
      </c>
      <c r="H662" s="39">
        <v>50</v>
      </c>
      <c r="I662" s="3"/>
      <c r="J662" s="3"/>
      <c r="K662" s="3"/>
    </row>
    <row r="663" spans="1:11" s="50" customFormat="1" ht="26.25" customHeight="1" x14ac:dyDescent="0.2">
      <c r="A663" s="20" t="s">
        <v>28</v>
      </c>
      <c r="B663" s="34" t="s">
        <v>99</v>
      </c>
      <c r="C663" s="34" t="s">
        <v>8</v>
      </c>
      <c r="D663" s="25" t="s">
        <v>625</v>
      </c>
      <c r="E663" s="51" t="s">
        <v>29</v>
      </c>
      <c r="F663" s="26">
        <v>522</v>
      </c>
      <c r="G663" s="26">
        <v>602</v>
      </c>
      <c r="H663" s="39">
        <v>602</v>
      </c>
      <c r="I663" s="3"/>
      <c r="J663" s="3"/>
      <c r="K663" s="3"/>
    </row>
    <row r="664" spans="1:11" s="50" customFormat="1" ht="12.75" customHeight="1" x14ac:dyDescent="0.2">
      <c r="A664" s="59" t="s">
        <v>169</v>
      </c>
      <c r="B664" s="34" t="s">
        <v>99</v>
      </c>
      <c r="C664" s="34" t="s">
        <v>8</v>
      </c>
      <c r="D664" s="25" t="s">
        <v>625</v>
      </c>
      <c r="E664" s="51" t="s">
        <v>125</v>
      </c>
      <c r="F664" s="26">
        <v>60</v>
      </c>
      <c r="G664" s="26">
        <v>0</v>
      </c>
      <c r="H664" s="26">
        <v>0</v>
      </c>
      <c r="I664" s="3"/>
      <c r="J664" s="3"/>
      <c r="K664" s="3"/>
    </row>
    <row r="665" spans="1:11" s="50" customFormat="1" ht="13.5" hidden="1" customHeight="1" x14ac:dyDescent="0.2">
      <c r="A665" s="68" t="s">
        <v>170</v>
      </c>
      <c r="B665" s="34" t="s">
        <v>99</v>
      </c>
      <c r="C665" s="34" t="s">
        <v>8</v>
      </c>
      <c r="D665" s="25" t="s">
        <v>625</v>
      </c>
      <c r="E665" s="51" t="s">
        <v>171</v>
      </c>
      <c r="F665" s="26">
        <v>0</v>
      </c>
      <c r="G665" s="26">
        <v>0</v>
      </c>
      <c r="H665" s="26">
        <v>0</v>
      </c>
      <c r="I665" s="3"/>
      <c r="J665" s="3"/>
      <c r="K665" s="3"/>
    </row>
    <row r="666" spans="1:11" s="50" customFormat="1" ht="16.5" customHeight="1" x14ac:dyDescent="0.2">
      <c r="A666" s="134" t="s">
        <v>626</v>
      </c>
      <c r="B666" s="54" t="s">
        <v>99</v>
      </c>
      <c r="C666" s="54" t="s">
        <v>10</v>
      </c>
      <c r="D666" s="25"/>
      <c r="E666" s="34"/>
      <c r="F666" s="26">
        <f t="shared" ref="F666:H668" si="104">F667</f>
        <v>1522.2</v>
      </c>
      <c r="G666" s="26">
        <f t="shared" si="104"/>
        <v>1522.2</v>
      </c>
      <c r="H666" s="26">
        <f t="shared" si="104"/>
        <v>1522.2</v>
      </c>
      <c r="I666" s="3"/>
      <c r="J666" s="3"/>
      <c r="K666" s="3"/>
    </row>
    <row r="667" spans="1:11" s="50" customFormat="1" ht="39" customHeight="1" x14ac:dyDescent="0.2">
      <c r="A667" s="40" t="s">
        <v>162</v>
      </c>
      <c r="B667" s="34" t="s">
        <v>99</v>
      </c>
      <c r="C667" s="34" t="s">
        <v>10</v>
      </c>
      <c r="D667" s="25" t="s">
        <v>163</v>
      </c>
      <c r="E667" s="34"/>
      <c r="F667" s="26">
        <f t="shared" si="104"/>
        <v>1522.2</v>
      </c>
      <c r="G667" s="26">
        <f t="shared" si="104"/>
        <v>1522.2</v>
      </c>
      <c r="H667" s="26">
        <f t="shared" si="104"/>
        <v>1522.2</v>
      </c>
      <c r="I667" s="3"/>
      <c r="J667" s="3"/>
      <c r="K667" s="3"/>
    </row>
    <row r="668" spans="1:11" s="50" customFormat="1" ht="17.25" customHeight="1" x14ac:dyDescent="0.2">
      <c r="A668" s="40" t="s">
        <v>50</v>
      </c>
      <c r="B668" s="34" t="s">
        <v>99</v>
      </c>
      <c r="C668" s="34" t="s">
        <v>10</v>
      </c>
      <c r="D668" s="25" t="s">
        <v>164</v>
      </c>
      <c r="E668" s="34"/>
      <c r="F668" s="26">
        <f t="shared" si="104"/>
        <v>1522.2</v>
      </c>
      <c r="G668" s="26">
        <f t="shared" si="104"/>
        <v>1522.2</v>
      </c>
      <c r="H668" s="26">
        <f t="shared" si="104"/>
        <v>1522.2</v>
      </c>
      <c r="I668" s="3"/>
      <c r="J668" s="3"/>
      <c r="K668" s="3"/>
    </row>
    <row r="669" spans="1:11" s="50" customFormat="1" ht="27" customHeight="1" x14ac:dyDescent="0.2">
      <c r="A669" s="59" t="s">
        <v>627</v>
      </c>
      <c r="B669" s="34" t="s">
        <v>99</v>
      </c>
      <c r="C669" s="34" t="s">
        <v>10</v>
      </c>
      <c r="D669" s="25" t="s">
        <v>628</v>
      </c>
      <c r="E669" s="51"/>
      <c r="F669" s="26">
        <f>F670+F672</f>
        <v>1522.2</v>
      </c>
      <c r="G669" s="26">
        <f>G670+G672</f>
        <v>1522.2</v>
      </c>
      <c r="H669" s="26">
        <f>H670+H672</f>
        <v>1522.2</v>
      </c>
      <c r="I669" s="3"/>
      <c r="J669" s="3"/>
      <c r="K669" s="3"/>
    </row>
    <row r="670" spans="1:11" s="50" customFormat="1" ht="41.25" customHeight="1" x14ac:dyDescent="0.2">
      <c r="A670" s="20" t="s">
        <v>629</v>
      </c>
      <c r="B670" s="34" t="s">
        <v>99</v>
      </c>
      <c r="C670" s="34" t="s">
        <v>10</v>
      </c>
      <c r="D670" s="25" t="s">
        <v>630</v>
      </c>
      <c r="E670" s="51"/>
      <c r="F670" s="26">
        <f>F671</f>
        <v>522.20000000000005</v>
      </c>
      <c r="G670" s="26">
        <f>G671</f>
        <v>522.20000000000005</v>
      </c>
      <c r="H670" s="26">
        <f>H671</f>
        <v>522.20000000000005</v>
      </c>
      <c r="I670" s="3"/>
      <c r="J670" s="3"/>
      <c r="K670" s="3"/>
    </row>
    <row r="671" spans="1:11" s="50" customFormat="1" ht="27" customHeight="1" x14ac:dyDescent="0.2">
      <c r="A671" s="20" t="s">
        <v>28</v>
      </c>
      <c r="B671" s="34" t="s">
        <v>99</v>
      </c>
      <c r="C671" s="34" t="s">
        <v>10</v>
      </c>
      <c r="D671" s="25" t="s">
        <v>630</v>
      </c>
      <c r="E671" s="51" t="s">
        <v>29</v>
      </c>
      <c r="F671" s="26">
        <f>470+52.2</f>
        <v>522.20000000000005</v>
      </c>
      <c r="G671" s="26">
        <f>470+52.2</f>
        <v>522.20000000000005</v>
      </c>
      <c r="H671" s="26">
        <f>470+52.2</f>
        <v>522.20000000000005</v>
      </c>
      <c r="I671" s="3"/>
      <c r="J671" s="3"/>
      <c r="K671" s="3"/>
    </row>
    <row r="672" spans="1:11" s="50" customFormat="1" ht="56.25" customHeight="1" x14ac:dyDescent="0.2">
      <c r="A672" s="59" t="s">
        <v>631</v>
      </c>
      <c r="B672" s="34" t="s">
        <v>99</v>
      </c>
      <c r="C672" s="34" t="s">
        <v>10</v>
      </c>
      <c r="D672" s="25" t="s">
        <v>632</v>
      </c>
      <c r="E672" s="51"/>
      <c r="F672" s="26">
        <f>F673</f>
        <v>1000</v>
      </c>
      <c r="G672" s="26">
        <f>G673</f>
        <v>1000</v>
      </c>
      <c r="H672" s="26">
        <f>H673</f>
        <v>1000</v>
      </c>
      <c r="I672" s="3"/>
      <c r="J672" s="3"/>
      <c r="K672" s="3"/>
    </row>
    <row r="673" spans="1:11" s="50" customFormat="1" ht="27" customHeight="1" x14ac:dyDescent="0.2">
      <c r="A673" s="20" t="s">
        <v>28</v>
      </c>
      <c r="B673" s="34" t="s">
        <v>99</v>
      </c>
      <c r="C673" s="34" t="s">
        <v>10</v>
      </c>
      <c r="D673" s="25" t="s">
        <v>632</v>
      </c>
      <c r="E673" s="51" t="s">
        <v>29</v>
      </c>
      <c r="F673" s="26">
        <f>900+100</f>
        <v>1000</v>
      </c>
      <c r="G673" s="26">
        <f>900+100</f>
        <v>1000</v>
      </c>
      <c r="H673" s="26">
        <f>900+100</f>
        <v>1000</v>
      </c>
      <c r="I673" s="3"/>
      <c r="J673" s="3"/>
      <c r="K673" s="3"/>
    </row>
    <row r="674" spans="1:11" s="50" customFormat="1" ht="15.75" customHeight="1" x14ac:dyDescent="0.2">
      <c r="A674" s="134" t="s">
        <v>633</v>
      </c>
      <c r="B674" s="54" t="s">
        <v>99</v>
      </c>
      <c r="C674" s="54" t="s">
        <v>71</v>
      </c>
      <c r="D674" s="25"/>
      <c r="E674" s="34"/>
      <c r="F674" s="26">
        <f>F675</f>
        <v>464.4</v>
      </c>
      <c r="G674" s="26">
        <f>G675</f>
        <v>464.4</v>
      </c>
      <c r="H674" s="26">
        <f>H675</f>
        <v>464.4</v>
      </c>
      <c r="I674" s="3"/>
      <c r="J674" s="3"/>
      <c r="K674" s="3"/>
    </row>
    <row r="675" spans="1:11" s="50" customFormat="1" ht="45" customHeight="1" x14ac:dyDescent="0.2">
      <c r="A675" s="40" t="s">
        <v>162</v>
      </c>
      <c r="B675" s="34" t="s">
        <v>99</v>
      </c>
      <c r="C675" s="34" t="s">
        <v>71</v>
      </c>
      <c r="D675" s="25" t="s">
        <v>163</v>
      </c>
      <c r="E675" s="34"/>
      <c r="F675" s="26">
        <f>F677</f>
        <v>464.4</v>
      </c>
      <c r="G675" s="26">
        <f>G677</f>
        <v>464.4</v>
      </c>
      <c r="H675" s="26">
        <f>H677</f>
        <v>464.4</v>
      </c>
      <c r="I675" s="3"/>
      <c r="J675" s="3"/>
      <c r="K675" s="3"/>
    </row>
    <row r="676" spans="1:11" s="50" customFormat="1" ht="16.5" customHeight="1" x14ac:dyDescent="0.2">
      <c r="A676" s="40" t="s">
        <v>50</v>
      </c>
      <c r="B676" s="34" t="s">
        <v>99</v>
      </c>
      <c r="C676" s="34" t="s">
        <v>71</v>
      </c>
      <c r="D676" s="25" t="s">
        <v>164</v>
      </c>
      <c r="E676" s="34"/>
      <c r="F676" s="26">
        <f t="shared" ref="F676:H678" si="105">F677</f>
        <v>464.4</v>
      </c>
      <c r="G676" s="26">
        <f t="shared" si="105"/>
        <v>464.4</v>
      </c>
      <c r="H676" s="26">
        <f t="shared" si="105"/>
        <v>464.4</v>
      </c>
      <c r="I676" s="3"/>
      <c r="J676" s="3"/>
      <c r="K676" s="3"/>
    </row>
    <row r="677" spans="1:11" s="50" customFormat="1" ht="29.25" customHeight="1" x14ac:dyDescent="0.2">
      <c r="A677" s="20" t="s">
        <v>634</v>
      </c>
      <c r="B677" s="34" t="s">
        <v>99</v>
      </c>
      <c r="C677" s="34" t="s">
        <v>71</v>
      </c>
      <c r="D677" s="25" t="s">
        <v>635</v>
      </c>
      <c r="E677" s="51"/>
      <c r="F677" s="26">
        <f t="shared" si="105"/>
        <v>464.4</v>
      </c>
      <c r="G677" s="26">
        <f t="shared" si="105"/>
        <v>464.4</v>
      </c>
      <c r="H677" s="26">
        <f t="shared" si="105"/>
        <v>464.4</v>
      </c>
      <c r="I677" s="3"/>
      <c r="J677" s="3"/>
      <c r="K677" s="3"/>
    </row>
    <row r="678" spans="1:11" s="50" customFormat="1" ht="29.25" customHeight="1" x14ac:dyDescent="0.2">
      <c r="A678" s="40" t="s">
        <v>636</v>
      </c>
      <c r="B678" s="34" t="s">
        <v>99</v>
      </c>
      <c r="C678" s="34" t="s">
        <v>71</v>
      </c>
      <c r="D678" s="25" t="s">
        <v>637</v>
      </c>
      <c r="E678" s="51"/>
      <c r="F678" s="26">
        <f>F679</f>
        <v>464.4</v>
      </c>
      <c r="G678" s="26">
        <f t="shared" si="105"/>
        <v>464.4</v>
      </c>
      <c r="H678" s="26">
        <f t="shared" si="105"/>
        <v>464.4</v>
      </c>
      <c r="I678" s="3"/>
      <c r="J678" s="3"/>
      <c r="K678" s="3"/>
    </row>
    <row r="679" spans="1:11" s="50" customFormat="1" ht="17.25" customHeight="1" x14ac:dyDescent="0.2">
      <c r="A679" s="68" t="s">
        <v>170</v>
      </c>
      <c r="B679" s="34" t="s">
        <v>99</v>
      </c>
      <c r="C679" s="34" t="s">
        <v>71</v>
      </c>
      <c r="D679" s="25" t="s">
        <v>637</v>
      </c>
      <c r="E679" s="51" t="s">
        <v>171</v>
      </c>
      <c r="F679" s="26">
        <f>418+46.4</f>
        <v>464.4</v>
      </c>
      <c r="G679" s="26">
        <f>418+46.4</f>
        <v>464.4</v>
      </c>
      <c r="H679" s="26">
        <f>418+46.4</f>
        <v>464.4</v>
      </c>
      <c r="I679" s="3"/>
      <c r="J679" s="3"/>
      <c r="K679" s="3"/>
    </row>
    <row r="680" spans="1:11" s="50" customFormat="1" ht="30.75" customHeight="1" x14ac:dyDescent="0.2">
      <c r="A680" s="74" t="s">
        <v>638</v>
      </c>
      <c r="B680" s="135" t="s">
        <v>106</v>
      </c>
      <c r="C680" s="135"/>
      <c r="D680" s="25"/>
      <c r="E680" s="34"/>
      <c r="F680" s="26">
        <f t="shared" ref="F680:H685" si="106">F681</f>
        <v>80.5</v>
      </c>
      <c r="G680" s="26">
        <f t="shared" si="106"/>
        <v>80.5</v>
      </c>
      <c r="H680" s="26">
        <f t="shared" si="106"/>
        <v>30</v>
      </c>
      <c r="I680" s="3"/>
      <c r="J680" s="3"/>
      <c r="K680" s="3"/>
    </row>
    <row r="681" spans="1:11" s="50" customFormat="1" ht="27.75" customHeight="1" x14ac:dyDescent="0.2">
      <c r="A681" s="74" t="s">
        <v>639</v>
      </c>
      <c r="B681" s="135" t="s">
        <v>106</v>
      </c>
      <c r="C681" s="135" t="s">
        <v>8</v>
      </c>
      <c r="D681" s="25"/>
      <c r="E681" s="34"/>
      <c r="F681" s="26">
        <f t="shared" si="106"/>
        <v>80.5</v>
      </c>
      <c r="G681" s="26">
        <f t="shared" si="106"/>
        <v>80.5</v>
      </c>
      <c r="H681" s="26">
        <f t="shared" si="106"/>
        <v>30</v>
      </c>
      <c r="I681" s="3"/>
      <c r="J681" s="3"/>
      <c r="K681" s="3"/>
    </row>
    <row r="682" spans="1:11" s="50" customFormat="1" ht="26.25" customHeight="1" x14ac:dyDescent="0.2">
      <c r="A682" s="136" t="s">
        <v>83</v>
      </c>
      <c r="B682" s="75" t="s">
        <v>106</v>
      </c>
      <c r="C682" s="75" t="s">
        <v>8</v>
      </c>
      <c r="D682" s="25" t="s">
        <v>84</v>
      </c>
      <c r="E682" s="34"/>
      <c r="F682" s="26">
        <f t="shared" si="106"/>
        <v>80.5</v>
      </c>
      <c r="G682" s="26">
        <f t="shared" si="106"/>
        <v>80.5</v>
      </c>
      <c r="H682" s="26">
        <f t="shared" si="106"/>
        <v>30</v>
      </c>
      <c r="I682" s="3"/>
      <c r="J682" s="3"/>
      <c r="K682" s="3"/>
    </row>
    <row r="683" spans="1:11" s="50" customFormat="1" ht="19.5" customHeight="1" x14ac:dyDescent="0.2">
      <c r="A683" s="136" t="s">
        <v>13</v>
      </c>
      <c r="B683" s="75" t="s">
        <v>106</v>
      </c>
      <c r="C683" s="75" t="s">
        <v>8</v>
      </c>
      <c r="D683" s="25" t="s">
        <v>85</v>
      </c>
      <c r="E683" s="34"/>
      <c r="F683" s="26">
        <f t="shared" si="106"/>
        <v>80.5</v>
      </c>
      <c r="G683" s="26">
        <f t="shared" si="106"/>
        <v>80.5</v>
      </c>
      <c r="H683" s="26">
        <f t="shared" si="106"/>
        <v>30</v>
      </c>
      <c r="I683" s="3"/>
      <c r="J683" s="3"/>
      <c r="K683" s="3"/>
    </row>
    <row r="684" spans="1:11" s="50" customFormat="1" ht="44.25" customHeight="1" x14ac:dyDescent="0.2">
      <c r="A684" s="44" t="s">
        <v>640</v>
      </c>
      <c r="B684" s="75" t="s">
        <v>106</v>
      </c>
      <c r="C684" s="75" t="s">
        <v>8</v>
      </c>
      <c r="D684" s="25" t="s">
        <v>641</v>
      </c>
      <c r="E684" s="34"/>
      <c r="F684" s="26">
        <f t="shared" si="106"/>
        <v>80.5</v>
      </c>
      <c r="G684" s="26">
        <f t="shared" si="106"/>
        <v>80.5</v>
      </c>
      <c r="H684" s="26">
        <f t="shared" si="106"/>
        <v>30</v>
      </c>
      <c r="I684" s="3"/>
      <c r="J684" s="3"/>
      <c r="K684" s="3"/>
    </row>
    <row r="685" spans="1:11" s="50" customFormat="1" ht="26.25" customHeight="1" x14ac:dyDescent="0.2">
      <c r="A685" s="44" t="s">
        <v>642</v>
      </c>
      <c r="B685" s="75" t="s">
        <v>106</v>
      </c>
      <c r="C685" s="75" t="s">
        <v>8</v>
      </c>
      <c r="D685" s="25" t="s">
        <v>643</v>
      </c>
      <c r="E685" s="34"/>
      <c r="F685" s="26">
        <f t="shared" si="106"/>
        <v>80.5</v>
      </c>
      <c r="G685" s="26">
        <f t="shared" si="106"/>
        <v>80.5</v>
      </c>
      <c r="H685" s="26">
        <f t="shared" si="106"/>
        <v>30</v>
      </c>
      <c r="I685" s="3"/>
      <c r="J685" s="3"/>
      <c r="K685" s="3"/>
    </row>
    <row r="686" spans="1:11" s="50" customFormat="1" ht="18" customHeight="1" x14ac:dyDescent="0.2">
      <c r="A686" s="20" t="s">
        <v>644</v>
      </c>
      <c r="B686" s="75" t="s">
        <v>106</v>
      </c>
      <c r="C686" s="75" t="s">
        <v>8</v>
      </c>
      <c r="D686" s="25" t="s">
        <v>643</v>
      </c>
      <c r="E686" s="34" t="s">
        <v>645</v>
      </c>
      <c r="F686" s="26">
        <v>80.5</v>
      </c>
      <c r="G686" s="26">
        <v>80.5</v>
      </c>
      <c r="H686" s="26">
        <v>30</v>
      </c>
      <c r="I686" s="3"/>
      <c r="J686" s="3"/>
      <c r="K686" s="3"/>
    </row>
    <row r="687" spans="1:11" s="48" customFormat="1" ht="15.75" customHeight="1" x14ac:dyDescent="0.2">
      <c r="A687" s="32" t="s">
        <v>646</v>
      </c>
      <c r="B687" s="54"/>
      <c r="C687" s="54"/>
      <c r="D687" s="81"/>
      <c r="E687" s="54"/>
      <c r="F687" s="53">
        <f>F7+F13+F18+F55+F59+F80+F84+F164+F171+F189+F201+F230+F236+F245+F265+F306+F331+F364+F407+F430+F447+F500+F520+F531+F547+F588+F593+F600+F653+F666+F674+F681+F644+F581</f>
        <v>961543.60000000009</v>
      </c>
      <c r="G687" s="53">
        <f>G7+G13+G18+G55+G59+G80+G84+G164+G171+G189+G201+G230+G236+G245+G265+G306+G331+G364+G407+G430+G447+G500+G520+G531+G547+G588+G593+G600+G653+G666+G674+G681+G644</f>
        <v>666518.00000000023</v>
      </c>
      <c r="H687" s="53">
        <f>H7+H13+H18+H55+H59+H80+H84+H164+H171+H189+H201+H230+H236+H245+H265+H306+H331+H364+H407+H430+H447+H500+H520+H531+H547+H588+H593+H600+H653+H666+H674+H681+H644</f>
        <v>739249.20000000007</v>
      </c>
      <c r="I687" s="19"/>
      <c r="J687" s="19"/>
      <c r="K687" s="19"/>
    </row>
    <row r="688" spans="1:11" s="48" customFormat="1" ht="15.75" customHeight="1" x14ac:dyDescent="0.2">
      <c r="A688" s="32" t="s">
        <v>647</v>
      </c>
      <c r="B688" s="54"/>
      <c r="C688" s="54"/>
      <c r="D688" s="81"/>
      <c r="E688" s="54"/>
      <c r="F688" s="53"/>
      <c r="G688" s="53">
        <v>9621.7999999999993</v>
      </c>
      <c r="H688" s="53">
        <v>19977.900000000001</v>
      </c>
      <c r="I688" s="19"/>
      <c r="J688" s="19"/>
      <c r="K688" s="19"/>
    </row>
    <row r="689" spans="1:16" s="19" customFormat="1" ht="21" customHeight="1" x14ac:dyDescent="0.2">
      <c r="A689" s="16" t="s">
        <v>648</v>
      </c>
      <c r="B689" s="106"/>
      <c r="C689" s="106"/>
      <c r="D689" s="106"/>
      <c r="E689" s="106"/>
      <c r="F689" s="53">
        <f>F6+F163+F170+F229+F305+F406+F429+F546+F587+F592+F652+F680</f>
        <v>961543.60000000009</v>
      </c>
      <c r="G689" s="53">
        <f>G6+G163+G170+G229+G305+G406+G429+G546+G587+G592+G652+G680+G688</f>
        <v>676139.80000000016</v>
      </c>
      <c r="H689" s="53">
        <f>H6+H163+H170+H229+H305+H406+H429+H546+H587+H592+H652+H680+H688</f>
        <v>759227.10000000009</v>
      </c>
    </row>
    <row r="691" spans="1:16" x14ac:dyDescent="0.2">
      <c r="D691" s="8"/>
      <c r="F691" s="139"/>
      <c r="G691" s="140"/>
      <c r="H691" s="140"/>
    </row>
    <row r="692" spans="1:16" x14ac:dyDescent="0.2">
      <c r="D692" s="8"/>
      <c r="F692" s="139"/>
      <c r="G692" s="139"/>
      <c r="H692" s="139"/>
    </row>
    <row r="693" spans="1:16" x14ac:dyDescent="0.2">
      <c r="D693" s="141"/>
      <c r="E693" s="142"/>
      <c r="F693" s="139"/>
      <c r="G693" s="139"/>
      <c r="H693" s="139"/>
    </row>
    <row r="694" spans="1:16" x14ac:dyDescent="0.2">
      <c r="D694" s="8"/>
      <c r="F694" s="139"/>
      <c r="G694" s="139"/>
      <c r="H694" s="139"/>
    </row>
    <row r="695" spans="1:16" x14ac:dyDescent="0.2">
      <c r="D695" s="8"/>
      <c r="F695" s="139"/>
      <c r="H695" s="139"/>
      <c r="N695" s="143"/>
      <c r="O695" s="143"/>
      <c r="P695" s="143"/>
    </row>
    <row r="696" spans="1:16" x14ac:dyDescent="0.2">
      <c r="D696" s="8"/>
      <c r="F696" s="139"/>
      <c r="H696" s="139"/>
    </row>
    <row r="697" spans="1:16" x14ac:dyDescent="0.2">
      <c r="D697" s="8"/>
      <c r="F697" s="139"/>
      <c r="H697" s="139"/>
    </row>
    <row r="698" spans="1:16" x14ac:dyDescent="0.2">
      <c r="D698" s="8"/>
      <c r="F698" s="139"/>
      <c r="H698" s="139"/>
    </row>
    <row r="699" spans="1:16" x14ac:dyDescent="0.2">
      <c r="D699" s="8"/>
      <c r="F699" s="139"/>
      <c r="H699" s="139"/>
    </row>
    <row r="700" spans="1:16" x14ac:dyDescent="0.2">
      <c r="D700" s="8"/>
      <c r="F700" s="139"/>
      <c r="H700" s="139"/>
      <c r="J700" s="144"/>
    </row>
    <row r="701" spans="1:16" x14ac:dyDescent="0.2">
      <c r="D701" s="8"/>
      <c r="F701" s="139"/>
      <c r="H701" s="139"/>
    </row>
    <row r="702" spans="1:16" x14ac:dyDescent="0.2">
      <c r="D702" s="141"/>
      <c r="E702" s="142"/>
      <c r="F702" s="139"/>
      <c r="G702" s="139"/>
      <c r="H702" s="139"/>
    </row>
    <row r="703" spans="1:16" x14ac:dyDescent="0.2">
      <c r="D703" s="8"/>
      <c r="F703" s="139"/>
      <c r="H703" s="139"/>
    </row>
    <row r="704" spans="1:16" x14ac:dyDescent="0.2">
      <c r="A704" s="145"/>
      <c r="B704" s="146"/>
      <c r="C704" s="146"/>
      <c r="D704" s="147"/>
      <c r="F704" s="148"/>
    </row>
    <row r="705" spans="5:13" x14ac:dyDescent="0.2">
      <c r="E705" s="149"/>
      <c r="F705" s="139"/>
    </row>
    <row r="706" spans="5:13" x14ac:dyDescent="0.2">
      <c r="E706" s="149"/>
      <c r="F706" s="139"/>
    </row>
    <row r="707" spans="5:13" x14ac:dyDescent="0.2">
      <c r="E707" s="149"/>
      <c r="F707" s="139"/>
    </row>
    <row r="708" spans="5:13" x14ac:dyDescent="0.2">
      <c r="E708" s="149"/>
      <c r="M708" s="150"/>
    </row>
    <row r="709" spans="5:13" ht="13.5" customHeight="1" x14ac:dyDescent="0.2">
      <c r="E709" s="149"/>
      <c r="F709" s="139"/>
    </row>
    <row r="710" spans="5:13" x14ac:dyDescent="0.2">
      <c r="E710" s="149"/>
      <c r="F710" s="139"/>
    </row>
    <row r="711" spans="5:13" x14ac:dyDescent="0.2">
      <c r="E711" s="149"/>
      <c r="F711" s="139"/>
    </row>
    <row r="712" spans="5:13" x14ac:dyDescent="0.2">
      <c r="E712" s="149"/>
      <c r="F712" s="139"/>
    </row>
    <row r="713" spans="5:13" x14ac:dyDescent="0.2">
      <c r="E713" s="149"/>
      <c r="F713" s="139"/>
    </row>
    <row r="714" spans="5:13" x14ac:dyDescent="0.2">
      <c r="E714" s="149"/>
      <c r="F714" s="139"/>
    </row>
    <row r="715" spans="5:13" x14ac:dyDescent="0.2">
      <c r="E715" s="149"/>
      <c r="F715" s="139"/>
    </row>
    <row r="716" spans="5:13" x14ac:dyDescent="0.2">
      <c r="E716" s="149"/>
      <c r="F716" s="139"/>
    </row>
    <row r="717" spans="5:13" x14ac:dyDescent="0.2">
      <c r="E717" s="149"/>
      <c r="F717" s="139"/>
      <c r="G717" s="94"/>
    </row>
    <row r="718" spans="5:13" x14ac:dyDescent="0.2">
      <c r="E718" s="149"/>
      <c r="F718" s="139"/>
      <c r="G718" s="94"/>
    </row>
    <row r="719" spans="5:13" x14ac:dyDescent="0.2">
      <c r="E719" s="149"/>
      <c r="F719" s="139"/>
      <c r="G719" s="94"/>
    </row>
    <row r="720" spans="5:13" x14ac:dyDescent="0.2">
      <c r="E720" s="149"/>
      <c r="F720" s="139"/>
      <c r="G720" s="94"/>
    </row>
    <row r="721" spans="1:16" s="7" customFormat="1" x14ac:dyDescent="0.2">
      <c r="A721" s="137"/>
      <c r="B721" s="138"/>
      <c r="C721" s="138"/>
      <c r="D721" s="6"/>
      <c r="E721" s="149"/>
      <c r="F721" s="139"/>
      <c r="G721" s="94"/>
      <c r="I721" s="3"/>
      <c r="J721" s="3"/>
      <c r="K721" s="3"/>
      <c r="L721" s="4"/>
      <c r="M721" s="4"/>
      <c r="N721" s="4"/>
      <c r="O721" s="4"/>
      <c r="P721" s="4"/>
    </row>
    <row r="722" spans="1:16" s="7" customFormat="1" x14ac:dyDescent="0.2">
      <c r="A722" s="137"/>
      <c r="B722" s="138"/>
      <c r="C722" s="138"/>
      <c r="D722" s="6"/>
      <c r="E722" s="149"/>
      <c r="F722" s="139"/>
      <c r="G722" s="94"/>
      <c r="I722" s="3"/>
      <c r="J722" s="3"/>
      <c r="K722" s="3"/>
      <c r="L722" s="4"/>
      <c r="M722" s="4"/>
      <c r="N722" s="4"/>
      <c r="O722" s="4"/>
      <c r="P722" s="4"/>
    </row>
    <row r="723" spans="1:16" s="7" customFormat="1" x14ac:dyDescent="0.2">
      <c r="A723" s="137"/>
      <c r="B723" s="138"/>
      <c r="C723" s="138"/>
      <c r="D723" s="6"/>
      <c r="E723" s="149"/>
      <c r="F723" s="139"/>
      <c r="G723" s="69"/>
      <c r="I723" s="3"/>
      <c r="J723" s="3"/>
      <c r="K723" s="3"/>
      <c r="L723" s="4"/>
      <c r="M723" s="4"/>
      <c r="N723" s="4"/>
      <c r="O723" s="4"/>
      <c r="P723" s="4"/>
    </row>
    <row r="724" spans="1:16" s="7" customFormat="1" x14ac:dyDescent="0.2">
      <c r="A724" s="137"/>
      <c r="B724" s="138"/>
      <c r="C724" s="138"/>
      <c r="D724" s="6"/>
      <c r="E724" s="149"/>
      <c r="F724" s="139"/>
      <c r="G724" s="69"/>
      <c r="I724" s="3"/>
      <c r="J724" s="3"/>
      <c r="K724" s="3"/>
      <c r="L724" s="4"/>
      <c r="M724" s="4"/>
      <c r="N724" s="4"/>
      <c r="O724" s="4"/>
      <c r="P724" s="4"/>
    </row>
    <row r="725" spans="1:16" s="7" customFormat="1" x14ac:dyDescent="0.2">
      <c r="A725" s="137"/>
      <c r="B725" s="138"/>
      <c r="C725" s="138"/>
      <c r="D725" s="6"/>
      <c r="E725" s="149"/>
      <c r="F725" s="139"/>
      <c r="G725" s="69"/>
      <c r="I725" s="3"/>
      <c r="J725" s="3"/>
      <c r="K725" s="3"/>
      <c r="L725" s="4"/>
      <c r="M725" s="4"/>
      <c r="N725" s="4"/>
      <c r="O725" s="4"/>
      <c r="P725" s="4"/>
    </row>
    <row r="726" spans="1:16" s="7" customFormat="1" x14ac:dyDescent="0.2">
      <c r="A726" s="137"/>
      <c r="B726" s="138"/>
      <c r="C726" s="138"/>
      <c r="D726" s="6"/>
      <c r="E726" s="149"/>
      <c r="F726" s="139"/>
      <c r="G726" s="69"/>
      <c r="I726" s="3"/>
      <c r="J726" s="3"/>
      <c r="K726" s="3"/>
      <c r="L726" s="4"/>
      <c r="M726" s="4"/>
      <c r="N726" s="4"/>
      <c r="O726" s="4"/>
      <c r="P726" s="4"/>
    </row>
    <row r="727" spans="1:16" s="7" customFormat="1" x14ac:dyDescent="0.2">
      <c r="A727" s="137"/>
      <c r="B727" s="138"/>
      <c r="C727" s="138"/>
      <c r="D727" s="6"/>
      <c r="E727" s="149"/>
      <c r="F727" s="139"/>
      <c r="G727" s="69"/>
      <c r="I727" s="3"/>
      <c r="J727" s="3"/>
      <c r="K727" s="3"/>
      <c r="L727" s="4"/>
      <c r="M727" s="4"/>
      <c r="N727" s="4"/>
      <c r="O727" s="4"/>
      <c r="P727" s="4"/>
    </row>
    <row r="728" spans="1:16" s="7" customFormat="1" x14ac:dyDescent="0.2">
      <c r="A728" s="137"/>
      <c r="B728" s="138"/>
      <c r="C728" s="138"/>
      <c r="D728" s="6"/>
      <c r="E728" s="149"/>
      <c r="F728" s="139"/>
      <c r="G728" s="138"/>
      <c r="I728" s="3"/>
      <c r="J728" s="3"/>
      <c r="K728" s="3"/>
      <c r="L728" s="4"/>
      <c r="M728" s="4"/>
      <c r="N728" s="4"/>
      <c r="O728" s="4"/>
      <c r="P728" s="4"/>
    </row>
    <row r="729" spans="1:16" s="7" customFormat="1" x14ac:dyDescent="0.2">
      <c r="A729" s="137"/>
      <c r="B729" s="138"/>
      <c r="C729" s="138"/>
      <c r="D729" s="6"/>
      <c r="E729" s="149"/>
      <c r="F729" s="139"/>
      <c r="G729" s="94"/>
      <c r="I729" s="3"/>
      <c r="J729" s="3"/>
      <c r="K729" s="3"/>
      <c r="L729" s="4"/>
      <c r="M729" s="4"/>
      <c r="N729" s="4"/>
      <c r="O729" s="4"/>
      <c r="P729" s="4"/>
    </row>
    <row r="730" spans="1:16" s="7" customFormat="1" x14ac:dyDescent="0.2">
      <c r="A730" s="137"/>
      <c r="B730" s="138"/>
      <c r="C730" s="138"/>
      <c r="D730" s="6"/>
      <c r="E730" s="149"/>
      <c r="F730" s="139"/>
      <c r="I730" s="3"/>
      <c r="J730" s="3"/>
      <c r="K730" s="3"/>
      <c r="L730" s="4"/>
      <c r="M730" s="4"/>
      <c r="N730" s="4"/>
      <c r="O730" s="4"/>
      <c r="P730" s="4"/>
    </row>
    <row r="731" spans="1:16" s="7" customFormat="1" x14ac:dyDescent="0.2">
      <c r="A731" s="137"/>
      <c r="B731" s="138"/>
      <c r="C731" s="138"/>
      <c r="D731" s="6"/>
      <c r="E731" s="149"/>
      <c r="I731" s="3"/>
      <c r="J731" s="3"/>
      <c r="K731" s="3"/>
      <c r="L731" s="4"/>
      <c r="M731" s="4"/>
      <c r="N731" s="4"/>
      <c r="O731" s="4"/>
      <c r="P731" s="4"/>
    </row>
    <row r="732" spans="1:16" s="7" customFormat="1" x14ac:dyDescent="0.2">
      <c r="A732" s="137"/>
      <c r="B732" s="138"/>
      <c r="C732" s="138"/>
      <c r="D732" s="6"/>
      <c r="E732" s="149"/>
      <c r="I732" s="3"/>
      <c r="J732" s="3"/>
      <c r="K732" s="3"/>
      <c r="L732" s="4"/>
      <c r="M732" s="4"/>
      <c r="N732" s="4"/>
      <c r="O732" s="4"/>
      <c r="P732" s="4"/>
    </row>
    <row r="733" spans="1:16" s="7" customFormat="1" x14ac:dyDescent="0.2">
      <c r="A733" s="137"/>
      <c r="B733" s="138"/>
      <c r="C733" s="138"/>
      <c r="D733" s="6"/>
      <c r="E733" s="149"/>
      <c r="F733" s="139"/>
      <c r="I733" s="3"/>
      <c r="J733" s="3"/>
      <c r="K733" s="3"/>
      <c r="L733" s="4"/>
      <c r="M733" s="4"/>
      <c r="N733" s="4"/>
      <c r="O733" s="4"/>
      <c r="P733" s="4"/>
    </row>
    <row r="734" spans="1:16" s="7" customFormat="1" x14ac:dyDescent="0.2">
      <c r="A734" s="137"/>
      <c r="B734" s="138"/>
      <c r="C734" s="138"/>
      <c r="D734" s="6"/>
      <c r="E734" s="149"/>
      <c r="I734" s="3"/>
      <c r="J734" s="3"/>
      <c r="K734" s="3"/>
      <c r="L734" s="4"/>
      <c r="M734" s="4"/>
      <c r="N734" s="4"/>
      <c r="O734" s="4"/>
      <c r="P734" s="4"/>
    </row>
    <row r="735" spans="1:16" s="7" customFormat="1" x14ac:dyDescent="0.2">
      <c r="A735" s="137"/>
      <c r="B735" s="138"/>
      <c r="C735" s="138"/>
      <c r="D735" s="6"/>
      <c r="E735" s="149"/>
      <c r="F735" s="139"/>
      <c r="I735" s="3"/>
      <c r="J735" s="3"/>
      <c r="K735" s="3"/>
      <c r="L735" s="4"/>
      <c r="M735" s="4"/>
      <c r="N735" s="4"/>
      <c r="O735" s="4"/>
      <c r="P735" s="4"/>
    </row>
    <row r="736" spans="1:16" s="7" customFormat="1" x14ac:dyDescent="0.2">
      <c r="A736" s="137"/>
      <c r="B736" s="138"/>
      <c r="C736" s="138"/>
      <c r="D736" s="6"/>
      <c r="E736" s="149"/>
      <c r="I736" s="3"/>
      <c r="J736" s="3"/>
      <c r="K736" s="3"/>
      <c r="L736" s="4"/>
      <c r="M736" s="4"/>
      <c r="N736" s="4"/>
      <c r="O736" s="4"/>
      <c r="P736" s="4"/>
    </row>
    <row r="737" spans="1:16" s="7" customFormat="1" x14ac:dyDescent="0.2">
      <c r="A737" s="137"/>
      <c r="B737" s="138"/>
      <c r="C737" s="138"/>
      <c r="D737" s="6"/>
      <c r="E737" s="149"/>
      <c r="I737" s="3"/>
      <c r="J737" s="3"/>
      <c r="K737" s="3"/>
      <c r="L737" s="4"/>
      <c r="M737" s="4"/>
      <c r="N737" s="4"/>
      <c r="O737" s="4"/>
      <c r="P737" s="4"/>
    </row>
    <row r="738" spans="1:16" s="7" customFormat="1" x14ac:dyDescent="0.2">
      <c r="A738" s="137"/>
      <c r="B738" s="138"/>
      <c r="C738" s="138"/>
      <c r="D738" s="6"/>
      <c r="E738" s="149"/>
      <c r="I738" s="3"/>
      <c r="J738" s="3"/>
      <c r="K738" s="3"/>
      <c r="L738" s="4"/>
      <c r="M738" s="4"/>
      <c r="N738" s="4"/>
      <c r="O738" s="4"/>
      <c r="P738" s="4"/>
    </row>
    <row r="739" spans="1:16" s="7" customFormat="1" x14ac:dyDescent="0.2">
      <c r="A739" s="137"/>
      <c r="B739" s="138"/>
      <c r="C739" s="138"/>
      <c r="D739" s="6"/>
      <c r="E739" s="149"/>
      <c r="I739" s="3"/>
      <c r="J739" s="3"/>
      <c r="K739" s="3"/>
      <c r="L739" s="4"/>
      <c r="M739" s="4"/>
      <c r="N739" s="4"/>
      <c r="O739" s="4"/>
      <c r="P739" s="4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pageMargins left="0.78740157480314965" right="0.15748031496062992" top="0.47244094488188981" bottom="0.31496062992125984" header="0.15748031496062992" footer="0.51181102362204722"/>
  <pageSetup paperSize="9" scale="70" fitToHeight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Администратор07</cp:lastModifiedBy>
  <dcterms:created xsi:type="dcterms:W3CDTF">2024-12-15T16:02:12Z</dcterms:created>
  <dcterms:modified xsi:type="dcterms:W3CDTF">2025-01-09T08:26:13Z</dcterms:modified>
</cp:coreProperties>
</file>